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jr74/Desktop/"/>
    </mc:Choice>
  </mc:AlternateContent>
  <xr:revisionPtr revIDLastSave="0" documentId="8_{AF80E885-4A94-B844-A35E-AE7E1525C1E5}" xr6:coauthVersionLast="47" xr6:coauthVersionMax="47" xr10:uidLastSave="{00000000-0000-0000-0000-000000000000}"/>
  <bookViews>
    <workbookView xWindow="38400" yWindow="2380" windowWidth="28800" windowHeight="15720" tabRatio="871" activeTab="1" xr2:uid="{30982C73-9E93-4543-8703-FDCD58E2C73F}"/>
  </bookViews>
  <sheets>
    <sheet name="Projections" sheetId="24" state="hidden" r:id="rId1"/>
    <sheet name="INSTRUCTIONS" sheetId="30" r:id="rId2"/>
    <sheet name="SUMMARY" sheetId="28" r:id="rId3"/>
    <sheet name="By Journalist" sheetId="20" r:id="rId4"/>
    <sheet name="State Estimate" sheetId="33" r:id="rId5"/>
    <sheet name="Regional Estimate" sheetId="34" r:id="rId6"/>
    <sheet name="By Org Type - Regional National" sheetId="27" r:id="rId7"/>
    <sheet name="By Org Type - State Local" sheetId="23" r:id="rId8"/>
    <sheet name="Assumptions" sheetId="25" r:id="rId9"/>
    <sheet name="Coverage Units by State Size" sheetId="22" r:id="rId10"/>
    <sheet name="State Data Rollup &amp; Size Tags" sheetId="21" r:id="rId11"/>
    <sheet name="INN YBY Comparison" sheetId="10" state="hidden" r:id="rId12"/>
    <sheet name="Model Org Stats" sheetId="17" r:id="rId13"/>
    <sheet name="INN Rollups 2021" sheetId="7" r:id="rId14"/>
    <sheet name="INN Income Splits" sheetId="16" r:id="rId15"/>
    <sheet name="INN Rollups 2020" sheetId="9" state="hidden" r:id="rId16"/>
    <sheet name="INN 2021" sheetId="5" r:id="rId17"/>
    <sheet name="INN 2020" sheetId="8" state="hidden" r:id="rId18"/>
    <sheet name="Public Radio Data" sheetId="29" r:id="rId19"/>
    <sheet name="Hub Data" sheetId="31" r:id="rId20"/>
    <sheet name="School Districts" sheetId="15" r:id="rId21"/>
    <sheet name="Pop. Data" sheetId="14" r:id="rId22"/>
    <sheet name="Census of Govts Data" sheetId="13" r:id="rId23"/>
    <sheet name="Phil. Data" sheetId="26" state="hidden" r:id="rId24"/>
    <sheet name="Dropdown Menus" sheetId="4" r:id="rId25"/>
    <sheet name="Data Sources" sheetId="6" r:id="rId26"/>
    <sheet name="Model Outline" sheetId="2" state="hidden" r:id="rId27"/>
    <sheet name="Taxonomy" sheetId="1" state="hidden" r:id="rId28"/>
  </sheets>
  <definedNames>
    <definedName name="_xlnm.Print_Area" localSheetId="8">Assumptions!$A$1:$P$54</definedName>
    <definedName name="_xlnm.Print_Area" localSheetId="3">'By Journalist'!$A$1:$J$58</definedName>
    <definedName name="_xlnm.Print_Area" localSheetId="6">'By Org Type - Regional National'!$A$1:$F$39</definedName>
    <definedName name="_xlnm.Print_Area" localSheetId="7">'By Org Type - State Local'!$B$1:$K$144</definedName>
    <definedName name="_xlnm.Print_Area" localSheetId="22">'Census of Govts Data'!$B$2:$D$470</definedName>
    <definedName name="_xlnm.Print_Area" localSheetId="9">'Coverage Units by State Size'!$B$1:$K$42</definedName>
    <definedName name="_xlnm.Print_Area" localSheetId="14">'INN Income Splits'!$A$1:$AI$114</definedName>
    <definedName name="_xlnm.Print_Area" localSheetId="13">'INN Rollups 2021'!$A$1:$W$99</definedName>
    <definedName name="_xlnm.Print_Area" localSheetId="1">INSTRUCTIONS!$A$1:$B$51</definedName>
    <definedName name="_xlnm.Print_Area" localSheetId="12">'Model Org Stats'!$B$1:$CP$38</definedName>
    <definedName name="_xlnm.Print_Area" localSheetId="23">'Phil. Data'!$A$3:$I$72</definedName>
    <definedName name="_xlnm.Print_Area" localSheetId="0">Projections!$A$1:$F$22</definedName>
    <definedName name="_xlnm.Print_Area" localSheetId="18">'Public Radio Data'!$A$1:$N$13</definedName>
    <definedName name="_xlnm.Print_Area" localSheetId="5">'Regional Estimate'!$A$1:$G$44</definedName>
    <definedName name="_xlnm.Print_Area" localSheetId="20">'School Districts'!$A$2:$D$54</definedName>
    <definedName name="_xlnm.Print_Area" localSheetId="10">'State Data Rollup &amp; Size Tags'!$A$3:$M$58</definedName>
    <definedName name="_xlnm.Print_Area" localSheetId="4">'State Estimate'!$A$1:$G$47</definedName>
    <definedName name="_xlnm.Print_Area" localSheetId="2">SUMMARY!$A$1:$C$27</definedName>
    <definedName name="_xlnm.Print_Area" localSheetId="27">Taxonomy!$A$1:$D$44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20" l="1"/>
  <c r="I27" i="20"/>
  <c r="I26" i="20"/>
  <c r="I25" i="20"/>
  <c r="I24" i="20"/>
  <c r="I23" i="20"/>
  <c r="H24" i="20"/>
  <c r="H25" i="20"/>
  <c r="H26" i="20"/>
  <c r="H27" i="20"/>
  <c r="H23" i="20"/>
  <c r="G24" i="20"/>
  <c r="G25" i="20"/>
  <c r="G26" i="20"/>
  <c r="G27" i="20"/>
  <c r="E23" i="20"/>
  <c r="G23" i="20"/>
  <c r="F24" i="20"/>
  <c r="F25" i="20"/>
  <c r="F26" i="20"/>
  <c r="F27" i="20"/>
  <c r="F23" i="20"/>
  <c r="E24" i="20"/>
  <c r="E25" i="20"/>
  <c r="E26" i="20"/>
  <c r="E27" i="20"/>
  <c r="D24" i="20"/>
  <c r="D25" i="20"/>
  <c r="D26" i="20"/>
  <c r="D27" i="20"/>
  <c r="D23" i="20"/>
  <c r="C27" i="20"/>
  <c r="C26" i="20"/>
  <c r="C25" i="20"/>
  <c r="C24" i="20"/>
  <c r="C23" i="20"/>
  <c r="B27" i="20"/>
  <c r="B26" i="20"/>
  <c r="B25" i="20"/>
  <c r="B24" i="20"/>
  <c r="D16" i="22"/>
  <c r="B23" i="20"/>
  <c r="B7" i="33"/>
  <c r="D97" i="23"/>
  <c r="B28" i="34" l="1"/>
  <c r="B27" i="34"/>
  <c r="B7" i="34" s="1"/>
  <c r="A3" i="34"/>
  <c r="F27" i="33"/>
  <c r="F26" i="33"/>
  <c r="F25" i="33"/>
  <c r="F24" i="33"/>
  <c r="F23" i="33"/>
  <c r="F22" i="33"/>
  <c r="F21" i="33"/>
  <c r="F20" i="33"/>
  <c r="B8" i="33"/>
  <c r="D41" i="20"/>
  <c r="D67" i="23"/>
  <c r="F25" i="27"/>
  <c r="F24" i="27"/>
  <c r="F23" i="27"/>
  <c r="E23" i="27"/>
  <c r="C23" i="27"/>
  <c r="B23" i="27"/>
  <c r="C42" i="20"/>
  <c r="D42" i="20"/>
  <c r="F42" i="20"/>
  <c r="G42" i="20"/>
  <c r="H42" i="20"/>
  <c r="I42" i="20"/>
  <c r="C43" i="20"/>
  <c r="D43" i="20"/>
  <c r="F43" i="20"/>
  <c r="G43" i="20"/>
  <c r="H43" i="20"/>
  <c r="I43" i="20"/>
  <c r="C44" i="20"/>
  <c r="D44" i="20"/>
  <c r="F44" i="20"/>
  <c r="G44" i="20"/>
  <c r="H44" i="20"/>
  <c r="I44" i="20"/>
  <c r="C45" i="20"/>
  <c r="D45" i="20"/>
  <c r="F45" i="20"/>
  <c r="G45" i="20"/>
  <c r="H45" i="20"/>
  <c r="I45" i="20"/>
  <c r="C41" i="20"/>
  <c r="F41" i="20"/>
  <c r="G41" i="20"/>
  <c r="H41" i="20"/>
  <c r="I41" i="20"/>
  <c r="B36" i="25"/>
  <c r="C33" i="20"/>
  <c r="D33" i="20"/>
  <c r="F33" i="20"/>
  <c r="G33" i="20"/>
  <c r="H33" i="20"/>
  <c r="I33" i="20"/>
  <c r="C34" i="20"/>
  <c r="D34" i="20"/>
  <c r="F34" i="20"/>
  <c r="G34" i="20"/>
  <c r="H34" i="20"/>
  <c r="I34" i="20"/>
  <c r="C35" i="20"/>
  <c r="D35" i="20"/>
  <c r="F35" i="20"/>
  <c r="G35" i="20"/>
  <c r="H35" i="20"/>
  <c r="I35" i="20"/>
  <c r="C36" i="20"/>
  <c r="D36" i="20"/>
  <c r="F36" i="20"/>
  <c r="G36" i="20"/>
  <c r="H36" i="20"/>
  <c r="I36" i="20"/>
  <c r="C32" i="20"/>
  <c r="D32" i="20"/>
  <c r="F32" i="20"/>
  <c r="G32" i="20"/>
  <c r="H32" i="20"/>
  <c r="I32" i="20"/>
  <c r="B41" i="20"/>
  <c r="B50" i="20" s="1"/>
  <c r="G12" i="20"/>
  <c r="G13" i="20"/>
  <c r="G14" i="20"/>
  <c r="G15" i="20"/>
  <c r="G11" i="20"/>
  <c r="F7" i="33"/>
  <c r="F6" i="33"/>
  <c r="B32" i="20" l="1"/>
  <c r="B11" i="33"/>
  <c r="B12" i="33"/>
  <c r="B11" i="34" l="1"/>
  <c r="B8" i="34"/>
  <c r="B9" i="34" s="1"/>
  <c r="B13" i="33"/>
  <c r="B14" i="33"/>
  <c r="B15" i="33" s="1"/>
  <c r="B12" i="34" l="1"/>
  <c r="B13" i="34" s="1"/>
  <c r="B16" i="33"/>
  <c r="A3" i="33" l="1"/>
  <c r="B24" i="27" l="1"/>
  <c r="B37" i="27" s="1"/>
  <c r="A108" i="23"/>
  <c r="A109" i="23"/>
  <c r="A110" i="23"/>
  <c r="A111" i="23"/>
  <c r="A112" i="23"/>
  <c r="A113" i="23"/>
  <c r="A114" i="23"/>
  <c r="A115" i="23"/>
  <c r="A116" i="23"/>
  <c r="A117" i="23"/>
  <c r="A118" i="23"/>
  <c r="A119" i="23"/>
  <c r="A120" i="23"/>
  <c r="A121" i="23"/>
  <c r="A122" i="23"/>
  <c r="A107" i="23"/>
  <c r="C37" i="27"/>
  <c r="F35" i="27"/>
  <c r="F26" i="27"/>
  <c r="F27" i="27"/>
  <c r="F28" i="27"/>
  <c r="F29" i="27"/>
  <c r="F30" i="27"/>
  <c r="F31" i="27"/>
  <c r="F32" i="27"/>
  <c r="F33" i="27"/>
  <c r="F34" i="27"/>
  <c r="F36" i="27"/>
  <c r="E36" i="27"/>
  <c r="E35" i="27"/>
  <c r="E25" i="27"/>
  <c r="E26" i="27"/>
  <c r="E27" i="27"/>
  <c r="E28" i="27"/>
  <c r="E29" i="27"/>
  <c r="E30" i="27"/>
  <c r="E31" i="27"/>
  <c r="E32" i="27"/>
  <c r="E33" i="27"/>
  <c r="E34" i="27"/>
  <c r="D25" i="27"/>
  <c r="D26" i="27"/>
  <c r="D27" i="27"/>
  <c r="D28" i="27"/>
  <c r="D29" i="27"/>
  <c r="D30" i="27"/>
  <c r="D31" i="27"/>
  <c r="D32" i="27"/>
  <c r="D33" i="27"/>
  <c r="D34" i="27"/>
  <c r="D35" i="27"/>
  <c r="D36" i="27"/>
  <c r="D23" i="27"/>
  <c r="C24" i="27"/>
  <c r="C25" i="27"/>
  <c r="C26" i="27"/>
  <c r="C27" i="27"/>
  <c r="C28" i="27"/>
  <c r="C29" i="27"/>
  <c r="C30" i="27"/>
  <c r="C31" i="27"/>
  <c r="C32" i="27"/>
  <c r="C33" i="27"/>
  <c r="C34" i="27"/>
  <c r="C35" i="27"/>
  <c r="C36" i="27"/>
  <c r="B25" i="27"/>
  <c r="B26" i="27"/>
  <c r="B27" i="27"/>
  <c r="B28" i="27"/>
  <c r="B29" i="27"/>
  <c r="B30" i="27"/>
  <c r="B31" i="27"/>
  <c r="B32" i="27"/>
  <c r="B33" i="27"/>
  <c r="B34" i="27"/>
  <c r="B35" i="27"/>
  <c r="B36" i="27"/>
  <c r="A32" i="27"/>
  <c r="A33" i="27"/>
  <c r="A34" i="27"/>
  <c r="A26" i="27"/>
  <c r="A27" i="27"/>
  <c r="A28" i="27"/>
  <c r="A17" i="27"/>
  <c r="A18" i="27"/>
  <c r="A16" i="27"/>
  <c r="A11" i="27"/>
  <c r="A12" i="27"/>
  <c r="A10" i="27"/>
  <c r="BZ32" i="17"/>
  <c r="BZ33" i="17" s="1"/>
  <c r="BZ31" i="17"/>
  <c r="BZ27" i="17"/>
  <c r="BZ26" i="17"/>
  <c r="BZ17" i="17"/>
  <c r="BZ22" i="17" s="1"/>
  <c r="BZ18" i="17"/>
  <c r="BZ19" i="17"/>
  <c r="BZ20" i="17"/>
  <c r="BZ21" i="17"/>
  <c r="BZ16" i="17"/>
  <c r="BZ11" i="17"/>
  <c r="BZ14" i="17" s="1"/>
  <c r="BZ12" i="17"/>
  <c r="BZ13" i="17"/>
  <c r="BZ10" i="17"/>
  <c r="BW32" i="17"/>
  <c r="BW31" i="17"/>
  <c r="BW33" i="17" s="1"/>
  <c r="BW27" i="17"/>
  <c r="BW26" i="17"/>
  <c r="BW28" i="17" s="1"/>
  <c r="BW17" i="17"/>
  <c r="BW18" i="17"/>
  <c r="BW19" i="17"/>
  <c r="BW20" i="17"/>
  <c r="BW21" i="17"/>
  <c r="BW16" i="17"/>
  <c r="BW22" i="17"/>
  <c r="BW11" i="17"/>
  <c r="BW12" i="17"/>
  <c r="BW14" i="17" s="1"/>
  <c r="BW13" i="17"/>
  <c r="BW10" i="17"/>
  <c r="BT32" i="17"/>
  <c r="BT33" i="17" s="1"/>
  <c r="BT31" i="17"/>
  <c r="BT27" i="17"/>
  <c r="BT26" i="17"/>
  <c r="BT17" i="17"/>
  <c r="BT22" i="17" s="1"/>
  <c r="BT18" i="17"/>
  <c r="BT19" i="17"/>
  <c r="BT20" i="17"/>
  <c r="BT21" i="17"/>
  <c r="BT16" i="17"/>
  <c r="BT11" i="17"/>
  <c r="BT12" i="17"/>
  <c r="BT13" i="17"/>
  <c r="BT14" i="17" s="1"/>
  <c r="BT10" i="17"/>
  <c r="BY33" i="17"/>
  <c r="BV33" i="17"/>
  <c r="BS33" i="17"/>
  <c r="BY28" i="17"/>
  <c r="BV28" i="17"/>
  <c r="BS28" i="17"/>
  <c r="BY23" i="17"/>
  <c r="BY22" i="17"/>
  <c r="BV22" i="17"/>
  <c r="BV23" i="17" s="1"/>
  <c r="BS22" i="17"/>
  <c r="BS23" i="17" s="1"/>
  <c r="BY14" i="17"/>
  <c r="BV14" i="17"/>
  <c r="BS14" i="17"/>
  <c r="BY32" i="17"/>
  <c r="BY31" i="17"/>
  <c r="BY27" i="17"/>
  <c r="BY26" i="17"/>
  <c r="BY21" i="17"/>
  <c r="BY20" i="17"/>
  <c r="BY19" i="17"/>
  <c r="BY18" i="17"/>
  <c r="BY17" i="17"/>
  <c r="BY16" i="17"/>
  <c r="BY11" i="17"/>
  <c r="BY12" i="17"/>
  <c r="BY13" i="17"/>
  <c r="BY10" i="17"/>
  <c r="BV32" i="17"/>
  <c r="BV38" i="17" s="1"/>
  <c r="BV31" i="17"/>
  <c r="BV36" i="17" s="1"/>
  <c r="BV27" i="17"/>
  <c r="BV26" i="17"/>
  <c r="BV21" i="17"/>
  <c r="BV20" i="17"/>
  <c r="BV19" i="17"/>
  <c r="BV18" i="17"/>
  <c r="BV17" i="17"/>
  <c r="BV16" i="17"/>
  <c r="BV11" i="17"/>
  <c r="BV12" i="17"/>
  <c r="BV13" i="17"/>
  <c r="BV10" i="17"/>
  <c r="BY38" i="17"/>
  <c r="BY36" i="17"/>
  <c r="BS38" i="17"/>
  <c r="BS37" i="17"/>
  <c r="BS36" i="17"/>
  <c r="BS32" i="17"/>
  <c r="BS31" i="17"/>
  <c r="BS27" i="17"/>
  <c r="BS26" i="17"/>
  <c r="BS17" i="17"/>
  <c r="BS18" i="17"/>
  <c r="BS19" i="17"/>
  <c r="BS20" i="17"/>
  <c r="BS21" i="17"/>
  <c r="BS16" i="17"/>
  <c r="BS11" i="17"/>
  <c r="BS12" i="17"/>
  <c r="BS13" i="17"/>
  <c r="BS10" i="17"/>
  <c r="BH32" i="17"/>
  <c r="BH31" i="17"/>
  <c r="BH27" i="17"/>
  <c r="BH26" i="17"/>
  <c r="BH17" i="17"/>
  <c r="BH18" i="17"/>
  <c r="BH19" i="17"/>
  <c r="BH20" i="17"/>
  <c r="BH21" i="17"/>
  <c r="BH16" i="17"/>
  <c r="BH11" i="17"/>
  <c r="BH14" i="17" s="1"/>
  <c r="BH12" i="17"/>
  <c r="BH13" i="17"/>
  <c r="BH10" i="17"/>
  <c r="BE32" i="17"/>
  <c r="BE31" i="17"/>
  <c r="BE27" i="17"/>
  <c r="BE28" i="17" s="1"/>
  <c r="BE26" i="17"/>
  <c r="BE17" i="17"/>
  <c r="BE22" i="17" s="1"/>
  <c r="BE18" i="17"/>
  <c r="BE19" i="17"/>
  <c r="BE20" i="17"/>
  <c r="BE21" i="17"/>
  <c r="BE16" i="17"/>
  <c r="BE11" i="17"/>
  <c r="BE12" i="17"/>
  <c r="BE13" i="17"/>
  <c r="BE10" i="17"/>
  <c r="BE14" i="17"/>
  <c r="BB32" i="17"/>
  <c r="BB31" i="17"/>
  <c r="BB27" i="17"/>
  <c r="BB28" i="17" s="1"/>
  <c r="BB26" i="17"/>
  <c r="BB17" i="17"/>
  <c r="BB22" i="17" s="1"/>
  <c r="BB18" i="17"/>
  <c r="BB19" i="17"/>
  <c r="BB20" i="17"/>
  <c r="BB21" i="17"/>
  <c r="BB16" i="17"/>
  <c r="BB11" i="17"/>
  <c r="BB14" i="17" s="1"/>
  <c r="BB12" i="17"/>
  <c r="BB13" i="17"/>
  <c r="BB10" i="17"/>
  <c r="BG32" i="17"/>
  <c r="BG38" i="17" s="1"/>
  <c r="BG31" i="17"/>
  <c r="BG36" i="17" s="1"/>
  <c r="BG27" i="17"/>
  <c r="BG26" i="17"/>
  <c r="BG21" i="17"/>
  <c r="BG20" i="17"/>
  <c r="BG19" i="17"/>
  <c r="BG18" i="17"/>
  <c r="BG17" i="17"/>
  <c r="BG16" i="17"/>
  <c r="BG11" i="17"/>
  <c r="BG12" i="17"/>
  <c r="BG13" i="17"/>
  <c r="BG10" i="17"/>
  <c r="BD32" i="17"/>
  <c r="BD31" i="17"/>
  <c r="BD33" i="17" s="1"/>
  <c r="BD27" i="17"/>
  <c r="BD37" i="17" s="1"/>
  <c r="BD26" i="17"/>
  <c r="BD21" i="17"/>
  <c r="BD20" i="17"/>
  <c r="BD19" i="17"/>
  <c r="BD18" i="17"/>
  <c r="BD17" i="17"/>
  <c r="BD16" i="17"/>
  <c r="BD22" i="17" s="1"/>
  <c r="BD11" i="17"/>
  <c r="BD14" i="17" s="1"/>
  <c r="BD12" i="17"/>
  <c r="BD13" i="17"/>
  <c r="BD10" i="17"/>
  <c r="BA32" i="17"/>
  <c r="BA31" i="17"/>
  <c r="BA27" i="17"/>
  <c r="BA28" i="17" s="1"/>
  <c r="BA26" i="17"/>
  <c r="BG37" i="17"/>
  <c r="BD38" i="17"/>
  <c r="BD36" i="17"/>
  <c r="BA37" i="17"/>
  <c r="BA33" i="17"/>
  <c r="BG28" i="17"/>
  <c r="BD28" i="17"/>
  <c r="BH22" i="17"/>
  <c r="BG22" i="17"/>
  <c r="BA22" i="17"/>
  <c r="BA23" i="17" s="1"/>
  <c r="BA14" i="17"/>
  <c r="BA21" i="17"/>
  <c r="BA20" i="17"/>
  <c r="BA19" i="17"/>
  <c r="BA18" i="17"/>
  <c r="BA17" i="17"/>
  <c r="BA16" i="17"/>
  <c r="BA11" i="17"/>
  <c r="BA12" i="17"/>
  <c r="BA13" i="17"/>
  <c r="BA10" i="17"/>
  <c r="AP32" i="17"/>
  <c r="AP31" i="17"/>
  <c r="AP27" i="17"/>
  <c r="AP26" i="17"/>
  <c r="AP17" i="17"/>
  <c r="AP18" i="17"/>
  <c r="AP22" i="17" s="1"/>
  <c r="AP19" i="17"/>
  <c r="AP20" i="17"/>
  <c r="AP21" i="17"/>
  <c r="AP16" i="17"/>
  <c r="AP11" i="17"/>
  <c r="AP14" i="17" s="1"/>
  <c r="AP12" i="17"/>
  <c r="AP13" i="17"/>
  <c r="AP10" i="17"/>
  <c r="AM32" i="17"/>
  <c r="AM31" i="17"/>
  <c r="AM33" i="17" s="1"/>
  <c r="AM27" i="17"/>
  <c r="AM26" i="17"/>
  <c r="AM17" i="17"/>
  <c r="AM22" i="17" s="1"/>
  <c r="AM18" i="17"/>
  <c r="AM19" i="17"/>
  <c r="AM20" i="17"/>
  <c r="AM21" i="17"/>
  <c r="AM16" i="17"/>
  <c r="AM12" i="17"/>
  <c r="AM13" i="17"/>
  <c r="AM11" i="17"/>
  <c r="AM10" i="17"/>
  <c r="AJ32" i="17"/>
  <c r="AJ31" i="17"/>
  <c r="AJ27" i="17"/>
  <c r="AJ26" i="17"/>
  <c r="AP33" i="17"/>
  <c r="AP28" i="17"/>
  <c r="AJ22" i="17"/>
  <c r="AJ14" i="17"/>
  <c r="AJ17" i="17"/>
  <c r="AJ18" i="17"/>
  <c r="AJ19" i="17"/>
  <c r="AJ20" i="17"/>
  <c r="AJ21" i="17"/>
  <c r="AJ16" i="17"/>
  <c r="AJ11" i="17"/>
  <c r="AJ12" i="17"/>
  <c r="AJ13" i="17"/>
  <c r="AJ10" i="17"/>
  <c r="AO32" i="17"/>
  <c r="AO31" i="17"/>
  <c r="AO27" i="17"/>
  <c r="AO37" i="17" s="1"/>
  <c r="AO26" i="17"/>
  <c r="AO22" i="17"/>
  <c r="AO21" i="17"/>
  <c r="AO20" i="17"/>
  <c r="AO19" i="17"/>
  <c r="AO18" i="17"/>
  <c r="AO17" i="17"/>
  <c r="AO16" i="17"/>
  <c r="AO11" i="17"/>
  <c r="AO12" i="17"/>
  <c r="AO13" i="17"/>
  <c r="AO14" i="17" s="1"/>
  <c r="AO10" i="17"/>
  <c r="AL32" i="17"/>
  <c r="AL37" i="17" s="1"/>
  <c r="AL31" i="17"/>
  <c r="AL36" i="17" s="1"/>
  <c r="AL27" i="17"/>
  <c r="AL26" i="17"/>
  <c r="AL17" i="17"/>
  <c r="AL18" i="17"/>
  <c r="AL19" i="17"/>
  <c r="AL20" i="17"/>
  <c r="AL22" i="17" s="1"/>
  <c r="AL23" i="17" s="1"/>
  <c r="AL21" i="17"/>
  <c r="AL16" i="17"/>
  <c r="AO28" i="17"/>
  <c r="AO33" i="17"/>
  <c r="AO38" i="17"/>
  <c r="AO36" i="17"/>
  <c r="AL38" i="17"/>
  <c r="AL14" i="17"/>
  <c r="AL11" i="17"/>
  <c r="AL12" i="17"/>
  <c r="AL13" i="17"/>
  <c r="AL10" i="17"/>
  <c r="AI38" i="17"/>
  <c r="AI37" i="17"/>
  <c r="AI36" i="17"/>
  <c r="AI33" i="17"/>
  <c r="AI28" i="17"/>
  <c r="AI32" i="17"/>
  <c r="AI31" i="17"/>
  <c r="AI27" i="17"/>
  <c r="AI26" i="17"/>
  <c r="AI23" i="17"/>
  <c r="AI22" i="17"/>
  <c r="AI14" i="17"/>
  <c r="AI11" i="17"/>
  <c r="AI12" i="17"/>
  <c r="AI13" i="17"/>
  <c r="AI16" i="17"/>
  <c r="AI17" i="17"/>
  <c r="AI18" i="17"/>
  <c r="AI19" i="17"/>
  <c r="AI20" i="17"/>
  <c r="AI21" i="17"/>
  <c r="AI10" i="17"/>
  <c r="U32" i="17"/>
  <c r="U31" i="17"/>
  <c r="U27" i="17"/>
  <c r="U26" i="17"/>
  <c r="U17" i="17"/>
  <c r="U18" i="17"/>
  <c r="U19" i="17"/>
  <c r="U20" i="17"/>
  <c r="U21" i="17"/>
  <c r="U16" i="17"/>
  <c r="U11" i="17"/>
  <c r="U12" i="17"/>
  <c r="U13" i="17"/>
  <c r="U10" i="17"/>
  <c r="U14" i="17" s="1"/>
  <c r="X32" i="17"/>
  <c r="X31" i="17"/>
  <c r="X27" i="17"/>
  <c r="X26" i="17"/>
  <c r="X28" i="17" s="1"/>
  <c r="X17" i="17"/>
  <c r="X22" i="17" s="1"/>
  <c r="X18" i="17"/>
  <c r="X19" i="17"/>
  <c r="X20" i="17"/>
  <c r="X21" i="17"/>
  <c r="X16" i="17"/>
  <c r="X11" i="17"/>
  <c r="X12" i="17"/>
  <c r="X13" i="17"/>
  <c r="X10" i="17"/>
  <c r="W32" i="17"/>
  <c r="W31" i="17"/>
  <c r="W38" i="17" s="1"/>
  <c r="W27" i="17"/>
  <c r="W26" i="17"/>
  <c r="W17" i="17"/>
  <c r="W22" i="17" s="1"/>
  <c r="W18" i="17"/>
  <c r="W19" i="17"/>
  <c r="W20" i="17"/>
  <c r="W21" i="17"/>
  <c r="W16" i="17"/>
  <c r="W11" i="17"/>
  <c r="W14" i="17" s="1"/>
  <c r="W12" i="17"/>
  <c r="W13" i="17"/>
  <c r="W10" i="17"/>
  <c r="T32" i="17"/>
  <c r="T31" i="17"/>
  <c r="T33" i="17" s="1"/>
  <c r="T27" i="17"/>
  <c r="T26" i="17"/>
  <c r="T17" i="17"/>
  <c r="T22" i="17" s="1"/>
  <c r="T18" i="17"/>
  <c r="T19" i="17"/>
  <c r="T20" i="17"/>
  <c r="T21" i="17"/>
  <c r="T16" i="17"/>
  <c r="T11" i="17"/>
  <c r="T14" i="17" s="1"/>
  <c r="T12" i="17"/>
  <c r="T13" i="17"/>
  <c r="T10" i="17"/>
  <c r="R32" i="17"/>
  <c r="R31" i="17"/>
  <c r="R33" i="17" s="1"/>
  <c r="R27" i="17"/>
  <c r="R28" i="17" s="1"/>
  <c r="R26" i="17"/>
  <c r="R17" i="17"/>
  <c r="R18" i="17"/>
  <c r="R19" i="17"/>
  <c r="R20" i="17"/>
  <c r="R21" i="17"/>
  <c r="R16" i="17"/>
  <c r="R11" i="17"/>
  <c r="R14" i="17" s="1"/>
  <c r="R12" i="17"/>
  <c r="R13" i="17"/>
  <c r="R10" i="17"/>
  <c r="W37" i="17"/>
  <c r="W36" i="17"/>
  <c r="T37" i="17"/>
  <c r="Q38" i="17"/>
  <c r="Q37" i="17"/>
  <c r="Q36" i="17"/>
  <c r="Q32" i="17"/>
  <c r="Q33" i="17" s="1"/>
  <c r="Q31" i="17"/>
  <c r="Q27" i="17"/>
  <c r="Q28" i="17" s="1"/>
  <c r="Q26" i="17"/>
  <c r="W33" i="17"/>
  <c r="U33" i="17"/>
  <c r="W28" i="17"/>
  <c r="T28" i="17"/>
  <c r="Q23" i="17"/>
  <c r="Q22" i="17"/>
  <c r="Q14" i="17"/>
  <c r="Q21" i="17"/>
  <c r="Q20" i="17"/>
  <c r="Q19" i="17"/>
  <c r="Q18" i="17"/>
  <c r="Q17" i="17"/>
  <c r="Q16" i="17"/>
  <c r="Q11" i="17"/>
  <c r="Q12" i="17"/>
  <c r="Q13" i="17"/>
  <c r="Q10" i="17"/>
  <c r="BY6" i="17"/>
  <c r="BV6" i="17"/>
  <c r="BS6" i="17"/>
  <c r="BG6" i="17"/>
  <c r="BD6" i="17"/>
  <c r="BA6" i="17"/>
  <c r="AO6" i="17"/>
  <c r="AL6" i="17"/>
  <c r="AI6" i="17"/>
  <c r="AH107" i="16"/>
  <c r="AI107" i="16"/>
  <c r="AH108" i="16"/>
  <c r="AI108" i="16"/>
  <c r="AH109" i="16"/>
  <c r="AI109" i="16"/>
  <c r="AH110" i="16"/>
  <c r="AI110" i="16"/>
  <c r="AH111" i="16"/>
  <c r="AI111" i="16"/>
  <c r="AI106" i="16"/>
  <c r="AH106" i="16"/>
  <c r="AH101" i="16"/>
  <c r="AI101" i="16"/>
  <c r="AH102" i="16"/>
  <c r="AI102" i="16"/>
  <c r="AH103" i="16"/>
  <c r="AI103" i="16"/>
  <c r="AI100" i="16"/>
  <c r="AH100" i="16"/>
  <c r="AG111" i="16"/>
  <c r="AG110" i="16"/>
  <c r="AG109" i="16"/>
  <c r="AG108" i="16"/>
  <c r="AG107" i="16"/>
  <c r="AG106" i="16"/>
  <c r="AG103" i="16"/>
  <c r="AG102" i="16"/>
  <c r="AG101" i="16"/>
  <c r="AG100" i="16"/>
  <c r="AH89" i="16"/>
  <c r="AI89" i="16"/>
  <c r="AH90" i="16"/>
  <c r="AI90" i="16"/>
  <c r="AH91" i="16"/>
  <c r="AI91" i="16"/>
  <c r="AH92" i="16"/>
  <c r="AI92" i="16"/>
  <c r="AH93" i="16"/>
  <c r="AI93" i="16"/>
  <c r="AI88" i="16"/>
  <c r="AH88" i="16"/>
  <c r="AH83" i="16"/>
  <c r="AI83" i="16"/>
  <c r="AH84" i="16"/>
  <c r="AI84" i="16"/>
  <c r="AH85" i="16"/>
  <c r="AI85" i="16"/>
  <c r="AI82" i="16"/>
  <c r="AH82" i="16"/>
  <c r="AG93" i="16"/>
  <c r="AG92" i="16"/>
  <c r="AG91" i="16"/>
  <c r="AG90" i="16"/>
  <c r="AG89" i="16"/>
  <c r="AG88" i="16"/>
  <c r="AG85" i="16"/>
  <c r="AG84" i="16"/>
  <c r="AG83" i="16"/>
  <c r="AG82" i="16"/>
  <c r="AH71" i="16"/>
  <c r="AI71" i="16"/>
  <c r="AH72" i="16"/>
  <c r="AI72" i="16"/>
  <c r="AH73" i="16"/>
  <c r="AI73" i="16"/>
  <c r="AH74" i="16"/>
  <c r="AI74" i="16"/>
  <c r="AH75" i="16"/>
  <c r="AI75" i="16"/>
  <c r="AI70" i="16"/>
  <c r="AH70" i="16"/>
  <c r="AH65" i="16"/>
  <c r="AI65" i="16"/>
  <c r="AH66" i="16"/>
  <c r="AI66" i="16"/>
  <c r="AH67" i="16"/>
  <c r="AI67" i="16"/>
  <c r="AI64" i="16"/>
  <c r="AH64" i="16"/>
  <c r="AG75" i="16"/>
  <c r="AG74" i="16"/>
  <c r="AG73" i="16"/>
  <c r="AG72" i="16"/>
  <c r="AG71" i="16"/>
  <c r="AG70" i="16"/>
  <c r="AG67" i="16"/>
  <c r="AG66" i="16"/>
  <c r="AG65" i="16"/>
  <c r="AG64" i="16"/>
  <c r="AG28" i="16"/>
  <c r="AE111" i="16"/>
  <c r="AF111" i="16" s="1"/>
  <c r="AE110" i="16"/>
  <c r="AF110" i="16" s="1"/>
  <c r="AF109" i="16"/>
  <c r="AE109" i="16"/>
  <c r="AF108" i="16"/>
  <c r="AE108" i="16"/>
  <c r="AF107" i="16"/>
  <c r="AE107" i="16"/>
  <c r="AE106" i="16"/>
  <c r="AF106" i="16" s="1"/>
  <c r="AF112" i="16" s="1"/>
  <c r="AE103" i="16"/>
  <c r="AF103" i="16" s="1"/>
  <c r="AE102" i="16"/>
  <c r="AF102" i="16" s="1"/>
  <c r="AE101" i="16"/>
  <c r="AF101" i="16" s="1"/>
  <c r="AE100" i="16"/>
  <c r="AE104" i="16" s="1"/>
  <c r="AE93" i="16"/>
  <c r="AF93" i="16" s="1"/>
  <c r="AF92" i="16"/>
  <c r="AE92" i="16"/>
  <c r="AE91" i="16"/>
  <c r="AF91" i="16" s="1"/>
  <c r="AF90" i="16"/>
  <c r="AE90" i="16"/>
  <c r="AE89" i="16"/>
  <c r="AF89" i="16" s="1"/>
  <c r="AE88" i="16"/>
  <c r="AF88" i="16" s="1"/>
  <c r="AF94" i="16" s="1"/>
  <c r="AE85" i="16"/>
  <c r="AF85" i="16" s="1"/>
  <c r="AE84" i="16"/>
  <c r="AF84" i="16" s="1"/>
  <c r="AE83" i="16"/>
  <c r="AF83" i="16" s="1"/>
  <c r="AE82" i="16"/>
  <c r="AE86" i="16" s="1"/>
  <c r="AF75" i="16"/>
  <c r="AE75" i="16"/>
  <c r="AE74" i="16"/>
  <c r="AE76" i="16" s="1"/>
  <c r="AE73" i="16"/>
  <c r="AF73" i="16" s="1"/>
  <c r="AE72" i="16"/>
  <c r="AF72" i="16" s="1"/>
  <c r="AF71" i="16"/>
  <c r="AE71" i="16"/>
  <c r="AE70" i="16"/>
  <c r="AF70" i="16" s="1"/>
  <c r="AE67" i="16"/>
  <c r="AF67" i="16" s="1"/>
  <c r="AE66" i="16"/>
  <c r="AF66" i="16" s="1"/>
  <c r="AE65" i="16"/>
  <c r="AF65" i="16" s="1"/>
  <c r="AE64" i="16"/>
  <c r="AE68" i="16" s="1"/>
  <c r="Z107" i="16"/>
  <c r="Z108" i="16"/>
  <c r="Z109" i="16"/>
  <c r="Z110" i="16"/>
  <c r="Z111" i="16"/>
  <c r="Z106" i="16"/>
  <c r="Y107" i="16"/>
  <c r="Y108" i="16"/>
  <c r="Y109" i="16"/>
  <c r="Y110" i="16"/>
  <c r="Y111" i="16"/>
  <c r="Y106" i="16"/>
  <c r="Z101" i="16"/>
  <c r="Z102" i="16"/>
  <c r="Z103" i="16"/>
  <c r="Z100" i="16"/>
  <c r="Y101" i="16"/>
  <c r="Y102" i="16"/>
  <c r="Y103" i="16"/>
  <c r="Y100" i="16"/>
  <c r="X109" i="16"/>
  <c r="X108" i="16"/>
  <c r="X107" i="16"/>
  <c r="X106" i="16"/>
  <c r="X111" i="16"/>
  <c r="X110" i="16"/>
  <c r="X101" i="16"/>
  <c r="X103" i="16"/>
  <c r="X102" i="16"/>
  <c r="X100" i="16"/>
  <c r="Z89" i="16"/>
  <c r="Z90" i="16"/>
  <c r="Z91" i="16"/>
  <c r="Z92" i="16"/>
  <c r="Z93" i="16"/>
  <c r="Z88" i="16"/>
  <c r="Y89" i="16"/>
  <c r="Y90" i="16"/>
  <c r="Y91" i="16"/>
  <c r="Y92" i="16"/>
  <c r="Y93" i="16"/>
  <c r="Y88" i="16"/>
  <c r="Z83" i="16"/>
  <c r="Z84" i="16"/>
  <c r="Z85" i="16"/>
  <c r="Z82" i="16"/>
  <c r="Y83" i="16"/>
  <c r="Y84" i="16"/>
  <c r="Y85" i="16"/>
  <c r="Y82" i="16"/>
  <c r="X90" i="16"/>
  <c r="X89" i="16"/>
  <c r="X88" i="16"/>
  <c r="S85" i="7"/>
  <c r="S70" i="7"/>
  <c r="S55" i="7"/>
  <c r="M85" i="7"/>
  <c r="M70" i="7"/>
  <c r="M55" i="7"/>
  <c r="G85" i="7"/>
  <c r="G70" i="7"/>
  <c r="G55" i="7"/>
  <c r="A85" i="7"/>
  <c r="A70" i="7"/>
  <c r="A55" i="7"/>
  <c r="W6" i="17"/>
  <c r="T6" i="17"/>
  <c r="Q6" i="17"/>
  <c r="D24" i="27" l="1"/>
  <c r="D37" i="27"/>
  <c r="E24" i="27"/>
  <c r="F37" i="27" s="1"/>
  <c r="BZ28" i="17"/>
  <c r="BY37" i="17"/>
  <c r="BV37" i="17"/>
  <c r="BH33" i="17"/>
  <c r="BH28" i="17"/>
  <c r="BE33" i="17"/>
  <c r="BB33" i="17"/>
  <c r="BG33" i="17"/>
  <c r="BG14" i="17"/>
  <c r="BG23" i="17" s="1"/>
  <c r="BD23" i="17"/>
  <c r="BA38" i="17"/>
  <c r="BA36" i="17"/>
  <c r="AM28" i="17"/>
  <c r="AM14" i="17"/>
  <c r="AJ33" i="17"/>
  <c r="AJ28" i="17"/>
  <c r="AO23" i="17"/>
  <c r="AL33" i="17"/>
  <c r="AL28" i="17"/>
  <c r="U28" i="17"/>
  <c r="U22" i="17"/>
  <c r="X33" i="17"/>
  <c r="X14" i="17"/>
  <c r="W23" i="17"/>
  <c r="T38" i="17"/>
  <c r="T36" i="17"/>
  <c r="T23" i="17"/>
  <c r="R22" i="17"/>
  <c r="AG112" i="16"/>
  <c r="AG104" i="16"/>
  <c r="AI94" i="16"/>
  <c r="AG86" i="16"/>
  <c r="AI86" i="16"/>
  <c r="AI68" i="16"/>
  <c r="AF100" i="16"/>
  <c r="AI76" i="16"/>
  <c r="AF104" i="16"/>
  <c r="AE77" i="16"/>
  <c r="AE112" i="16"/>
  <c r="AE113" i="16" s="1"/>
  <c r="AG68" i="16"/>
  <c r="AF74" i="16"/>
  <c r="AF76" i="16" s="1"/>
  <c r="AE94" i="16"/>
  <c r="AE95" i="16" s="1"/>
  <c r="AF82" i="16"/>
  <c r="AF86" i="16" s="1"/>
  <c r="AG94" i="16"/>
  <c r="AG76" i="16"/>
  <c r="AF64" i="16"/>
  <c r="AF68" i="16" s="1"/>
  <c r="AI104" i="16"/>
  <c r="AI112" i="16"/>
  <c r="AH112" i="16"/>
  <c r="E37" i="27" l="1"/>
  <c r="AG113" i="16"/>
  <c r="AI113" i="16"/>
  <c r="AI95" i="16"/>
  <c r="AH94" i="16"/>
  <c r="AH86" i="16"/>
  <c r="AG95" i="16"/>
  <c r="AH76" i="16"/>
  <c r="AG77" i="16"/>
  <c r="AI77" i="16"/>
  <c r="AH68" i="16"/>
  <c r="AH104" i="16"/>
  <c r="A8" i="23" l="1"/>
  <c r="A27" i="23" s="1"/>
  <c r="A47" i="23" s="1"/>
  <c r="A67" i="23" s="1"/>
  <c r="A20" i="23"/>
  <c r="A39" i="23" s="1"/>
  <c r="A59" i="23" s="1"/>
  <c r="A79" i="23" s="1"/>
  <c r="A19" i="23"/>
  <c r="A38" i="23" s="1"/>
  <c r="A58" i="23" s="1"/>
  <c r="A78" i="23" s="1"/>
  <c r="A18" i="23"/>
  <c r="A37" i="23" s="1"/>
  <c r="A57" i="23" s="1"/>
  <c r="A77" i="23" s="1"/>
  <c r="A13" i="23"/>
  <c r="A32" i="23" s="1"/>
  <c r="A52" i="23" s="1"/>
  <c r="A72" i="23" s="1"/>
  <c r="A14" i="23"/>
  <c r="A33" i="23" s="1"/>
  <c r="A53" i="23" s="1"/>
  <c r="A73" i="23" s="1"/>
  <c r="A12" i="23"/>
  <c r="A31" i="23" s="1"/>
  <c r="A51" i="23" s="1"/>
  <c r="A71" i="23" s="1"/>
  <c r="G2" i="5"/>
  <c r="G3" i="5"/>
  <c r="G147" i="5"/>
  <c r="G4" i="5"/>
  <c r="G5" i="5"/>
  <c r="G99" i="5"/>
  <c r="G40" i="5"/>
  <c r="G6" i="5"/>
  <c r="G7" i="5"/>
  <c r="G8" i="5"/>
  <c r="G96" i="5"/>
  <c r="G9" i="5"/>
  <c r="G10" i="5"/>
  <c r="G184" i="5"/>
  <c r="G185" i="5"/>
  <c r="G148" i="5"/>
  <c r="G186" i="5"/>
  <c r="G11" i="5"/>
  <c r="G187" i="5"/>
  <c r="G97" i="5"/>
  <c r="G12" i="5"/>
  <c r="G188" i="5"/>
  <c r="G13" i="5"/>
  <c r="G174" i="5"/>
  <c r="G189" i="5"/>
  <c r="G94" i="5"/>
  <c r="G14" i="5"/>
  <c r="G175" i="5"/>
  <c r="G15" i="5"/>
  <c r="G176" i="5"/>
  <c r="G34" i="5"/>
  <c r="G16" i="5"/>
  <c r="G177" i="5"/>
  <c r="G35" i="5"/>
  <c r="G143" i="5"/>
  <c r="G178" i="5"/>
  <c r="G192" i="5"/>
  <c r="G179" i="5"/>
  <c r="G17" i="5"/>
  <c r="G18" i="5"/>
  <c r="G144" i="5"/>
  <c r="G190" i="5"/>
  <c r="G180" i="5"/>
  <c r="G181" i="5"/>
  <c r="G100" i="5"/>
  <c r="G19" i="5"/>
  <c r="G20" i="5"/>
  <c r="G21" i="5"/>
  <c r="G149" i="5"/>
  <c r="G150" i="5"/>
  <c r="G145" i="5"/>
  <c r="G22" i="5"/>
  <c r="G36" i="5"/>
  <c r="G95" i="5"/>
  <c r="G23" i="5"/>
  <c r="G182" i="5"/>
  <c r="G24" i="5"/>
  <c r="G183" i="5"/>
  <c r="G25" i="5"/>
  <c r="G26" i="5"/>
  <c r="G98" i="5"/>
  <c r="G37" i="5"/>
  <c r="G27" i="5"/>
  <c r="G101" i="5"/>
  <c r="G28" i="5"/>
  <c r="G191" i="5"/>
  <c r="G29" i="5"/>
  <c r="G30" i="5"/>
  <c r="G31" i="5"/>
  <c r="G146" i="5"/>
  <c r="G32" i="5"/>
  <c r="G38" i="5"/>
  <c r="G33" i="5"/>
  <c r="G39" i="5"/>
  <c r="G106" i="5"/>
  <c r="G157" i="5"/>
  <c r="G53" i="5"/>
  <c r="G63" i="5"/>
  <c r="G151" i="5"/>
  <c r="G193" i="5"/>
  <c r="G201" i="5"/>
  <c r="G54" i="5"/>
  <c r="G160" i="5"/>
  <c r="G55" i="5"/>
  <c r="G56" i="5"/>
  <c r="G202" i="5"/>
  <c r="G107" i="5"/>
  <c r="G158" i="5"/>
  <c r="G116" i="5"/>
  <c r="G161" i="5"/>
  <c r="G162" i="5"/>
  <c r="G209" i="5"/>
  <c r="G163" i="5"/>
  <c r="G108" i="5"/>
  <c r="G117" i="5"/>
  <c r="G102" i="5"/>
  <c r="G210" i="5"/>
  <c r="G118" i="5"/>
  <c r="G57" i="5"/>
  <c r="G152" i="5"/>
  <c r="G203" i="5"/>
  <c r="G103" i="5"/>
  <c r="G58" i="5"/>
  <c r="G109" i="5"/>
  <c r="G59" i="5"/>
  <c r="G204" i="5"/>
  <c r="G110" i="5"/>
  <c r="G211" i="5"/>
  <c r="G194" i="5"/>
  <c r="G104" i="5"/>
  <c r="G205" i="5"/>
  <c r="G119" i="5"/>
  <c r="G195" i="5"/>
  <c r="G153" i="5"/>
  <c r="G120" i="5"/>
  <c r="G206" i="5"/>
  <c r="G111" i="5"/>
  <c r="G196" i="5"/>
  <c r="G121" i="5"/>
  <c r="G41" i="5"/>
  <c r="G122" i="5"/>
  <c r="G123" i="5"/>
  <c r="G60" i="5"/>
  <c r="G197" i="5"/>
  <c r="G42" i="5"/>
  <c r="G105" i="5"/>
  <c r="G43" i="5"/>
  <c r="G44" i="5"/>
  <c r="G154" i="5"/>
  <c r="G198" i="5"/>
  <c r="G124" i="5"/>
  <c r="G61" i="5"/>
  <c r="G45" i="5"/>
  <c r="G125" i="5"/>
  <c r="G155" i="5"/>
  <c r="G207" i="5"/>
  <c r="G46" i="5"/>
  <c r="G47" i="5"/>
  <c r="G208" i="5"/>
  <c r="G159" i="5"/>
  <c r="G48" i="5"/>
  <c r="G64" i="5"/>
  <c r="G49" i="5"/>
  <c r="G112" i="5"/>
  <c r="G199" i="5"/>
  <c r="G126" i="5"/>
  <c r="G113" i="5"/>
  <c r="G65" i="5"/>
  <c r="G50" i="5"/>
  <c r="G51" i="5"/>
  <c r="G200" i="5"/>
  <c r="G66" i="5"/>
  <c r="G114" i="5"/>
  <c r="G62" i="5"/>
  <c r="G52" i="5"/>
  <c r="G67" i="5"/>
  <c r="G212" i="5"/>
  <c r="G156" i="5"/>
  <c r="G115" i="5"/>
  <c r="G84" i="5"/>
  <c r="G213" i="5"/>
  <c r="G214" i="5"/>
  <c r="G85" i="5"/>
  <c r="G233" i="5"/>
  <c r="G234" i="5"/>
  <c r="G215" i="5"/>
  <c r="G129" i="5"/>
  <c r="G224" i="5"/>
  <c r="G235" i="5"/>
  <c r="G127" i="5"/>
  <c r="G68" i="5"/>
  <c r="G225" i="5"/>
  <c r="G216" i="5"/>
  <c r="G69" i="5"/>
  <c r="G165" i="5"/>
  <c r="G70" i="5"/>
  <c r="G86" i="5"/>
  <c r="G136" i="5"/>
  <c r="G166" i="5"/>
  <c r="G87" i="5"/>
  <c r="G130" i="5"/>
  <c r="G226" i="5"/>
  <c r="G217" i="5"/>
  <c r="G88" i="5"/>
  <c r="G218" i="5"/>
  <c r="G131" i="5"/>
  <c r="G132" i="5"/>
  <c r="G219" i="5"/>
  <c r="G71" i="5"/>
  <c r="G133" i="5"/>
  <c r="G72" i="5"/>
  <c r="G89" i="5"/>
  <c r="G167" i="5"/>
  <c r="G137" i="5"/>
  <c r="G168" i="5"/>
  <c r="G227" i="5"/>
  <c r="G228" i="5"/>
  <c r="G134" i="5"/>
  <c r="G138" i="5"/>
  <c r="G139" i="5"/>
  <c r="G128" i="5"/>
  <c r="G140" i="5"/>
  <c r="G73" i="5"/>
  <c r="G141" i="5"/>
  <c r="G171" i="5"/>
  <c r="G220" i="5"/>
  <c r="G74" i="5"/>
  <c r="G75" i="5"/>
  <c r="G229" i="5"/>
  <c r="G90" i="5"/>
  <c r="G135" i="5"/>
  <c r="G91" i="5"/>
  <c r="G221" i="5"/>
  <c r="G142" i="5"/>
  <c r="G76" i="5"/>
  <c r="G172" i="5"/>
  <c r="G222" i="5"/>
  <c r="G77" i="5"/>
  <c r="G169" i="5"/>
  <c r="G78" i="5"/>
  <c r="G230" i="5"/>
  <c r="G79" i="5"/>
  <c r="G223" i="5"/>
  <c r="G93" i="5"/>
  <c r="G164" i="5"/>
  <c r="G231" i="5"/>
  <c r="G80" i="5"/>
  <c r="G92" i="5"/>
  <c r="G170" i="5"/>
  <c r="G81" i="5"/>
  <c r="G82" i="5"/>
  <c r="G232" i="5"/>
  <c r="G83" i="5"/>
  <c r="G173" i="5"/>
  <c r="CE32" i="17"/>
  <c r="CE31" i="17"/>
  <c r="CE27" i="17"/>
  <c r="CE37" i="17" s="1"/>
  <c r="CE26" i="17"/>
  <c r="CE22" i="17"/>
  <c r="CE14" i="17"/>
  <c r="F4" i="31"/>
  <c r="CB32" i="17"/>
  <c r="CB27" i="17"/>
  <c r="CB37" i="17" s="1"/>
  <c r="CB26" i="17"/>
  <c r="CB28" i="17" s="1"/>
  <c r="CB22" i="17"/>
  <c r="CB14" i="17"/>
  <c r="E3" i="31"/>
  <c r="CB23" i="17" l="1"/>
  <c r="E17" i="22" l="1"/>
  <c r="E18" i="22"/>
  <c r="E19" i="22"/>
  <c r="E20" i="22"/>
  <c r="E16" i="22"/>
  <c r="E21" i="22" s="1"/>
  <c r="D58" i="21"/>
  <c r="H106" i="5" l="1"/>
  <c r="H157" i="5"/>
  <c r="H84" i="5"/>
  <c r="H213" i="5"/>
  <c r="H214" i="5"/>
  <c r="H85" i="5"/>
  <c r="H53" i="5"/>
  <c r="H63" i="5"/>
  <c r="H151" i="5"/>
  <c r="H2" i="5"/>
  <c r="H233" i="5"/>
  <c r="H3" i="5"/>
  <c r="H147" i="5"/>
  <c r="H4" i="5"/>
  <c r="H5" i="5"/>
  <c r="H193" i="5"/>
  <c r="H234" i="5"/>
  <c r="H201" i="5"/>
  <c r="H215" i="5"/>
  <c r="H129" i="5"/>
  <c r="H224" i="5"/>
  <c r="H99" i="5"/>
  <c r="H54" i="5"/>
  <c r="H160" i="5"/>
  <c r="H55" i="5"/>
  <c r="H56" i="5"/>
  <c r="H202" i="5"/>
  <c r="H107" i="5"/>
  <c r="H235" i="5"/>
  <c r="H158" i="5"/>
  <c r="H116" i="5"/>
  <c r="H161" i="5"/>
  <c r="H40" i="5"/>
  <c r="H6" i="5"/>
  <c r="H162" i="5"/>
  <c r="H209" i="5"/>
  <c r="H163" i="5"/>
  <c r="H108" i="5"/>
  <c r="H127" i="5"/>
  <c r="H7" i="5"/>
  <c r="H68" i="5"/>
  <c r="H225" i="5"/>
  <c r="H117" i="5"/>
  <c r="H102" i="5"/>
  <c r="H210" i="5"/>
  <c r="H216" i="5"/>
  <c r="H69" i="5"/>
  <c r="H118" i="5"/>
  <c r="H57" i="5"/>
  <c r="H152" i="5"/>
  <c r="H8" i="5"/>
  <c r="H203" i="5"/>
  <c r="H96" i="5"/>
  <c r="H165" i="5"/>
  <c r="H70" i="5"/>
  <c r="H86" i="5"/>
  <c r="H136" i="5"/>
  <c r="H166" i="5"/>
  <c r="H87" i="5"/>
  <c r="H130" i="5"/>
  <c r="H226" i="5"/>
  <c r="H103" i="5"/>
  <c r="H217" i="5"/>
  <c r="H9" i="5"/>
  <c r="H10" i="5"/>
  <c r="H184" i="5"/>
  <c r="H185" i="5"/>
  <c r="H148" i="5"/>
  <c r="H88" i="5"/>
  <c r="H186" i="5"/>
  <c r="H11" i="5"/>
  <c r="H187" i="5"/>
  <c r="H58" i="5"/>
  <c r="H218" i="5"/>
  <c r="H109" i="5"/>
  <c r="H131" i="5"/>
  <c r="H59" i="5"/>
  <c r="H97" i="5"/>
  <c r="H12" i="5"/>
  <c r="H188" i="5"/>
  <c r="H132" i="5"/>
  <c r="H204" i="5"/>
  <c r="H110" i="5"/>
  <c r="H211" i="5"/>
  <c r="H194" i="5"/>
  <c r="H13" i="5"/>
  <c r="H174" i="5"/>
  <c r="H219" i="5"/>
  <c r="H71" i="5"/>
  <c r="H189" i="5"/>
  <c r="H133" i="5"/>
  <c r="H94" i="5"/>
  <c r="H72" i="5"/>
  <c r="H104" i="5"/>
  <c r="H14" i="5"/>
  <c r="H175" i="5"/>
  <c r="H15" i="5"/>
  <c r="H89" i="5"/>
  <c r="H167" i="5"/>
  <c r="H205" i="5"/>
  <c r="H137" i="5"/>
  <c r="H119" i="5"/>
  <c r="H195" i="5"/>
  <c r="H168" i="5"/>
  <c r="H153" i="5"/>
  <c r="H176" i="5"/>
  <c r="H227" i="5"/>
  <c r="H34" i="5"/>
  <c r="H228" i="5"/>
  <c r="H134" i="5"/>
  <c r="H138" i="5"/>
  <c r="H139" i="5"/>
  <c r="H16" i="5"/>
  <c r="H128" i="5"/>
  <c r="H120" i="5"/>
  <c r="H206" i="5"/>
  <c r="H111" i="5"/>
  <c r="H177" i="5"/>
  <c r="H140" i="5"/>
  <c r="H196" i="5"/>
  <c r="H73" i="5"/>
  <c r="H141" i="5"/>
  <c r="H171" i="5"/>
  <c r="H220" i="5"/>
  <c r="H121" i="5"/>
  <c r="H41" i="5"/>
  <c r="H122" i="5"/>
  <c r="H74" i="5"/>
  <c r="H123" i="5"/>
  <c r="H75" i="5"/>
  <c r="H229" i="5"/>
  <c r="H60" i="5"/>
  <c r="H35" i="5"/>
  <c r="H90" i="5"/>
  <c r="H197" i="5"/>
  <c r="H135" i="5"/>
  <c r="H42" i="5"/>
  <c r="H143" i="5"/>
  <c r="H178" i="5"/>
  <c r="H91" i="5"/>
  <c r="H221" i="5"/>
  <c r="H105" i="5"/>
  <c r="H43" i="5"/>
  <c r="H192" i="5"/>
  <c r="H44" i="5"/>
  <c r="H154" i="5"/>
  <c r="H142" i="5"/>
  <c r="H179" i="5"/>
  <c r="H76" i="5"/>
  <c r="H198" i="5"/>
  <c r="H172" i="5"/>
  <c r="H17" i="5"/>
  <c r="H18" i="5"/>
  <c r="H222" i="5"/>
  <c r="H124" i="5"/>
  <c r="H61" i="5"/>
  <c r="H45" i="5"/>
  <c r="H144" i="5"/>
  <c r="H190" i="5"/>
  <c r="H77" i="5"/>
  <c r="H180" i="5"/>
  <c r="H125" i="5"/>
  <c r="H155" i="5"/>
  <c r="H181" i="5"/>
  <c r="H100" i="5"/>
  <c r="H19" i="5"/>
  <c r="H207" i="5"/>
  <c r="H169" i="5"/>
  <c r="H78" i="5"/>
  <c r="H20" i="5"/>
  <c r="H46" i="5"/>
  <c r="H21" i="5"/>
  <c r="H47" i="5"/>
  <c r="H149" i="5"/>
  <c r="H208" i="5"/>
  <c r="H230" i="5"/>
  <c r="H150" i="5"/>
  <c r="H79" i="5"/>
  <c r="H145" i="5"/>
  <c r="H159" i="5"/>
  <c r="H223" i="5"/>
  <c r="H93" i="5"/>
  <c r="H48" i="5"/>
  <c r="H164" i="5"/>
  <c r="H64" i="5"/>
  <c r="H49" i="5"/>
  <c r="H22" i="5"/>
  <c r="H36" i="5"/>
  <c r="H112" i="5"/>
  <c r="H199" i="5"/>
  <c r="H95" i="5"/>
  <c r="H23" i="5"/>
  <c r="H182" i="5"/>
  <c r="H126" i="5"/>
  <c r="H113" i="5"/>
  <c r="H65" i="5"/>
  <c r="H24" i="5"/>
  <c r="H183" i="5"/>
  <c r="H25" i="5"/>
  <c r="H231" i="5"/>
  <c r="H80" i="5"/>
  <c r="H26" i="5"/>
  <c r="H98" i="5"/>
  <c r="H37" i="5"/>
  <c r="H50" i="5"/>
  <c r="H27" i="5"/>
  <c r="H101" i="5"/>
  <c r="H51" i="5"/>
  <c r="H200" i="5"/>
  <c r="H92" i="5"/>
  <c r="H66" i="5"/>
  <c r="H28" i="5"/>
  <c r="H191" i="5"/>
  <c r="H170" i="5"/>
  <c r="H114" i="5"/>
  <c r="H29" i="5"/>
  <c r="H30" i="5"/>
  <c r="H31" i="5"/>
  <c r="H146" i="5"/>
  <c r="H32" i="5"/>
  <c r="H38" i="5"/>
  <c r="H81" i="5"/>
  <c r="H33" i="5"/>
  <c r="H62" i="5"/>
  <c r="H52" i="5"/>
  <c r="H67" i="5"/>
  <c r="H212" i="5"/>
  <c r="H82" i="5"/>
  <c r="H156" i="5"/>
  <c r="H39" i="5"/>
  <c r="H115" i="5"/>
  <c r="H232" i="5"/>
  <c r="H83" i="5"/>
  <c r="H173" i="5"/>
  <c r="F106" i="5"/>
  <c r="X83" i="16" l="1"/>
  <c r="X67" i="16"/>
  <c r="O74" i="16"/>
  <c r="O65" i="16"/>
  <c r="O82" i="16"/>
  <c r="O90" i="16"/>
  <c r="O108" i="16"/>
  <c r="F111" i="16"/>
  <c r="F107" i="16"/>
  <c r="F101" i="16"/>
  <c r="F89" i="16"/>
  <c r="F75" i="16"/>
  <c r="F65" i="16"/>
  <c r="W77" i="7"/>
  <c r="U62" i="7"/>
  <c r="E92" i="7"/>
  <c r="C77" i="7"/>
  <c r="C85" i="7"/>
  <c r="X93" i="16"/>
  <c r="X82" i="16"/>
  <c r="O70" i="16"/>
  <c r="O85" i="16"/>
  <c r="O107" i="16"/>
  <c r="F88" i="16"/>
  <c r="F74" i="16"/>
  <c r="F64" i="16"/>
  <c r="W92" i="7"/>
  <c r="U77" i="7"/>
  <c r="K62" i="7"/>
  <c r="C92" i="7"/>
  <c r="O85" i="7"/>
  <c r="X92" i="16"/>
  <c r="X75" i="16"/>
  <c r="X65" i="16"/>
  <c r="O73" i="16"/>
  <c r="O64" i="16"/>
  <c r="O93" i="16"/>
  <c r="O106" i="16"/>
  <c r="F110" i="16"/>
  <c r="F106" i="16"/>
  <c r="F100" i="16"/>
  <c r="F85" i="16"/>
  <c r="F73" i="16"/>
  <c r="U92" i="7"/>
  <c r="K77" i="7"/>
  <c r="I62" i="7"/>
  <c r="O70" i="7"/>
  <c r="X91" i="16"/>
  <c r="X74" i="16"/>
  <c r="X64" i="16"/>
  <c r="O89" i="16"/>
  <c r="O103" i="16"/>
  <c r="F72" i="16"/>
  <c r="K92" i="7"/>
  <c r="I77" i="7"/>
  <c r="U85" i="7"/>
  <c r="X73" i="16"/>
  <c r="O72" i="16"/>
  <c r="O67" i="16"/>
  <c r="O92" i="16"/>
  <c r="O100" i="16"/>
  <c r="F109" i="16"/>
  <c r="F103" i="16"/>
  <c r="F93" i="16"/>
  <c r="F83" i="16"/>
  <c r="F71" i="16"/>
  <c r="Q92" i="7"/>
  <c r="I92" i="7"/>
  <c r="U70" i="7"/>
  <c r="X72" i="16"/>
  <c r="O83" i="16"/>
  <c r="O111" i="16"/>
  <c r="O101" i="16"/>
  <c r="F92" i="16"/>
  <c r="F70" i="16"/>
  <c r="Q77" i="7"/>
  <c r="O92" i="7"/>
  <c r="E62" i="7"/>
  <c r="C70" i="7"/>
  <c r="U55" i="7"/>
  <c r="C55" i="7"/>
  <c r="X85" i="16"/>
  <c r="X71" i="16"/>
  <c r="O75" i="16"/>
  <c r="O71" i="16"/>
  <c r="O91" i="16"/>
  <c r="O88" i="16"/>
  <c r="O110" i="16"/>
  <c r="F108" i="16"/>
  <c r="F91" i="16"/>
  <c r="F82" i="16"/>
  <c r="F67" i="16"/>
  <c r="Q62" i="7"/>
  <c r="O77" i="7"/>
  <c r="I70" i="7"/>
  <c r="O55" i="7"/>
  <c r="X70" i="16"/>
  <c r="O109" i="16"/>
  <c r="F90" i="16"/>
  <c r="W62" i="7"/>
  <c r="O62" i="7"/>
  <c r="E77" i="7"/>
  <c r="C62" i="7"/>
  <c r="I85" i="7"/>
  <c r="I55" i="7"/>
  <c r="A23" i="23"/>
  <c r="A42" i="23" s="1"/>
  <c r="A62" i="23" s="1"/>
  <c r="A82" i="23" s="1"/>
  <c r="A22" i="23"/>
  <c r="A41" i="23" s="1"/>
  <c r="A61" i="23" s="1"/>
  <c r="A81" i="23" s="1"/>
  <c r="A21" i="23"/>
  <c r="A40" i="23" s="1"/>
  <c r="A60" i="23" s="1"/>
  <c r="A80" i="23" s="1"/>
  <c r="CE28" i="17"/>
  <c r="CE36" i="17"/>
  <c r="CE23" i="17"/>
  <c r="E2" i="31"/>
  <c r="A3" i="16"/>
  <c r="A3" i="7"/>
  <c r="B3" i="22"/>
  <c r="B3" i="17"/>
  <c r="A3" i="25"/>
  <c r="A3" i="20"/>
  <c r="B3" i="23"/>
  <c r="A3" i="27"/>
  <c r="A3" i="28"/>
  <c r="U101" i="7" l="1"/>
  <c r="F94" i="16"/>
  <c r="G88" i="16" s="1"/>
  <c r="C101" i="7"/>
  <c r="X76" i="16"/>
  <c r="O94" i="16"/>
  <c r="P88" i="16" s="1"/>
  <c r="P92" i="16"/>
  <c r="P91" i="16"/>
  <c r="F76" i="16"/>
  <c r="O76" i="16"/>
  <c r="Y74" i="16" s="1"/>
  <c r="P89" i="16"/>
  <c r="F112" i="16"/>
  <c r="G108" i="16" s="1"/>
  <c r="P111" i="16"/>
  <c r="X112" i="16"/>
  <c r="P108" i="16"/>
  <c r="I101" i="7"/>
  <c r="Y73" i="16"/>
  <c r="P106" i="16"/>
  <c r="O112" i="16"/>
  <c r="P109" i="16" s="1"/>
  <c r="O101" i="7"/>
  <c r="P90" i="16"/>
  <c r="X94" i="16"/>
  <c r="CF26" i="17"/>
  <c r="CE38" i="17"/>
  <c r="CF27" i="17"/>
  <c r="CN33" i="17"/>
  <c r="CK33" i="17"/>
  <c r="CK31" i="17" s="1"/>
  <c r="CL31" i="17" s="1"/>
  <c r="CH33" i="17"/>
  <c r="CH31" i="17" s="1"/>
  <c r="CI31" i="17" s="1"/>
  <c r="N9" i="29"/>
  <c r="M9" i="29"/>
  <c r="N8" i="29"/>
  <c r="N3" i="29"/>
  <c r="N4" i="29"/>
  <c r="N5" i="29"/>
  <c r="N6" i="29"/>
  <c r="N7" i="29"/>
  <c r="N2" i="29"/>
  <c r="P75" i="16" l="1"/>
  <c r="P71" i="16"/>
  <c r="G93" i="16"/>
  <c r="G91" i="16"/>
  <c r="G107" i="16"/>
  <c r="G111" i="16"/>
  <c r="G106" i="16"/>
  <c r="G90" i="16"/>
  <c r="G110" i="16"/>
  <c r="Y75" i="16"/>
  <c r="G92" i="16"/>
  <c r="G109" i="16"/>
  <c r="G89" i="16"/>
  <c r="P107" i="16"/>
  <c r="G72" i="16"/>
  <c r="P110" i="16"/>
  <c r="Y71" i="16"/>
  <c r="P73" i="16"/>
  <c r="G75" i="16"/>
  <c r="G71" i="16"/>
  <c r="G73" i="16"/>
  <c r="P72" i="16"/>
  <c r="P74" i="16"/>
  <c r="Y72" i="16"/>
  <c r="G74" i="16"/>
  <c r="P70" i="16"/>
  <c r="Y70" i="16"/>
  <c r="G70" i="16"/>
  <c r="P93" i="16"/>
  <c r="P94" i="16" s="1"/>
  <c r="CK32" i="17"/>
  <c r="CN31" i="17"/>
  <c r="CO31" i="17" s="1"/>
  <c r="CN32" i="17"/>
  <c r="CN38" i="17" s="1"/>
  <c r="CH32" i="17"/>
  <c r="B7" i="20"/>
  <c r="B23" i="25"/>
  <c r="E32" i="17"/>
  <c r="E31" i="17"/>
  <c r="E28" i="17"/>
  <c r="E26" i="17" s="1"/>
  <c r="E27" i="17" l="1"/>
  <c r="E37" i="17" s="1"/>
  <c r="Y94" i="16"/>
  <c r="Y112" i="16"/>
  <c r="P76" i="16"/>
  <c r="G76" i="16"/>
  <c r="Y76" i="16"/>
  <c r="E38" i="17"/>
  <c r="CH38" i="17"/>
  <c r="CI32" i="17"/>
  <c r="CI33" i="17" s="1"/>
  <c r="CO32" i="17"/>
  <c r="E36" i="17"/>
  <c r="CK38" i="17"/>
  <c r="CL32" i="17"/>
  <c r="CL33" i="17" s="1"/>
  <c r="CO33" i="17"/>
  <c r="A35" i="27"/>
  <c r="A36" i="27"/>
  <c r="CN27" i="17"/>
  <c r="CN37" i="17" s="1"/>
  <c r="CN26" i="17"/>
  <c r="CN36" i="17" s="1"/>
  <c r="CK27" i="17"/>
  <c r="CK37" i="17" s="1"/>
  <c r="CK26" i="17"/>
  <c r="CK36" i="17" s="1"/>
  <c r="CH27" i="17"/>
  <c r="CH37" i="17" s="1"/>
  <c r="J3" i="29"/>
  <c r="J4" i="29"/>
  <c r="J5" i="29"/>
  <c r="J6" i="29"/>
  <c r="J7" i="29"/>
  <c r="J8" i="29"/>
  <c r="J9" i="29"/>
  <c r="J2" i="29"/>
  <c r="CH26" i="17"/>
  <c r="CH36" i="17" s="1"/>
  <c r="CH28" i="17" l="1"/>
  <c r="CI26" i="17" s="1"/>
  <c r="CN28" i="17"/>
  <c r="CO26" i="17" s="1"/>
  <c r="CK28" i="17"/>
  <c r="CL27" i="17" s="1"/>
  <c r="E9" i="29"/>
  <c r="K3" i="29"/>
  <c r="I3" i="29"/>
  <c r="H3" i="29"/>
  <c r="E3" i="29" s="1"/>
  <c r="CI27" i="17" l="1"/>
  <c r="CI28" i="17" s="1"/>
  <c r="CO27" i="17"/>
  <c r="CO28" i="17" s="1"/>
  <c r="CL26" i="17"/>
  <c r="CL28" i="17" s="1"/>
  <c r="K8" i="29"/>
  <c r="I8" i="29"/>
  <c r="L4" i="29" l="1"/>
  <c r="K4" i="29"/>
  <c r="H2" i="29"/>
  <c r="E2" i="29" s="1"/>
  <c r="I7" i="29"/>
  <c r="I6" i="29"/>
  <c r="I5" i="29"/>
  <c r="I2" i="29"/>
  <c r="H8" i="29" l="1"/>
  <c r="E8" i="29" s="1"/>
  <c r="H4" i="29"/>
  <c r="E4" i="29" s="1"/>
  <c r="K2" i="29"/>
  <c r="H5" i="29" l="1"/>
  <c r="E5" i="29" s="1"/>
  <c r="F8" i="29" l="1"/>
  <c r="F5" i="29"/>
  <c r="F4" i="29"/>
  <c r="F3" i="29"/>
  <c r="F2" i="29"/>
  <c r="H7" i="29"/>
  <c r="F7" i="29" l="1"/>
  <c r="E7" i="29"/>
  <c r="F9" i="29"/>
  <c r="H6" i="29"/>
  <c r="F6" i="29" l="1"/>
  <c r="E6" i="29"/>
  <c r="E6" i="17" l="1"/>
  <c r="A17" i="22" l="1"/>
  <c r="A18" i="22" s="1"/>
  <c r="A19" i="22" s="1"/>
  <c r="A20" i="22" s="1"/>
  <c r="A8" i="27"/>
  <c r="A24" i="27" s="1"/>
  <c r="A9" i="27"/>
  <c r="A25" i="27" s="1"/>
  <c r="A13" i="27"/>
  <c r="A29" i="27" s="1"/>
  <c r="A14" i="27"/>
  <c r="A15" i="27"/>
  <c r="A31" i="27" s="1"/>
  <c r="A7" i="27"/>
  <c r="A23" i="27" s="1"/>
  <c r="B49" i="25"/>
  <c r="B14" i="25"/>
  <c r="K17" i="22"/>
  <c r="K18" i="22"/>
  <c r="K19" i="22"/>
  <c r="K20" i="22"/>
  <c r="K16" i="22"/>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7" i="21"/>
  <c r="F57" i="26"/>
  <c r="D57" i="26"/>
  <c r="B1" i="26"/>
  <c r="C1" i="26" s="1"/>
  <c r="D1" i="26" s="1"/>
  <c r="E1" i="26" s="1"/>
  <c r="F1" i="26" s="1"/>
  <c r="G1" i="26" s="1"/>
  <c r="H1" i="26" s="1"/>
  <c r="I1" i="26" s="1"/>
  <c r="D29" i="22" l="1"/>
  <c r="E30" i="22"/>
  <c r="C26" i="22"/>
  <c r="D30" i="22"/>
  <c r="C29" i="22"/>
  <c r="C28" i="22"/>
  <c r="D26" i="22"/>
  <c r="E27" i="22"/>
  <c r="C30" i="22"/>
  <c r="D27" i="22"/>
  <c r="E29" i="22"/>
  <c r="E28" i="22"/>
  <c r="C27" i="22"/>
  <c r="D28" i="22"/>
  <c r="E26" i="22"/>
  <c r="A30" i="27"/>
  <c r="M58" i="21"/>
  <c r="L58" i="21"/>
  <c r="K58" i="21"/>
  <c r="D31" i="22" l="1"/>
  <c r="E31" i="22"/>
  <c r="C31" i="22"/>
  <c r="J58" i="21"/>
  <c r="H2" i="21"/>
  <c r="H10" i="21" s="1"/>
  <c r="I2" i="21"/>
  <c r="I9" i="21" s="1"/>
  <c r="F2" i="21"/>
  <c r="F8" i="21" s="1"/>
  <c r="G2" i="21"/>
  <c r="G11" i="21" s="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7" i="21"/>
  <c r="I57" i="26"/>
  <c r="G57" i="26"/>
  <c r="E57" i="26"/>
  <c r="F46" i="21" l="1"/>
  <c r="F30" i="21"/>
  <c r="F34" i="21"/>
  <c r="F18" i="21"/>
  <c r="F14" i="21"/>
  <c r="G17" i="21"/>
  <c r="F50" i="21"/>
  <c r="C16" i="22"/>
  <c r="H56" i="21"/>
  <c r="H40" i="21"/>
  <c r="H24" i="21"/>
  <c r="H8" i="21"/>
  <c r="C17" i="22"/>
  <c r="H48" i="21"/>
  <c r="H32" i="21"/>
  <c r="H16" i="21"/>
  <c r="F54" i="21"/>
  <c r="F38" i="21"/>
  <c r="F22" i="21"/>
  <c r="G57" i="21"/>
  <c r="G41" i="21"/>
  <c r="G25" i="21"/>
  <c r="G9" i="21"/>
  <c r="F16" i="22"/>
  <c r="H44" i="21"/>
  <c r="H28" i="21"/>
  <c r="H12" i="21"/>
  <c r="G53" i="21"/>
  <c r="G37" i="21"/>
  <c r="G21" i="21"/>
  <c r="C18" i="22"/>
  <c r="G49" i="21"/>
  <c r="G33" i="21"/>
  <c r="F17" i="22"/>
  <c r="H52" i="21"/>
  <c r="H36" i="21"/>
  <c r="H20" i="21"/>
  <c r="F7" i="21"/>
  <c r="F42" i="21"/>
  <c r="F26" i="21"/>
  <c r="F10" i="21"/>
  <c r="G45" i="21"/>
  <c r="G29" i="21"/>
  <c r="G13" i="21"/>
  <c r="F19" i="22"/>
  <c r="F18" i="22"/>
  <c r="C20" i="22"/>
  <c r="H57" i="21"/>
  <c r="H53" i="21"/>
  <c r="H49" i="21"/>
  <c r="H45" i="21"/>
  <c r="H41" i="21"/>
  <c r="H37" i="21"/>
  <c r="H33" i="21"/>
  <c r="H29" i="21"/>
  <c r="H25" i="21"/>
  <c r="H21" i="21"/>
  <c r="H17" i="21"/>
  <c r="H13" i="21"/>
  <c r="H9" i="21"/>
  <c r="I56" i="21"/>
  <c r="I52" i="21"/>
  <c r="I48" i="21"/>
  <c r="I44" i="21"/>
  <c r="I40" i="21"/>
  <c r="I36" i="21"/>
  <c r="I32" i="21"/>
  <c r="I28" i="21"/>
  <c r="I24" i="21"/>
  <c r="I20" i="21"/>
  <c r="I16" i="21"/>
  <c r="I12" i="21"/>
  <c r="I8" i="21"/>
  <c r="F55" i="21"/>
  <c r="F51" i="21"/>
  <c r="F47" i="21"/>
  <c r="F43" i="21"/>
  <c r="F39" i="21"/>
  <c r="F35" i="21"/>
  <c r="F31" i="21"/>
  <c r="F27" i="21"/>
  <c r="F23" i="21"/>
  <c r="F19" i="21"/>
  <c r="F15" i="21"/>
  <c r="F11" i="21"/>
  <c r="G7" i="21"/>
  <c r="G54" i="21"/>
  <c r="G50" i="21"/>
  <c r="G46" i="21"/>
  <c r="G42" i="21"/>
  <c r="G38" i="21"/>
  <c r="G34" i="21"/>
  <c r="G30" i="21"/>
  <c r="G26" i="21"/>
  <c r="G22" i="21"/>
  <c r="G18" i="21"/>
  <c r="G14" i="21"/>
  <c r="G10" i="21"/>
  <c r="I51" i="21"/>
  <c r="I43" i="21"/>
  <c r="I35" i="21"/>
  <c r="I27" i="21"/>
  <c r="I19" i="21"/>
  <c r="I11" i="21"/>
  <c r="C19" i="22"/>
  <c r="H55" i="21"/>
  <c r="H51" i="21"/>
  <c r="H47" i="21"/>
  <c r="H43" i="21"/>
  <c r="H39" i="21"/>
  <c r="H35" i="21"/>
  <c r="H31" i="21"/>
  <c r="H27" i="21"/>
  <c r="H23" i="21"/>
  <c r="H19" i="21"/>
  <c r="H15" i="21"/>
  <c r="H11" i="21"/>
  <c r="I7" i="21"/>
  <c r="I54" i="21"/>
  <c r="I50" i="21"/>
  <c r="I46" i="21"/>
  <c r="I42" i="21"/>
  <c r="I38" i="21"/>
  <c r="I34" i="21"/>
  <c r="I30" i="21"/>
  <c r="I26" i="21"/>
  <c r="I22" i="21"/>
  <c r="I18" i="21"/>
  <c r="I14" i="21"/>
  <c r="I10" i="21"/>
  <c r="F57" i="21"/>
  <c r="F53" i="21"/>
  <c r="F49" i="21"/>
  <c r="F45" i="21"/>
  <c r="F41" i="21"/>
  <c r="F37" i="21"/>
  <c r="F33" i="21"/>
  <c r="F29" i="21"/>
  <c r="F25" i="21"/>
  <c r="F21" i="21"/>
  <c r="F17" i="21"/>
  <c r="F13" i="21"/>
  <c r="F9" i="21"/>
  <c r="G56" i="21"/>
  <c r="G52" i="21"/>
  <c r="G48" i="21"/>
  <c r="G44" i="21"/>
  <c r="G40" i="21"/>
  <c r="G36" i="21"/>
  <c r="G32" i="21"/>
  <c r="G28" i="21"/>
  <c r="G24" i="21"/>
  <c r="G20" i="21"/>
  <c r="G16" i="21"/>
  <c r="G12" i="21"/>
  <c r="G8" i="21"/>
  <c r="I55" i="21"/>
  <c r="I47" i="21"/>
  <c r="I39" i="21"/>
  <c r="I31" i="21"/>
  <c r="I23" i="21"/>
  <c r="I15" i="21"/>
  <c r="F20" i="22"/>
  <c r="H7" i="21"/>
  <c r="H54" i="21"/>
  <c r="H50" i="21"/>
  <c r="H46" i="21"/>
  <c r="H42" i="21"/>
  <c r="H38" i="21"/>
  <c r="H34" i="21"/>
  <c r="H30" i="21"/>
  <c r="H26" i="21"/>
  <c r="H22" i="21"/>
  <c r="H18" i="21"/>
  <c r="H14" i="21"/>
  <c r="I57" i="21"/>
  <c r="I53" i="21"/>
  <c r="I49" i="21"/>
  <c r="I45" i="21"/>
  <c r="I41" i="21"/>
  <c r="I37" i="21"/>
  <c r="I33" i="21"/>
  <c r="I29" i="21"/>
  <c r="I25" i="21"/>
  <c r="I21" i="21"/>
  <c r="I17" i="21"/>
  <c r="I13" i="21"/>
  <c r="F56" i="21"/>
  <c r="F52" i="21"/>
  <c r="F48" i="21"/>
  <c r="F44" i="21"/>
  <c r="F40" i="21"/>
  <c r="F36" i="21"/>
  <c r="F32" i="21"/>
  <c r="F28" i="21"/>
  <c r="F24" i="21"/>
  <c r="F20" i="21"/>
  <c r="F16" i="21"/>
  <c r="F12" i="21"/>
  <c r="G55" i="21"/>
  <c r="G51" i="21"/>
  <c r="G47" i="21"/>
  <c r="G43" i="21"/>
  <c r="G39" i="21"/>
  <c r="G35" i="21"/>
  <c r="G31" i="21"/>
  <c r="G27" i="21"/>
  <c r="G23" i="21"/>
  <c r="G19" i="21"/>
  <c r="G15" i="21"/>
  <c r="E58" i="21"/>
  <c r="C58" i="21"/>
  <c r="A7" i="17"/>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10" i="23"/>
  <c r="A29" i="23" s="1"/>
  <c r="A49" i="23" s="1"/>
  <c r="A69" i="23" s="1"/>
  <c r="A11" i="23"/>
  <c r="A30" i="23" s="1"/>
  <c r="A50" i="23" s="1"/>
  <c r="A70" i="23" s="1"/>
  <c r="A15" i="23"/>
  <c r="A34" i="23" s="1"/>
  <c r="A54" i="23" s="1"/>
  <c r="A74" i="23" s="1"/>
  <c r="A16" i="23"/>
  <c r="A35" i="23" s="1"/>
  <c r="A55" i="23" s="1"/>
  <c r="A75" i="23" s="1"/>
  <c r="A17" i="23"/>
  <c r="A36" i="23" s="1"/>
  <c r="A56" i="23" s="1"/>
  <c r="A76" i="23" s="1"/>
  <c r="A9" i="23"/>
  <c r="A28" i="23" s="1"/>
  <c r="A48" i="23" s="1"/>
  <c r="A68" i="23" s="1"/>
  <c r="B6" i="20"/>
  <c r="H20" i="22" l="1"/>
  <c r="D17" i="22"/>
  <c r="D19" i="22"/>
  <c r="D20" i="22"/>
  <c r="D18" i="22"/>
  <c r="H19" i="22"/>
  <c r="I58" i="21"/>
  <c r="I16" i="22"/>
  <c r="H58" i="21"/>
  <c r="G17" i="22"/>
  <c r="J19" i="22"/>
  <c r="H18" i="22"/>
  <c r="G18" i="22"/>
  <c r="G16" i="22"/>
  <c r="J18" i="22"/>
  <c r="F58" i="21"/>
  <c r="I17" i="22"/>
  <c r="J17" i="22"/>
  <c r="H17" i="22"/>
  <c r="I19" i="22"/>
  <c r="G58" i="21"/>
  <c r="G19" i="22"/>
  <c r="I20" i="22"/>
  <c r="J20" i="22"/>
  <c r="G20" i="22"/>
  <c r="J16" i="22"/>
  <c r="H16" i="22"/>
  <c r="I18" i="22"/>
  <c r="E33" i="20" l="1"/>
  <c r="E42" i="20"/>
  <c r="E36" i="20"/>
  <c r="E45" i="20"/>
  <c r="E44" i="20"/>
  <c r="E35" i="20"/>
  <c r="E41" i="20"/>
  <c r="E32" i="20"/>
  <c r="E43" i="20"/>
  <c r="E34" i="20"/>
  <c r="H35" i="23"/>
  <c r="H29" i="23"/>
  <c r="H32" i="23"/>
  <c r="H34" i="23"/>
  <c r="H36" i="23"/>
  <c r="H30" i="23"/>
  <c r="H37" i="23"/>
  <c r="H31" i="23"/>
  <c r="H27" i="23"/>
  <c r="H38" i="23"/>
  <c r="H41" i="23"/>
  <c r="H42" i="23"/>
  <c r="H40" i="23"/>
  <c r="H39" i="23"/>
  <c r="H33" i="23"/>
  <c r="H28" i="23"/>
  <c r="E34" i="23"/>
  <c r="E33" i="23"/>
  <c r="E29" i="23"/>
  <c r="E38" i="23"/>
  <c r="E39" i="23"/>
  <c r="E27" i="23"/>
  <c r="E41" i="23"/>
  <c r="E35" i="23"/>
  <c r="E30" i="23"/>
  <c r="E42" i="23"/>
  <c r="E36" i="23"/>
  <c r="E28" i="23"/>
  <c r="E40" i="23"/>
  <c r="E37" i="23"/>
  <c r="E31" i="23"/>
  <c r="E32" i="23"/>
  <c r="D40" i="23"/>
  <c r="D27" i="23"/>
  <c r="D47" i="23" s="1"/>
  <c r="D35" i="23"/>
  <c r="D29" i="23"/>
  <c r="D36" i="23"/>
  <c r="D30" i="23"/>
  <c r="D37" i="23"/>
  <c r="D31" i="23"/>
  <c r="D38" i="23"/>
  <c r="D32" i="23"/>
  <c r="D34" i="23"/>
  <c r="D28" i="23"/>
  <c r="D39" i="23"/>
  <c r="D33" i="23"/>
  <c r="D41" i="23"/>
  <c r="D42" i="23"/>
  <c r="G36" i="23"/>
  <c r="G30" i="23"/>
  <c r="G37" i="23"/>
  <c r="G31" i="23"/>
  <c r="G71" i="23" s="1"/>
  <c r="G34" i="23"/>
  <c r="G35" i="23"/>
  <c r="G42" i="23"/>
  <c r="G38" i="23"/>
  <c r="G32" i="23"/>
  <c r="G27" i="23"/>
  <c r="G39" i="23"/>
  <c r="G33" i="23"/>
  <c r="G28" i="23"/>
  <c r="G29" i="23"/>
  <c r="G41" i="23"/>
  <c r="G40" i="23"/>
  <c r="D21" i="22"/>
  <c r="F41" i="23"/>
  <c r="F38" i="23"/>
  <c r="F32" i="23"/>
  <c r="F42" i="23"/>
  <c r="F39" i="23"/>
  <c r="F33" i="23"/>
  <c r="F27" i="23"/>
  <c r="F29" i="23"/>
  <c r="F40" i="23"/>
  <c r="F34" i="23"/>
  <c r="F28" i="23"/>
  <c r="F36" i="23"/>
  <c r="F30" i="23"/>
  <c r="F37" i="23"/>
  <c r="F31" i="23"/>
  <c r="F35" i="23"/>
  <c r="C37" i="20"/>
  <c r="C28" i="20"/>
  <c r="B35" i="20" l="1"/>
  <c r="B44" i="20"/>
  <c r="B34" i="20"/>
  <c r="B43" i="20"/>
  <c r="B33" i="20"/>
  <c r="B42" i="20"/>
  <c r="B45" i="20"/>
  <c r="B36" i="20"/>
  <c r="I28" i="23"/>
  <c r="I29" i="23"/>
  <c r="J23" i="20"/>
  <c r="G68" i="23"/>
  <c r="G48" i="23"/>
  <c r="G108" i="23"/>
  <c r="E51" i="23"/>
  <c r="E71" i="23"/>
  <c r="E111" i="23"/>
  <c r="G57" i="23"/>
  <c r="G77" i="23"/>
  <c r="G117" i="23"/>
  <c r="G137" i="23" s="1"/>
  <c r="G51" i="23"/>
  <c r="G111" i="23"/>
  <c r="D73" i="23"/>
  <c r="D53" i="23"/>
  <c r="I33" i="23"/>
  <c r="D113" i="23"/>
  <c r="D133" i="23" s="1"/>
  <c r="D49" i="23"/>
  <c r="D69" i="23"/>
  <c r="D109" i="23"/>
  <c r="E47" i="23"/>
  <c r="E67" i="23"/>
  <c r="E107" i="23"/>
  <c r="E62" i="23"/>
  <c r="E82" i="23"/>
  <c r="E122" i="23"/>
  <c r="E142" i="23" s="1"/>
  <c r="H56" i="23"/>
  <c r="H76" i="23"/>
  <c r="H116" i="23"/>
  <c r="H49" i="23"/>
  <c r="H69" i="23"/>
  <c r="H109" i="23"/>
  <c r="F50" i="23"/>
  <c r="F70" i="23"/>
  <c r="F110" i="23"/>
  <c r="F53" i="23"/>
  <c r="F73" i="23"/>
  <c r="F113" i="23"/>
  <c r="D60" i="23"/>
  <c r="I40" i="23"/>
  <c r="D80" i="23"/>
  <c r="D120" i="23"/>
  <c r="F57" i="23"/>
  <c r="F77" i="23"/>
  <c r="F117" i="23"/>
  <c r="F137" i="23" s="1"/>
  <c r="G54" i="23"/>
  <c r="G74" i="23"/>
  <c r="G114" i="23"/>
  <c r="D82" i="23"/>
  <c r="I42" i="23"/>
  <c r="D62" i="23"/>
  <c r="D122" i="23"/>
  <c r="D56" i="23"/>
  <c r="D76" i="23"/>
  <c r="D116" i="23"/>
  <c r="D136" i="23" s="1"/>
  <c r="E75" i="23"/>
  <c r="E55" i="23"/>
  <c r="E115" i="23"/>
  <c r="E60" i="23"/>
  <c r="E80" i="23"/>
  <c r="E120" i="23"/>
  <c r="E140" i="23" s="1"/>
  <c r="H52" i="23"/>
  <c r="H72" i="23"/>
  <c r="H112" i="23"/>
  <c r="H59" i="23"/>
  <c r="H79" i="23"/>
  <c r="H119" i="23"/>
  <c r="H139" i="23" s="1"/>
  <c r="F54" i="23"/>
  <c r="F74" i="23"/>
  <c r="F114" i="23"/>
  <c r="F49" i="23"/>
  <c r="F69" i="23"/>
  <c r="F109" i="23"/>
  <c r="F61" i="23"/>
  <c r="F81" i="23"/>
  <c r="F121" i="23"/>
  <c r="F141" i="23" s="1"/>
  <c r="G58" i="23"/>
  <c r="G78" i="23"/>
  <c r="G118" i="23"/>
  <c r="G138" i="23" s="1"/>
  <c r="D51" i="23"/>
  <c r="D71" i="23"/>
  <c r="I31" i="23"/>
  <c r="D111" i="23"/>
  <c r="D72" i="23"/>
  <c r="I32" i="23"/>
  <c r="D52" i="23"/>
  <c r="D112" i="23"/>
  <c r="E57" i="23"/>
  <c r="E77" i="23"/>
  <c r="E117" i="23"/>
  <c r="E137" i="23" s="1"/>
  <c r="E54" i="23"/>
  <c r="E74" i="23"/>
  <c r="E114" i="23"/>
  <c r="H55" i="23"/>
  <c r="H75" i="23"/>
  <c r="H115" i="23"/>
  <c r="H58" i="23"/>
  <c r="H78" i="23"/>
  <c r="H118" i="23"/>
  <c r="H138" i="23" s="1"/>
  <c r="F60" i="23"/>
  <c r="F80" i="23"/>
  <c r="F120" i="23"/>
  <c r="F140" i="23" s="1"/>
  <c r="F52" i="23"/>
  <c r="F72" i="23"/>
  <c r="F112" i="23"/>
  <c r="H62" i="23"/>
  <c r="H82" i="23"/>
  <c r="H122" i="23"/>
  <c r="H142" i="23" s="1"/>
  <c r="G56" i="23"/>
  <c r="G76" i="23"/>
  <c r="G116" i="23"/>
  <c r="G62" i="23"/>
  <c r="G82" i="23"/>
  <c r="G122" i="23"/>
  <c r="G142" i="23" s="1"/>
  <c r="G50" i="23"/>
  <c r="G70" i="23"/>
  <c r="G110" i="23"/>
  <c r="G53" i="23"/>
  <c r="G73" i="23"/>
  <c r="G113" i="23"/>
  <c r="D81" i="23"/>
  <c r="I41" i="23"/>
  <c r="D61" i="23"/>
  <c r="D121" i="23"/>
  <c r="D75" i="23"/>
  <c r="D55" i="23"/>
  <c r="D115" i="23"/>
  <c r="E53" i="23"/>
  <c r="E73" i="23"/>
  <c r="E113" i="23"/>
  <c r="E59" i="23"/>
  <c r="E79" i="23"/>
  <c r="E119" i="23"/>
  <c r="E139" i="23" s="1"/>
  <c r="H54" i="23"/>
  <c r="H74" i="23"/>
  <c r="H114" i="23"/>
  <c r="H51" i="23"/>
  <c r="H71" i="23"/>
  <c r="H111" i="23"/>
  <c r="F62" i="23"/>
  <c r="F82" i="23"/>
  <c r="F122" i="23"/>
  <c r="F142" i="23" s="1"/>
  <c r="F56" i="23"/>
  <c r="F76" i="23"/>
  <c r="F116" i="23"/>
  <c r="G61" i="23"/>
  <c r="G81" i="23"/>
  <c r="G121" i="23"/>
  <c r="G141" i="23" s="1"/>
  <c r="H53" i="23"/>
  <c r="H73" i="23"/>
  <c r="H113" i="23"/>
  <c r="G69" i="23"/>
  <c r="G49" i="23"/>
  <c r="G109" i="23"/>
  <c r="G55" i="23"/>
  <c r="G75" i="23"/>
  <c r="G115" i="23"/>
  <c r="D59" i="23"/>
  <c r="D79" i="23"/>
  <c r="D119" i="23"/>
  <c r="D50" i="23"/>
  <c r="D70" i="23"/>
  <c r="D110" i="23"/>
  <c r="E61" i="23"/>
  <c r="E81" i="23"/>
  <c r="E121" i="23"/>
  <c r="E141" i="23" s="1"/>
  <c r="E58" i="23"/>
  <c r="E78" i="23"/>
  <c r="E118" i="23"/>
  <c r="E138" i="23" s="1"/>
  <c r="H107" i="23"/>
  <c r="H67" i="23"/>
  <c r="H47" i="23"/>
  <c r="H60" i="23"/>
  <c r="H80" i="23"/>
  <c r="H120" i="23"/>
  <c r="H140" i="23" s="1"/>
  <c r="F59" i="23"/>
  <c r="F79" i="23"/>
  <c r="F99" i="23" s="1"/>
  <c r="F119" i="23"/>
  <c r="F139" i="23" s="1"/>
  <c r="F51" i="23"/>
  <c r="F71" i="23"/>
  <c r="F111" i="23"/>
  <c r="E56" i="23"/>
  <c r="E76" i="23"/>
  <c r="E116" i="23"/>
  <c r="G67" i="23"/>
  <c r="G107" i="23"/>
  <c r="G47" i="23"/>
  <c r="G52" i="23"/>
  <c r="G72" i="23"/>
  <c r="G112" i="23"/>
  <c r="D107" i="23"/>
  <c r="D127" i="23" s="1"/>
  <c r="D57" i="23"/>
  <c r="D77" i="23"/>
  <c r="D117" i="23"/>
  <c r="E49" i="23"/>
  <c r="E69" i="23"/>
  <c r="E109" i="23"/>
  <c r="E70" i="23"/>
  <c r="E50" i="23"/>
  <c r="E110" i="23"/>
  <c r="H48" i="23"/>
  <c r="H68" i="23"/>
  <c r="H108" i="23"/>
  <c r="H50" i="23"/>
  <c r="H70" i="23"/>
  <c r="H110" i="23"/>
  <c r="F48" i="23"/>
  <c r="F68" i="23"/>
  <c r="F108" i="23"/>
  <c r="F55" i="23"/>
  <c r="F75" i="23"/>
  <c r="F115" i="23"/>
  <c r="D48" i="23"/>
  <c r="D68" i="23"/>
  <c r="D108" i="23"/>
  <c r="D128" i="23" s="1"/>
  <c r="G59" i="23"/>
  <c r="G79" i="23"/>
  <c r="G119" i="23"/>
  <c r="G139" i="23" s="1"/>
  <c r="G60" i="23"/>
  <c r="G80" i="23"/>
  <c r="G120" i="23"/>
  <c r="G140" i="23" s="1"/>
  <c r="D58" i="23"/>
  <c r="D78" i="23"/>
  <c r="D118" i="23"/>
  <c r="D54" i="23"/>
  <c r="D74" i="23"/>
  <c r="D114" i="23"/>
  <c r="E48" i="23"/>
  <c r="E68" i="23"/>
  <c r="E108" i="23"/>
  <c r="E52" i="23"/>
  <c r="E72" i="23"/>
  <c r="E112" i="23"/>
  <c r="H57" i="23"/>
  <c r="H77" i="23"/>
  <c r="H117" i="23"/>
  <c r="H137" i="23" s="1"/>
  <c r="H61" i="23"/>
  <c r="H81" i="23"/>
  <c r="H121" i="23"/>
  <c r="H141" i="23" s="1"/>
  <c r="F47" i="23"/>
  <c r="F107" i="23"/>
  <c r="F67" i="23"/>
  <c r="F58" i="23"/>
  <c r="F78" i="23"/>
  <c r="F118" i="23"/>
  <c r="F138" i="23" s="1"/>
  <c r="I37" i="23"/>
  <c r="I39" i="23"/>
  <c r="I38" i="23"/>
  <c r="H43" i="23"/>
  <c r="E43" i="23"/>
  <c r="D43" i="23"/>
  <c r="G43" i="23"/>
  <c r="F43" i="23"/>
  <c r="I36" i="23"/>
  <c r="I27" i="23"/>
  <c r="I37" i="20"/>
  <c r="K21" i="22"/>
  <c r="H98" i="23" l="1"/>
  <c r="H97" i="23"/>
  <c r="D99" i="23"/>
  <c r="H100" i="23"/>
  <c r="F100" i="23"/>
  <c r="F101" i="23"/>
  <c r="H99" i="23"/>
  <c r="F83" i="23"/>
  <c r="E102" i="23"/>
  <c r="E99" i="23"/>
  <c r="E98" i="23"/>
  <c r="I82" i="23"/>
  <c r="G100" i="23"/>
  <c r="F102" i="23"/>
  <c r="F63" i="23"/>
  <c r="I118" i="23"/>
  <c r="D138" i="23"/>
  <c r="I138" i="23" s="1"/>
  <c r="I77" i="23"/>
  <c r="I59" i="23"/>
  <c r="G83" i="23"/>
  <c r="H102" i="23"/>
  <c r="D140" i="23"/>
  <c r="I140" i="23" s="1"/>
  <c r="I120" i="23"/>
  <c r="I62" i="23"/>
  <c r="D102" i="23"/>
  <c r="I57" i="23"/>
  <c r="I81" i="23"/>
  <c r="D100" i="23"/>
  <c r="I80" i="23"/>
  <c r="I61" i="23"/>
  <c r="D101" i="23"/>
  <c r="D98" i="23"/>
  <c r="I78" i="23"/>
  <c r="I58" i="23"/>
  <c r="G99" i="23"/>
  <c r="H63" i="23"/>
  <c r="E101" i="23"/>
  <c r="I54" i="23"/>
  <c r="G102" i="23"/>
  <c r="G98" i="23"/>
  <c r="D137" i="23"/>
  <c r="I137" i="23" s="1"/>
  <c r="I117" i="23"/>
  <c r="G63" i="23"/>
  <c r="H101" i="23"/>
  <c r="E83" i="23"/>
  <c r="D87" i="23"/>
  <c r="D63" i="23"/>
  <c r="H83" i="23"/>
  <c r="I60" i="23"/>
  <c r="I99" i="23"/>
  <c r="F98" i="23"/>
  <c r="E63" i="23"/>
  <c r="D83" i="23"/>
  <c r="E97" i="23"/>
  <c r="G101" i="23"/>
  <c r="D139" i="23"/>
  <c r="I139" i="23" s="1"/>
  <c r="I119" i="23"/>
  <c r="D141" i="23"/>
  <c r="I141" i="23" s="1"/>
  <c r="I121" i="23"/>
  <c r="I79" i="23"/>
  <c r="E100" i="23"/>
  <c r="I122" i="23"/>
  <c r="D142" i="23"/>
  <c r="I142" i="23" s="1"/>
  <c r="F97" i="23"/>
  <c r="G97" i="23"/>
  <c r="CE13" i="17"/>
  <c r="CE12" i="17"/>
  <c r="CE11" i="17"/>
  <c r="I97" i="23" l="1"/>
  <c r="I98" i="23"/>
  <c r="I100" i="23"/>
  <c r="I101" i="23"/>
  <c r="I102" i="23"/>
  <c r="CF10" i="17"/>
  <c r="CF14" i="17" s="1"/>
  <c r="CF21" i="17"/>
  <c r="CF22" i="17" s="1"/>
  <c r="CE33" i="17"/>
  <c r="CC10" i="17"/>
  <c r="CC14" i="17" s="1"/>
  <c r="CC27" i="17"/>
  <c r="CB33" i="17"/>
  <c r="CF31" i="17" l="1"/>
  <c r="CF32" i="17"/>
  <c r="CC32" i="17"/>
  <c r="CC31" i="17"/>
  <c r="CC33" i="17" s="1"/>
  <c r="CF28" i="17"/>
  <c r="CC26" i="17"/>
  <c r="CC28" i="17" s="1"/>
  <c r="BP6" i="17"/>
  <c r="BM6" i="17"/>
  <c r="BJ6" i="17"/>
  <c r="AX6" i="17"/>
  <c r="AU6" i="17"/>
  <c r="AR6" i="17"/>
  <c r="AF6" i="17"/>
  <c r="AC6" i="17"/>
  <c r="Z6" i="17"/>
  <c r="N6" i="17"/>
  <c r="K6" i="17"/>
  <c r="H6" i="17"/>
  <c r="I47" i="23" l="1"/>
  <c r="E127" i="23"/>
  <c r="G127" i="23"/>
  <c r="H127" i="23"/>
  <c r="F127" i="23"/>
  <c r="CF33" i="17"/>
  <c r="G135" i="23"/>
  <c r="F134" i="23"/>
  <c r="F135" i="23"/>
  <c r="E135" i="23"/>
  <c r="E134" i="23"/>
  <c r="H134" i="23"/>
  <c r="H136" i="23"/>
  <c r="F136" i="23"/>
  <c r="H135" i="23"/>
  <c r="G134" i="23"/>
  <c r="G136" i="23"/>
  <c r="E136" i="23"/>
  <c r="N28" i="5"/>
  <c r="N45" i="5"/>
  <c r="N12" i="5"/>
  <c r="N24" i="5"/>
  <c r="N50" i="5"/>
  <c r="N23" i="5"/>
  <c r="N52" i="5"/>
  <c r="N83" i="5"/>
  <c r="N2" i="5"/>
  <c r="N3" i="5"/>
  <c r="N4" i="5"/>
  <c r="N5" i="5"/>
  <c r="N43" i="5"/>
  <c r="N7" i="5"/>
  <c r="N22" i="5"/>
  <c r="N80" i="5"/>
  <c r="N79" i="5"/>
  <c r="N17" i="5"/>
  <c r="N51" i="5"/>
  <c r="N49" i="5"/>
  <c r="N6" i="5"/>
  <c r="N18" i="5"/>
  <c r="N81" i="5"/>
  <c r="N68" i="5"/>
  <c r="N44" i="5"/>
  <c r="N82" i="5"/>
  <c r="N69" i="5"/>
  <c r="N26" i="5"/>
  <c r="N8" i="5"/>
  <c r="N33" i="5"/>
  <c r="N70" i="5"/>
  <c r="N48" i="5"/>
  <c r="N32" i="5"/>
  <c r="N47" i="5"/>
  <c r="N9" i="5"/>
  <c r="N10" i="5"/>
  <c r="N11" i="5"/>
  <c r="N77" i="5"/>
  <c r="N25" i="5"/>
  <c r="N13" i="5"/>
  <c r="N76" i="5"/>
  <c r="N71" i="5"/>
  <c r="N72" i="5"/>
  <c r="N41" i="5"/>
  <c r="N29" i="5"/>
  <c r="N14" i="5"/>
  <c r="N15" i="5"/>
  <c r="N19" i="5"/>
  <c r="N78" i="5"/>
  <c r="N31" i="5"/>
  <c r="N16" i="5"/>
  <c r="N20" i="5"/>
  <c r="N46" i="5"/>
  <c r="N21" i="5"/>
  <c r="N73" i="5"/>
  <c r="N30" i="5"/>
  <c r="N74" i="5"/>
  <c r="N75" i="5"/>
  <c r="N42" i="5"/>
  <c r="N27" i="5"/>
  <c r="N57" i="5"/>
  <c r="N84" i="5"/>
  <c r="N85" i="5"/>
  <c r="N53" i="5"/>
  <c r="N54" i="5"/>
  <c r="N55" i="5"/>
  <c r="N56" i="5"/>
  <c r="N39" i="5"/>
  <c r="N92" i="5"/>
  <c r="N61" i="5"/>
  <c r="N86" i="5"/>
  <c r="N87" i="5"/>
  <c r="N88" i="5"/>
  <c r="N58" i="5"/>
  <c r="N59" i="5"/>
  <c r="N37" i="5"/>
  <c r="N89" i="5"/>
  <c r="N34" i="5"/>
  <c r="N62" i="5"/>
  <c r="N38" i="5"/>
  <c r="N36" i="5"/>
  <c r="N60" i="5"/>
  <c r="N35" i="5"/>
  <c r="N90" i="5"/>
  <c r="N91" i="5"/>
  <c r="N63" i="5"/>
  <c r="N66" i="5"/>
  <c r="N93" i="5"/>
  <c r="N40" i="5"/>
  <c r="N67" i="5"/>
  <c r="N64" i="5"/>
  <c r="N65" i="5"/>
  <c r="N103" i="5"/>
  <c r="N95" i="5"/>
  <c r="N127" i="5"/>
  <c r="N102" i="5"/>
  <c r="N94" i="5"/>
  <c r="N104" i="5"/>
  <c r="N128" i="5"/>
  <c r="N105" i="5"/>
  <c r="N106" i="5"/>
  <c r="N109" i="5"/>
  <c r="N131" i="5"/>
  <c r="N133" i="5"/>
  <c r="N129" i="5"/>
  <c r="N107" i="5"/>
  <c r="N108" i="5"/>
  <c r="N96" i="5"/>
  <c r="N130" i="5"/>
  <c r="N97" i="5"/>
  <c r="N132" i="5"/>
  <c r="N98" i="5"/>
  <c r="N115" i="5"/>
  <c r="N114" i="5"/>
  <c r="N134" i="5"/>
  <c r="N111" i="5"/>
  <c r="N110" i="5"/>
  <c r="N112" i="5"/>
  <c r="N135" i="5"/>
  <c r="N113" i="5"/>
  <c r="N139" i="5"/>
  <c r="N120" i="5"/>
  <c r="N101" i="5"/>
  <c r="N126" i="5"/>
  <c r="N138" i="5"/>
  <c r="N99" i="5"/>
  <c r="N116" i="5"/>
  <c r="N117" i="5"/>
  <c r="N124" i="5"/>
  <c r="N118" i="5"/>
  <c r="N142" i="5"/>
  <c r="N136" i="5"/>
  <c r="N137" i="5"/>
  <c r="N125" i="5"/>
  <c r="N100" i="5"/>
  <c r="N119" i="5"/>
  <c r="N121" i="5"/>
  <c r="N140" i="5"/>
  <c r="N141" i="5"/>
  <c r="N123" i="5"/>
  <c r="N122" i="5"/>
  <c r="N146" i="5"/>
  <c r="N145" i="5"/>
  <c r="N144" i="5"/>
  <c r="N155" i="5"/>
  <c r="N156" i="5"/>
  <c r="N143" i="5"/>
  <c r="N154" i="5"/>
  <c r="N151" i="5"/>
  <c r="X66" i="16" s="1"/>
  <c r="N152" i="5"/>
  <c r="N164" i="5"/>
  <c r="X84" i="16" s="1"/>
  <c r="N153" i="5"/>
  <c r="N158" i="5"/>
  <c r="N147" i="5"/>
  <c r="N170" i="5"/>
  <c r="N157" i="5"/>
  <c r="N165" i="5"/>
  <c r="N166" i="5"/>
  <c r="N148" i="5"/>
  <c r="N159" i="5"/>
  <c r="N167" i="5"/>
  <c r="N168" i="5"/>
  <c r="N169" i="5"/>
  <c r="N163" i="5"/>
  <c r="N149" i="5"/>
  <c r="N160" i="5"/>
  <c r="N150" i="5"/>
  <c r="N172" i="5"/>
  <c r="N161" i="5"/>
  <c r="N162" i="5"/>
  <c r="N171" i="5"/>
  <c r="N175" i="5"/>
  <c r="N220" i="5"/>
  <c r="N183" i="5"/>
  <c r="N216" i="5"/>
  <c r="N217" i="5"/>
  <c r="N194" i="5"/>
  <c r="N180" i="5"/>
  <c r="N213" i="5"/>
  <c r="N214" i="5"/>
  <c r="N193" i="5"/>
  <c r="O66" i="16" s="1"/>
  <c r="N215" i="5"/>
  <c r="N200" i="5"/>
  <c r="N222" i="5"/>
  <c r="N199" i="5"/>
  <c r="N182" i="5"/>
  <c r="N218" i="5"/>
  <c r="N198" i="5"/>
  <c r="N174" i="5"/>
  <c r="N219" i="5"/>
  <c r="N181" i="5"/>
  <c r="N195" i="5"/>
  <c r="N176" i="5"/>
  <c r="N177" i="5"/>
  <c r="N196" i="5"/>
  <c r="N223" i="5"/>
  <c r="N179" i="5"/>
  <c r="N197" i="5"/>
  <c r="N178" i="5"/>
  <c r="N221" i="5"/>
  <c r="N204" i="5"/>
  <c r="N230" i="5"/>
  <c r="N207" i="5"/>
  <c r="N201" i="5"/>
  <c r="N224" i="5"/>
  <c r="N202" i="5"/>
  <c r="N206" i="5"/>
  <c r="N225" i="5"/>
  <c r="N203" i="5"/>
  <c r="N226" i="5"/>
  <c r="N173" i="5"/>
  <c r="N189" i="5"/>
  <c r="N184" i="5"/>
  <c r="N185" i="5"/>
  <c r="N186" i="5"/>
  <c r="N190" i="5"/>
  <c r="N187" i="5"/>
  <c r="N231" i="5"/>
  <c r="N188" i="5"/>
  <c r="N232" i="5"/>
  <c r="N205" i="5"/>
  <c r="N228" i="5"/>
  <c r="N191" i="5"/>
  <c r="N227" i="5"/>
  <c r="N229" i="5"/>
  <c r="N208" i="5"/>
  <c r="N233" i="5"/>
  <c r="N234" i="5"/>
  <c r="N235" i="5"/>
  <c r="N209" i="5"/>
  <c r="N210" i="5"/>
  <c r="N211" i="5"/>
  <c r="N192" i="5"/>
  <c r="N212" i="5"/>
  <c r="H87" i="23" l="1"/>
  <c r="X68" i="16"/>
  <c r="X77" i="16" s="1"/>
  <c r="F66" i="16"/>
  <c r="O84" i="16"/>
  <c r="X86" i="16"/>
  <c r="X95" i="16" s="1"/>
  <c r="O102" i="16"/>
  <c r="F102" i="16"/>
  <c r="P66" i="16"/>
  <c r="O68" i="16"/>
  <c r="F84" i="16"/>
  <c r="F87" i="23"/>
  <c r="G87" i="23"/>
  <c r="E87" i="23"/>
  <c r="I87" i="23" s="1"/>
  <c r="I107" i="23"/>
  <c r="I127" i="23"/>
  <c r="I67" i="23"/>
  <c r="E95" i="23"/>
  <c r="G94" i="23"/>
  <c r="F96" i="23"/>
  <c r="I74" i="23"/>
  <c r="F94" i="23"/>
  <c r="F95" i="23"/>
  <c r="I76" i="23"/>
  <c r="I136" i="23"/>
  <c r="I116" i="23"/>
  <c r="D96" i="23"/>
  <c r="I56" i="23"/>
  <c r="H94" i="23"/>
  <c r="H95" i="23"/>
  <c r="H96" i="23"/>
  <c r="E96" i="23"/>
  <c r="D134" i="23"/>
  <c r="I134" i="23" s="1"/>
  <c r="I114" i="23"/>
  <c r="G95" i="23"/>
  <c r="D95" i="23"/>
  <c r="I75" i="23"/>
  <c r="E94" i="23"/>
  <c r="G96" i="23"/>
  <c r="D94" i="23"/>
  <c r="I55" i="23"/>
  <c r="D135" i="23"/>
  <c r="I135" i="23" s="1"/>
  <c r="I115" i="23"/>
  <c r="B1" i="14"/>
  <c r="C1" i="14" s="1"/>
  <c r="D1" i="14" s="1"/>
  <c r="E1" i="14" s="1"/>
  <c r="F1" i="14" s="1"/>
  <c r="G1" i="14" s="1"/>
  <c r="H1" i="14" s="1"/>
  <c r="I1" i="14" s="1"/>
  <c r="J1" i="14" s="1"/>
  <c r="K1" i="14" s="1"/>
  <c r="L1" i="14" s="1"/>
  <c r="M1" i="14" s="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B1" i="13"/>
  <c r="C1" i="13" s="1"/>
  <c r="D1" i="13" s="1"/>
  <c r="E1" i="13" s="1"/>
  <c r="A3" i="13"/>
  <c r="F86" i="16" l="1"/>
  <c r="Y67" i="16"/>
  <c r="P67" i="16"/>
  <c r="P64" i="16"/>
  <c r="P68" i="16" s="1"/>
  <c r="P65" i="16"/>
  <c r="Y64" i="16"/>
  <c r="Y68" i="16" s="1"/>
  <c r="Y65" i="16"/>
  <c r="O77" i="16"/>
  <c r="O86" i="16"/>
  <c r="F68" i="16"/>
  <c r="F104" i="16"/>
  <c r="O104" i="16"/>
  <c r="Y66" i="16"/>
  <c r="X104" i="16"/>
  <c r="X113" i="16" s="1"/>
  <c r="I95" i="23"/>
  <c r="I94" i="23"/>
  <c r="I96" i="23"/>
  <c r="A38" i="10"/>
  <c r="A35" i="10"/>
  <c r="A32" i="10"/>
  <c r="A29" i="10"/>
  <c r="A26" i="10"/>
  <c r="A23" i="10"/>
  <c r="A20" i="10"/>
  <c r="A17" i="10"/>
  <c r="A14" i="10"/>
  <c r="A11" i="10"/>
  <c r="A8" i="10"/>
  <c r="A5" i="10"/>
  <c r="O113" i="16" l="1"/>
  <c r="P100" i="16"/>
  <c r="P103" i="16"/>
  <c r="P101" i="16"/>
  <c r="P82" i="16"/>
  <c r="P86" i="16" s="1"/>
  <c r="P83" i="16"/>
  <c r="P85" i="16"/>
  <c r="O95" i="16"/>
  <c r="G65" i="16"/>
  <c r="G64" i="16"/>
  <c r="G67" i="16"/>
  <c r="F77" i="16"/>
  <c r="P102" i="16"/>
  <c r="P84" i="16"/>
  <c r="G101" i="16"/>
  <c r="G103" i="16"/>
  <c r="G100" i="16"/>
  <c r="F113" i="16"/>
  <c r="F95" i="16"/>
  <c r="G85" i="16"/>
  <c r="G82" i="16"/>
  <c r="G83" i="16"/>
  <c r="G102" i="16"/>
  <c r="Z67" i="16"/>
  <c r="Z72" i="16"/>
  <c r="Q72" i="16"/>
  <c r="Z64" i="16"/>
  <c r="Q70" i="16"/>
  <c r="Z75" i="16"/>
  <c r="Z74" i="16"/>
  <c r="Q74" i="16"/>
  <c r="Z71" i="16"/>
  <c r="Z73" i="16"/>
  <c r="Q73" i="16"/>
  <c r="Q67" i="16"/>
  <c r="Q71" i="16"/>
  <c r="Q75" i="16"/>
  <c r="Q64" i="16"/>
  <c r="Q65" i="16"/>
  <c r="Z70" i="16"/>
  <c r="Z65" i="16"/>
  <c r="Z66" i="16"/>
  <c r="Q66" i="16"/>
  <c r="G66" i="16"/>
  <c r="G84" i="16"/>
  <c r="F21" i="22"/>
  <c r="C21" i="22"/>
  <c r="G13" i="8"/>
  <c r="G94" i="8"/>
  <c r="G11" i="8"/>
  <c r="G30" i="8"/>
  <c r="G90" i="8"/>
  <c r="G18" i="8"/>
  <c r="G28" i="8"/>
  <c r="G57" i="8"/>
  <c r="G10" i="8"/>
  <c r="G85" i="8"/>
  <c r="G105" i="8"/>
  <c r="G50" i="8"/>
  <c r="G108" i="8"/>
  <c r="G17" i="8"/>
  <c r="G52" i="8"/>
  <c r="G48" i="8"/>
  <c r="G24" i="8"/>
  <c r="G101" i="8"/>
  <c r="G66" i="8"/>
  <c r="G83" i="8"/>
  <c r="G14" i="8"/>
  <c r="G73" i="8"/>
  <c r="G49" i="8"/>
  <c r="G65" i="8"/>
  <c r="G76" i="8"/>
  <c r="G4" i="8"/>
  <c r="G15" i="8"/>
  <c r="G54" i="8"/>
  <c r="G70" i="8"/>
  <c r="G43" i="8"/>
  <c r="G21" i="8"/>
  <c r="G36" i="8"/>
  <c r="G96" i="8"/>
  <c r="G7" i="8"/>
  <c r="G29" i="8"/>
  <c r="G32" i="8"/>
  <c r="G107" i="8"/>
  <c r="G40" i="8"/>
  <c r="G26" i="8"/>
  <c r="G55" i="8"/>
  <c r="G78" i="8"/>
  <c r="G99" i="8"/>
  <c r="G37" i="8"/>
  <c r="G64" i="8"/>
  <c r="G84" i="8"/>
  <c r="G80" i="8"/>
  <c r="G19" i="8"/>
  <c r="G68" i="8"/>
  <c r="G20" i="8"/>
  <c r="G56" i="8"/>
  <c r="G81" i="8"/>
  <c r="G38" i="8"/>
  <c r="G82" i="8"/>
  <c r="G67" i="8"/>
  <c r="G2" i="8"/>
  <c r="G88" i="8"/>
  <c r="G5" i="8"/>
  <c r="G9" i="8"/>
  <c r="G62" i="8"/>
  <c r="G104" i="8"/>
  <c r="G109" i="8"/>
  <c r="G58" i="8"/>
  <c r="G22" i="8"/>
  <c r="G69" i="8"/>
  <c r="G74" i="8"/>
  <c r="G45" i="8"/>
  <c r="G27" i="8"/>
  <c r="G41" i="8"/>
  <c r="G75" i="8"/>
  <c r="G61" i="8"/>
  <c r="G87" i="8"/>
  <c r="G100" i="8"/>
  <c r="G35" i="8"/>
  <c r="G23" i="8"/>
  <c r="G39" i="8"/>
  <c r="G34" i="8"/>
  <c r="G63" i="8"/>
  <c r="G8" i="8"/>
  <c r="G86" i="8"/>
  <c r="G60" i="8"/>
  <c r="G47" i="8"/>
  <c r="G3" i="8"/>
  <c r="G16" i="8"/>
  <c r="G51" i="8"/>
  <c r="G103" i="8"/>
  <c r="G89" i="8"/>
  <c r="G77" i="8"/>
  <c r="G44" i="8"/>
  <c r="G59" i="8"/>
  <c r="G93" i="8"/>
  <c r="G79" i="8"/>
  <c r="G46" i="8"/>
  <c r="G97" i="8"/>
  <c r="G25" i="8"/>
  <c r="G12" i="8"/>
  <c r="G106" i="8"/>
  <c r="G6" i="8"/>
  <c r="G42" i="8"/>
  <c r="G53" i="8"/>
  <c r="G72" i="8"/>
  <c r="G33" i="8"/>
  <c r="G92" i="8"/>
  <c r="G98" i="8"/>
  <c r="G91" i="8"/>
  <c r="G102" i="8"/>
  <c r="G31" i="8"/>
  <c r="G71" i="8"/>
  <c r="G95" i="8"/>
  <c r="E13" i="8"/>
  <c r="E94" i="8"/>
  <c r="E11" i="8"/>
  <c r="E30" i="8"/>
  <c r="E90" i="8"/>
  <c r="E18" i="8"/>
  <c r="E28" i="8"/>
  <c r="E57" i="8"/>
  <c r="E10" i="8"/>
  <c r="E85" i="8"/>
  <c r="E105" i="8"/>
  <c r="E50" i="8"/>
  <c r="E108" i="8"/>
  <c r="E17" i="8"/>
  <c r="E52" i="8"/>
  <c r="E48" i="8"/>
  <c r="E24" i="8"/>
  <c r="E101" i="8"/>
  <c r="E66" i="8"/>
  <c r="E83" i="8"/>
  <c r="E14" i="8"/>
  <c r="E73" i="8"/>
  <c r="E49" i="8"/>
  <c r="E65" i="8"/>
  <c r="E76" i="8"/>
  <c r="E4" i="8"/>
  <c r="E15" i="8"/>
  <c r="E54" i="8"/>
  <c r="E70" i="8"/>
  <c r="E43" i="8"/>
  <c r="E21" i="8"/>
  <c r="E36" i="8"/>
  <c r="E96" i="8"/>
  <c r="E7" i="8"/>
  <c r="E29" i="8"/>
  <c r="E32" i="8"/>
  <c r="E107" i="8"/>
  <c r="E40" i="8"/>
  <c r="E26" i="8"/>
  <c r="E55" i="8"/>
  <c r="E78" i="8"/>
  <c r="E99" i="8"/>
  <c r="E37" i="8"/>
  <c r="E64" i="8"/>
  <c r="E84" i="8"/>
  <c r="E80" i="8"/>
  <c r="E19" i="8"/>
  <c r="E68" i="8"/>
  <c r="E20" i="8"/>
  <c r="E56" i="8"/>
  <c r="E81" i="8"/>
  <c r="E38" i="8"/>
  <c r="E82" i="8"/>
  <c r="E67" i="8"/>
  <c r="E2" i="8"/>
  <c r="E88" i="8"/>
  <c r="E5" i="8"/>
  <c r="E9" i="8"/>
  <c r="E62" i="8"/>
  <c r="E104" i="8"/>
  <c r="E109" i="8"/>
  <c r="E58" i="8"/>
  <c r="E22" i="8"/>
  <c r="E69" i="8"/>
  <c r="E74" i="8"/>
  <c r="E45" i="8"/>
  <c r="E27" i="8"/>
  <c r="E41" i="8"/>
  <c r="E75" i="8"/>
  <c r="E61" i="8"/>
  <c r="E87" i="8"/>
  <c r="E100" i="8"/>
  <c r="E35" i="8"/>
  <c r="E23" i="8"/>
  <c r="E39" i="8"/>
  <c r="E34" i="8"/>
  <c r="E63" i="8"/>
  <c r="E8" i="8"/>
  <c r="E86" i="8"/>
  <c r="E60" i="8"/>
  <c r="E47" i="8"/>
  <c r="E3" i="8"/>
  <c r="E16" i="8"/>
  <c r="E51" i="8"/>
  <c r="E103" i="8"/>
  <c r="E89" i="8"/>
  <c r="E77" i="8"/>
  <c r="E44" i="8"/>
  <c r="E59" i="8"/>
  <c r="E93" i="8"/>
  <c r="E79" i="8"/>
  <c r="E46" i="8"/>
  <c r="E97" i="8"/>
  <c r="E25" i="8"/>
  <c r="E12" i="8"/>
  <c r="E106" i="8"/>
  <c r="E6" i="8"/>
  <c r="E42" i="8"/>
  <c r="E53" i="8"/>
  <c r="E72" i="8"/>
  <c r="E33" i="8"/>
  <c r="E92" i="8"/>
  <c r="E98" i="8"/>
  <c r="E91" i="8"/>
  <c r="E102" i="8"/>
  <c r="E31" i="8"/>
  <c r="E71" i="8"/>
  <c r="E95" i="8"/>
  <c r="Z76" i="16" l="1"/>
  <c r="Q92" i="16"/>
  <c r="Q88" i="16"/>
  <c r="Q90" i="16"/>
  <c r="Q85" i="16"/>
  <c r="Q89" i="16"/>
  <c r="Q91" i="16"/>
  <c r="Q93" i="16"/>
  <c r="Q82" i="16"/>
  <c r="Q83" i="16"/>
  <c r="Q84" i="16"/>
  <c r="Q68" i="16"/>
  <c r="Y104" i="16"/>
  <c r="Q76" i="16"/>
  <c r="Q77" i="16" s="1"/>
  <c r="H75" i="16"/>
  <c r="H72" i="16"/>
  <c r="H74" i="16"/>
  <c r="H70" i="16"/>
  <c r="H73" i="16"/>
  <c r="H71" i="16"/>
  <c r="H67" i="16"/>
  <c r="H65" i="16"/>
  <c r="H64" i="16"/>
  <c r="H66" i="16"/>
  <c r="Y86" i="16"/>
  <c r="Z68" i="16"/>
  <c r="Z77" i="16" s="1"/>
  <c r="H89" i="16"/>
  <c r="H83" i="16"/>
  <c r="H88" i="16"/>
  <c r="H85" i="16"/>
  <c r="H82" i="16"/>
  <c r="H93" i="16"/>
  <c r="H90" i="16"/>
  <c r="H91" i="16"/>
  <c r="H92" i="16"/>
  <c r="H84" i="16"/>
  <c r="H106" i="16"/>
  <c r="H110" i="16"/>
  <c r="H103" i="16"/>
  <c r="H109" i="16"/>
  <c r="H108" i="16"/>
  <c r="H100" i="16"/>
  <c r="H111" i="16"/>
  <c r="H101" i="16"/>
  <c r="H107" i="16"/>
  <c r="H102" i="16"/>
  <c r="G68" i="16"/>
  <c r="Q101" i="16"/>
  <c r="Q109" i="16"/>
  <c r="Q106" i="16"/>
  <c r="Q100" i="16"/>
  <c r="Q108" i="16"/>
  <c r="Q110" i="16"/>
  <c r="Q107" i="16"/>
  <c r="Z104" i="16"/>
  <c r="Q103" i="16"/>
  <c r="Q111" i="16"/>
  <c r="Q102" i="16"/>
  <c r="J24" i="20"/>
  <c r="J26" i="20"/>
  <c r="J27" i="20"/>
  <c r="D28" i="20"/>
  <c r="I34" i="23"/>
  <c r="I30" i="23"/>
  <c r="I35" i="23"/>
  <c r="B28" i="20"/>
  <c r="I21" i="22"/>
  <c r="J25" i="20"/>
  <c r="G21" i="22"/>
  <c r="H21" i="22"/>
  <c r="J21" i="22"/>
  <c r="C10" i="9"/>
  <c r="C6" i="10" s="1"/>
  <c r="I17" i="9"/>
  <c r="K13" i="9"/>
  <c r="F15" i="10" s="1"/>
  <c r="K17" i="9"/>
  <c r="J15" i="10" s="1"/>
  <c r="I13" i="9"/>
  <c r="C13" i="9"/>
  <c r="E17" i="9"/>
  <c r="J6" i="10" s="1"/>
  <c r="E33" i="9"/>
  <c r="J9" i="10" s="1"/>
  <c r="E48" i="9"/>
  <c r="J12" i="10" s="1"/>
  <c r="I48" i="9"/>
  <c r="O48" i="9"/>
  <c r="Q17" i="9"/>
  <c r="J24" i="10" s="1"/>
  <c r="U13" i="9"/>
  <c r="W13" i="9"/>
  <c r="F33" i="10" s="1"/>
  <c r="W29" i="9"/>
  <c r="F36" i="10" s="1"/>
  <c r="U44" i="9"/>
  <c r="I10" i="9"/>
  <c r="C15" i="10" s="1"/>
  <c r="K48" i="9"/>
  <c r="Q48" i="9"/>
  <c r="J30" i="10" s="1"/>
  <c r="U17" i="9"/>
  <c r="U48" i="9"/>
  <c r="E13" i="9"/>
  <c r="F6" i="10" s="1"/>
  <c r="W48" i="9"/>
  <c r="J39" i="10" s="1"/>
  <c r="W33" i="9"/>
  <c r="J36" i="10" s="1"/>
  <c r="U26" i="9"/>
  <c r="C36" i="10" s="1"/>
  <c r="U33" i="9"/>
  <c r="W17" i="9"/>
  <c r="J33" i="10" s="1"/>
  <c r="O13" i="9"/>
  <c r="O41" i="9"/>
  <c r="C30" i="10" s="1"/>
  <c r="Q29" i="9"/>
  <c r="F27" i="10" s="1"/>
  <c r="O33" i="9"/>
  <c r="I41" i="9"/>
  <c r="C21" i="10" s="1"/>
  <c r="K29" i="9"/>
  <c r="F18" i="10" s="1"/>
  <c r="I33" i="9"/>
  <c r="E44" i="9"/>
  <c r="F12" i="10" s="1"/>
  <c r="C33" i="9"/>
  <c r="C26" i="9"/>
  <c r="C9" i="10" s="1"/>
  <c r="E29" i="9"/>
  <c r="F9" i="10" s="1"/>
  <c r="C41" i="9"/>
  <c r="C12" i="10" s="1"/>
  <c r="I29" i="9"/>
  <c r="K33" i="9"/>
  <c r="J18" i="10" s="1"/>
  <c r="I44" i="9"/>
  <c r="O26" i="9"/>
  <c r="C27" i="10" s="1"/>
  <c r="Q33" i="9"/>
  <c r="J27" i="10" s="1"/>
  <c r="O44" i="9"/>
  <c r="Q13" i="9"/>
  <c r="F24" i="10" s="1"/>
  <c r="O10" i="9"/>
  <c r="C24" i="10" s="1"/>
  <c r="C17" i="9"/>
  <c r="C29" i="9"/>
  <c r="C44" i="9"/>
  <c r="C48" i="9"/>
  <c r="I26" i="9"/>
  <c r="C18" i="10" s="1"/>
  <c r="K44" i="9"/>
  <c r="O29" i="9"/>
  <c r="Q44" i="9"/>
  <c r="F30" i="10" s="1"/>
  <c r="O17" i="9"/>
  <c r="U10" i="9"/>
  <c r="C33" i="10" s="1"/>
  <c r="U29" i="9"/>
  <c r="U41" i="9"/>
  <c r="C39" i="10" s="1"/>
  <c r="W44" i="9"/>
  <c r="F39" i="10" s="1"/>
  <c r="AL95" i="8"/>
  <c r="AI95" i="8"/>
  <c r="AD95" i="8"/>
  <c r="AB95" i="8" s="1"/>
  <c r="U95" i="8"/>
  <c r="H95" i="8" s="1"/>
  <c r="F95" i="8" s="1"/>
  <c r="AL71" i="8"/>
  <c r="AI71" i="8"/>
  <c r="AD71" i="8"/>
  <c r="AB71" i="8" s="1"/>
  <c r="U71" i="8"/>
  <c r="H71" i="8" s="1"/>
  <c r="F71" i="8" s="1"/>
  <c r="AL31" i="8"/>
  <c r="AI31" i="8"/>
  <c r="AD31" i="8"/>
  <c r="AB31" i="8" s="1"/>
  <c r="U31" i="8"/>
  <c r="H31" i="8" s="1"/>
  <c r="F31" i="8" s="1"/>
  <c r="AL102" i="8"/>
  <c r="AI102" i="8"/>
  <c r="AD102" i="8"/>
  <c r="AB102" i="8" s="1"/>
  <c r="U102" i="8"/>
  <c r="H102" i="8" s="1"/>
  <c r="F102" i="8" s="1"/>
  <c r="AL91" i="8"/>
  <c r="AI91" i="8"/>
  <c r="AD91" i="8"/>
  <c r="AB91" i="8" s="1"/>
  <c r="U91" i="8"/>
  <c r="H91" i="8" s="1"/>
  <c r="F91" i="8" s="1"/>
  <c r="AL98" i="8"/>
  <c r="AI98" i="8"/>
  <c r="AD98" i="8"/>
  <c r="AB98" i="8" s="1"/>
  <c r="U98" i="8"/>
  <c r="H98" i="8" s="1"/>
  <c r="F98" i="8" s="1"/>
  <c r="AL92" i="8"/>
  <c r="AI92" i="8"/>
  <c r="AD92" i="8"/>
  <c r="AB92" i="8" s="1"/>
  <c r="U92" i="8"/>
  <c r="H92" i="8" s="1"/>
  <c r="F92" i="8" s="1"/>
  <c r="AL33" i="8"/>
  <c r="AI33" i="8"/>
  <c r="AD33" i="8"/>
  <c r="AB33" i="8" s="1"/>
  <c r="U33" i="8"/>
  <c r="H33" i="8" s="1"/>
  <c r="F33" i="8" s="1"/>
  <c r="AL72" i="8"/>
  <c r="AI72" i="8"/>
  <c r="AD72" i="8"/>
  <c r="AB72" i="8" s="1"/>
  <c r="U72" i="8"/>
  <c r="H72" i="8" s="1"/>
  <c r="F72" i="8" s="1"/>
  <c r="AL53" i="8"/>
  <c r="AI53" i="8"/>
  <c r="AD53" i="8"/>
  <c r="AB53" i="8" s="1"/>
  <c r="U53" i="8"/>
  <c r="H53" i="8" s="1"/>
  <c r="F53" i="8" s="1"/>
  <c r="AL42" i="8"/>
  <c r="AI42" i="8"/>
  <c r="AD42" i="8"/>
  <c r="AB42" i="8" s="1"/>
  <c r="U42" i="8"/>
  <c r="H42" i="8" s="1"/>
  <c r="F42" i="8" s="1"/>
  <c r="AL6" i="8"/>
  <c r="AI6" i="8"/>
  <c r="AD6" i="8"/>
  <c r="AB6" i="8" s="1"/>
  <c r="U6" i="8"/>
  <c r="H6" i="8" s="1"/>
  <c r="F6" i="8" s="1"/>
  <c r="AL106" i="8"/>
  <c r="AI106" i="8"/>
  <c r="AD106" i="8"/>
  <c r="AB106" i="8" s="1"/>
  <c r="U106" i="8"/>
  <c r="H106" i="8" s="1"/>
  <c r="F106" i="8" s="1"/>
  <c r="AL12" i="8"/>
  <c r="AI12" i="8"/>
  <c r="AD12" i="8"/>
  <c r="AB12" i="8" s="1"/>
  <c r="U12" i="8"/>
  <c r="H12" i="8" s="1"/>
  <c r="AL25" i="8"/>
  <c r="AI25" i="8"/>
  <c r="AD25" i="8"/>
  <c r="AB25" i="8" s="1"/>
  <c r="U25" i="8"/>
  <c r="H25" i="8" s="1"/>
  <c r="F25" i="8" s="1"/>
  <c r="AL97" i="8"/>
  <c r="AI97" i="8"/>
  <c r="AD97" i="8"/>
  <c r="AB97" i="8" s="1"/>
  <c r="U97" i="8"/>
  <c r="H97" i="8" s="1"/>
  <c r="F97" i="8" s="1"/>
  <c r="AL46" i="8"/>
  <c r="AI46" i="8"/>
  <c r="AD46" i="8"/>
  <c r="AB46" i="8" s="1"/>
  <c r="U46" i="8"/>
  <c r="H46" i="8" s="1"/>
  <c r="F46" i="8" s="1"/>
  <c r="AL79" i="8"/>
  <c r="AI79" i="8"/>
  <c r="AD79" i="8"/>
  <c r="AB79" i="8" s="1"/>
  <c r="U79" i="8"/>
  <c r="H79" i="8" s="1"/>
  <c r="F79" i="8" s="1"/>
  <c r="AL93" i="8"/>
  <c r="AI93" i="8"/>
  <c r="AD93" i="8"/>
  <c r="AB93" i="8" s="1"/>
  <c r="U93" i="8"/>
  <c r="H93" i="8" s="1"/>
  <c r="F93" i="8" s="1"/>
  <c r="AL59" i="8"/>
  <c r="AI59" i="8"/>
  <c r="AD59" i="8"/>
  <c r="AB59" i="8" s="1"/>
  <c r="U59" i="8"/>
  <c r="H59" i="8" s="1"/>
  <c r="F59" i="8" s="1"/>
  <c r="AL44" i="8"/>
  <c r="AI44" i="8"/>
  <c r="AD44" i="8"/>
  <c r="AB44" i="8" s="1"/>
  <c r="U44" i="8"/>
  <c r="H44" i="8" s="1"/>
  <c r="F44" i="8" s="1"/>
  <c r="AL77" i="8"/>
  <c r="AI77" i="8"/>
  <c r="AD77" i="8"/>
  <c r="AB77" i="8" s="1"/>
  <c r="U77" i="8"/>
  <c r="H77" i="8" s="1"/>
  <c r="F77" i="8" s="1"/>
  <c r="AL89" i="8"/>
  <c r="AI89" i="8"/>
  <c r="AD89" i="8"/>
  <c r="AB89" i="8" s="1"/>
  <c r="U89" i="8"/>
  <c r="H89" i="8" s="1"/>
  <c r="F89" i="8" s="1"/>
  <c r="AL103" i="8"/>
  <c r="AI103" i="8"/>
  <c r="AD103" i="8"/>
  <c r="AB103" i="8" s="1"/>
  <c r="U103" i="8"/>
  <c r="H103" i="8" s="1"/>
  <c r="F103" i="8" s="1"/>
  <c r="AL51" i="8"/>
  <c r="AI51" i="8"/>
  <c r="AD51" i="8"/>
  <c r="AB51" i="8" s="1"/>
  <c r="U51" i="8"/>
  <c r="H51" i="8" s="1"/>
  <c r="F51" i="8" s="1"/>
  <c r="AL16" i="8"/>
  <c r="AI16" i="8"/>
  <c r="AD16" i="8"/>
  <c r="AB16" i="8" s="1"/>
  <c r="U16" i="8"/>
  <c r="H16" i="8" s="1"/>
  <c r="F16" i="8" s="1"/>
  <c r="AL3" i="8"/>
  <c r="AI3" i="8"/>
  <c r="AD3" i="8"/>
  <c r="AB3" i="8" s="1"/>
  <c r="U3" i="8"/>
  <c r="H3" i="8" s="1"/>
  <c r="F3" i="8" s="1"/>
  <c r="AL47" i="8"/>
  <c r="AI47" i="8"/>
  <c r="AD47" i="8"/>
  <c r="AB47" i="8" s="1"/>
  <c r="U47" i="8"/>
  <c r="H47" i="8" s="1"/>
  <c r="F47" i="8" s="1"/>
  <c r="AL60" i="8"/>
  <c r="AI60" i="8"/>
  <c r="AD60" i="8"/>
  <c r="AB60" i="8" s="1"/>
  <c r="U60" i="8"/>
  <c r="H60" i="8" s="1"/>
  <c r="F60" i="8" s="1"/>
  <c r="AL86" i="8"/>
  <c r="AI86" i="8"/>
  <c r="AD86" i="8"/>
  <c r="AB86" i="8" s="1"/>
  <c r="U86" i="8"/>
  <c r="H86" i="8" s="1"/>
  <c r="F86" i="8" s="1"/>
  <c r="AL8" i="8"/>
  <c r="AI8" i="8"/>
  <c r="AD8" i="8"/>
  <c r="AB8" i="8" s="1"/>
  <c r="U8" i="8"/>
  <c r="H8" i="8" s="1"/>
  <c r="F8" i="8" s="1"/>
  <c r="AL63" i="8"/>
  <c r="AI63" i="8"/>
  <c r="AD63" i="8"/>
  <c r="AB63" i="8" s="1"/>
  <c r="U63" i="8"/>
  <c r="H63" i="8" s="1"/>
  <c r="F63" i="8" s="1"/>
  <c r="AL34" i="8"/>
  <c r="O22" i="9" s="1"/>
  <c r="AI34" i="8"/>
  <c r="O21" i="9" s="1"/>
  <c r="AD34" i="8"/>
  <c r="U34" i="8"/>
  <c r="H34" i="8" s="1"/>
  <c r="O14" i="9" s="1"/>
  <c r="AL39" i="8"/>
  <c r="AI39" i="8"/>
  <c r="AD39" i="8"/>
  <c r="AB39" i="8" s="1"/>
  <c r="U39" i="8"/>
  <c r="H39" i="8" s="1"/>
  <c r="F39" i="8" s="1"/>
  <c r="AL23" i="8"/>
  <c r="AI23" i="8"/>
  <c r="AD23" i="8"/>
  <c r="AB23" i="8" s="1"/>
  <c r="U23" i="8"/>
  <c r="H23" i="8" s="1"/>
  <c r="F23" i="8" s="1"/>
  <c r="AL35" i="8"/>
  <c r="AI35" i="8"/>
  <c r="AD35" i="8"/>
  <c r="AB35" i="8" s="1"/>
  <c r="U35" i="8"/>
  <c r="H35" i="8" s="1"/>
  <c r="F35" i="8" s="1"/>
  <c r="AL100" i="8"/>
  <c r="AI100" i="8"/>
  <c r="AD100" i="8"/>
  <c r="AB100" i="8" s="1"/>
  <c r="U100" i="8"/>
  <c r="H100" i="8" s="1"/>
  <c r="F100" i="8" s="1"/>
  <c r="AL87" i="8"/>
  <c r="AI87" i="8"/>
  <c r="AD87" i="8"/>
  <c r="AB87" i="8" s="1"/>
  <c r="U87" i="8"/>
  <c r="H87" i="8" s="1"/>
  <c r="F87" i="8" s="1"/>
  <c r="AL61" i="8"/>
  <c r="AI61" i="8"/>
  <c r="AD61" i="8"/>
  <c r="AB61" i="8" s="1"/>
  <c r="U61" i="8"/>
  <c r="H61" i="8" s="1"/>
  <c r="F61" i="8" s="1"/>
  <c r="AL75" i="8"/>
  <c r="AI75" i="8"/>
  <c r="AD75" i="8"/>
  <c r="AB75" i="8" s="1"/>
  <c r="U75" i="8"/>
  <c r="H75" i="8" s="1"/>
  <c r="F75" i="8" s="1"/>
  <c r="AL41" i="8"/>
  <c r="AI41" i="8"/>
  <c r="AD41" i="8"/>
  <c r="AB41" i="8" s="1"/>
  <c r="U41" i="8"/>
  <c r="H41" i="8" s="1"/>
  <c r="F41" i="8" s="1"/>
  <c r="AL27" i="8"/>
  <c r="AI27" i="8"/>
  <c r="AD27" i="8"/>
  <c r="AB27" i="8" s="1"/>
  <c r="U27" i="8"/>
  <c r="H27" i="8" s="1"/>
  <c r="F27" i="8" s="1"/>
  <c r="AL45" i="8"/>
  <c r="AI45" i="8"/>
  <c r="AD45" i="8"/>
  <c r="AB45" i="8" s="1"/>
  <c r="U45" i="8"/>
  <c r="H45" i="8" s="1"/>
  <c r="F45" i="8" s="1"/>
  <c r="AL74" i="8"/>
  <c r="AI74" i="8"/>
  <c r="AD74" i="8"/>
  <c r="AB74" i="8" s="1"/>
  <c r="U74" i="8"/>
  <c r="H74" i="8" s="1"/>
  <c r="F74" i="8" s="1"/>
  <c r="AL69" i="8"/>
  <c r="AI69" i="8"/>
  <c r="AD69" i="8"/>
  <c r="AB69" i="8" s="1"/>
  <c r="U69" i="8"/>
  <c r="H69" i="8" s="1"/>
  <c r="F69" i="8" s="1"/>
  <c r="AL22" i="8"/>
  <c r="AI22" i="8"/>
  <c r="AD22" i="8"/>
  <c r="AB22" i="8" s="1"/>
  <c r="U22" i="8"/>
  <c r="H22" i="8" s="1"/>
  <c r="F22" i="8" s="1"/>
  <c r="AL58" i="8"/>
  <c r="I53" i="9" s="1"/>
  <c r="AI58" i="8"/>
  <c r="I52" i="9" s="1"/>
  <c r="AD58" i="8"/>
  <c r="U58" i="8"/>
  <c r="H58" i="8" s="1"/>
  <c r="F58" i="8" s="1"/>
  <c r="K46" i="9" s="1"/>
  <c r="AL109" i="8"/>
  <c r="AI109" i="8"/>
  <c r="AD109" i="8"/>
  <c r="AB109" i="8" s="1"/>
  <c r="U109" i="8"/>
  <c r="H109" i="8" s="1"/>
  <c r="F109" i="8" s="1"/>
  <c r="AL104" i="8"/>
  <c r="AI104" i="8"/>
  <c r="AD104" i="8"/>
  <c r="AB104" i="8" s="1"/>
  <c r="U104" i="8"/>
  <c r="H104" i="8" s="1"/>
  <c r="F104" i="8" s="1"/>
  <c r="AL62" i="8"/>
  <c r="AI62" i="8"/>
  <c r="AD62" i="8"/>
  <c r="AB62" i="8" s="1"/>
  <c r="U62" i="8"/>
  <c r="H62" i="8" s="1"/>
  <c r="F62" i="8" s="1"/>
  <c r="AL9" i="8"/>
  <c r="AI9" i="8"/>
  <c r="AD9" i="8"/>
  <c r="AB9" i="8" s="1"/>
  <c r="U9" i="8"/>
  <c r="H9" i="8" s="1"/>
  <c r="F9" i="8" s="1"/>
  <c r="AL5" i="8"/>
  <c r="AI5" i="8"/>
  <c r="AD5" i="8"/>
  <c r="AB5" i="8" s="1"/>
  <c r="U5" i="8"/>
  <c r="H5" i="8" s="1"/>
  <c r="F5" i="8" s="1"/>
  <c r="AL88" i="8"/>
  <c r="AI88" i="8"/>
  <c r="AD88" i="8"/>
  <c r="AB88" i="8" s="1"/>
  <c r="U88" i="8"/>
  <c r="H88" i="8" s="1"/>
  <c r="F88" i="8" s="1"/>
  <c r="AL2" i="8"/>
  <c r="AI2" i="8"/>
  <c r="AD2" i="8"/>
  <c r="AB2" i="8" s="1"/>
  <c r="U2" i="8"/>
  <c r="H2" i="8" s="1"/>
  <c r="F2" i="8" s="1"/>
  <c r="AL67" i="8"/>
  <c r="AI67" i="8"/>
  <c r="AD67" i="8"/>
  <c r="AB67" i="8" s="1"/>
  <c r="U67" i="8"/>
  <c r="H67" i="8" s="1"/>
  <c r="F67" i="8" s="1"/>
  <c r="AL82" i="8"/>
  <c r="AI82" i="8"/>
  <c r="AD82" i="8"/>
  <c r="AB82" i="8" s="1"/>
  <c r="U82" i="8"/>
  <c r="H82" i="8" s="1"/>
  <c r="F82" i="8" s="1"/>
  <c r="AL38" i="8"/>
  <c r="AI38" i="8"/>
  <c r="AD38" i="8"/>
  <c r="AB38" i="8" s="1"/>
  <c r="U38" i="8"/>
  <c r="H38" i="8" s="1"/>
  <c r="F38" i="8" s="1"/>
  <c r="AL81" i="8"/>
  <c r="AI81" i="8"/>
  <c r="AD81" i="8"/>
  <c r="AB81" i="8" s="1"/>
  <c r="U81" i="8"/>
  <c r="H81" i="8" s="1"/>
  <c r="F81" i="8" s="1"/>
  <c r="AL56" i="8"/>
  <c r="AI56" i="8"/>
  <c r="AD56" i="8"/>
  <c r="AB56" i="8" s="1"/>
  <c r="U56" i="8"/>
  <c r="H56" i="8" s="1"/>
  <c r="F56" i="8" s="1"/>
  <c r="AL20" i="8"/>
  <c r="AI20" i="8"/>
  <c r="AD20" i="8"/>
  <c r="AB20" i="8" s="1"/>
  <c r="U20" i="8"/>
  <c r="H20" i="8" s="1"/>
  <c r="F20" i="8" s="1"/>
  <c r="AL68" i="8"/>
  <c r="AI68" i="8"/>
  <c r="AD68" i="8"/>
  <c r="AB68" i="8" s="1"/>
  <c r="U68" i="8"/>
  <c r="H68" i="8" s="1"/>
  <c r="F68" i="8" s="1"/>
  <c r="AL19" i="8"/>
  <c r="AI19" i="8"/>
  <c r="AD19" i="8"/>
  <c r="AB19" i="8" s="1"/>
  <c r="U19" i="8"/>
  <c r="H19" i="8" s="1"/>
  <c r="F19" i="8" s="1"/>
  <c r="AL80" i="8"/>
  <c r="AI80" i="8"/>
  <c r="AD80" i="8"/>
  <c r="AB80" i="8" s="1"/>
  <c r="U80" i="8"/>
  <c r="H80" i="8" s="1"/>
  <c r="F80" i="8" s="1"/>
  <c r="AL84" i="8"/>
  <c r="AI84" i="8"/>
  <c r="AD84" i="8"/>
  <c r="AB84" i="8" s="1"/>
  <c r="U84" i="8"/>
  <c r="H84" i="8" s="1"/>
  <c r="F84" i="8" s="1"/>
  <c r="AL64" i="8"/>
  <c r="AI64" i="8"/>
  <c r="AD64" i="8"/>
  <c r="AB64" i="8" s="1"/>
  <c r="U64" i="8"/>
  <c r="H64" i="8" s="1"/>
  <c r="F64" i="8" s="1"/>
  <c r="AL37" i="8"/>
  <c r="AI37" i="8"/>
  <c r="AD37" i="8"/>
  <c r="AB37" i="8" s="1"/>
  <c r="U37" i="8"/>
  <c r="H37" i="8" s="1"/>
  <c r="F37" i="8" s="1"/>
  <c r="AL99" i="8"/>
  <c r="AI99" i="8"/>
  <c r="AD99" i="8"/>
  <c r="AB99" i="8" s="1"/>
  <c r="U99" i="8"/>
  <c r="H99" i="8" s="1"/>
  <c r="F99" i="8" s="1"/>
  <c r="AL78" i="8"/>
  <c r="AI78" i="8"/>
  <c r="AD78" i="8"/>
  <c r="AB78" i="8" s="1"/>
  <c r="U78" i="8"/>
  <c r="H78" i="8" s="1"/>
  <c r="F78" i="8" s="1"/>
  <c r="AL55" i="8"/>
  <c r="AI55" i="8"/>
  <c r="AD55" i="8"/>
  <c r="AB55" i="8" s="1"/>
  <c r="U55" i="8"/>
  <c r="H55" i="8" s="1"/>
  <c r="F55" i="8" s="1"/>
  <c r="AL26" i="8"/>
  <c r="AI26" i="8"/>
  <c r="AD26" i="8"/>
  <c r="AB26" i="8" s="1"/>
  <c r="U26" i="8"/>
  <c r="H26" i="8" s="1"/>
  <c r="F26" i="8" s="1"/>
  <c r="AL40" i="8"/>
  <c r="AI40" i="8"/>
  <c r="AD40" i="8"/>
  <c r="AB40" i="8" s="1"/>
  <c r="U40" i="8"/>
  <c r="H40" i="8" s="1"/>
  <c r="F40" i="8" s="1"/>
  <c r="AL107" i="8"/>
  <c r="AI107" i="8"/>
  <c r="AD107" i="8"/>
  <c r="U107" i="8"/>
  <c r="H107" i="8" s="1"/>
  <c r="O45" i="9" s="1"/>
  <c r="AL32" i="8"/>
  <c r="AI32" i="8"/>
  <c r="AD32" i="8"/>
  <c r="AB32" i="8" s="1"/>
  <c r="U32" i="8"/>
  <c r="H32" i="8" s="1"/>
  <c r="F32" i="8" s="1"/>
  <c r="AL29" i="8"/>
  <c r="AI29" i="8"/>
  <c r="AD29" i="8"/>
  <c r="AB29" i="8" s="1"/>
  <c r="U29" i="8"/>
  <c r="H29" i="8" s="1"/>
  <c r="F29" i="8" s="1"/>
  <c r="AL7" i="8"/>
  <c r="AI7" i="8"/>
  <c r="AD7" i="8"/>
  <c r="AB7" i="8" s="1"/>
  <c r="U7" i="8"/>
  <c r="H7" i="8" s="1"/>
  <c r="F7" i="8" s="1"/>
  <c r="AL96" i="8"/>
  <c r="AI96" i="8"/>
  <c r="AD96" i="8"/>
  <c r="AB96" i="8" s="1"/>
  <c r="U96" i="8"/>
  <c r="H96" i="8" s="1"/>
  <c r="F96" i="8" s="1"/>
  <c r="AL36" i="8"/>
  <c r="AI36" i="8"/>
  <c r="AD36" i="8"/>
  <c r="AB36" i="8" s="1"/>
  <c r="U36" i="8"/>
  <c r="H36" i="8" s="1"/>
  <c r="F36" i="8" s="1"/>
  <c r="AL21" i="8"/>
  <c r="AI21" i="8"/>
  <c r="AD21" i="8"/>
  <c r="AB21" i="8" s="1"/>
  <c r="U21" i="8"/>
  <c r="H21" i="8" s="1"/>
  <c r="F21" i="8" s="1"/>
  <c r="AL43" i="8"/>
  <c r="AI43" i="8"/>
  <c r="AD43" i="8"/>
  <c r="AB43" i="8" s="1"/>
  <c r="U43" i="8"/>
  <c r="H43" i="8" s="1"/>
  <c r="F43" i="8" s="1"/>
  <c r="AL70" i="8"/>
  <c r="I22" i="9" s="1"/>
  <c r="AI70" i="8"/>
  <c r="AD70" i="8"/>
  <c r="AB70" i="8" s="1"/>
  <c r="K19" i="9" s="1"/>
  <c r="U70" i="8"/>
  <c r="H70" i="8" s="1"/>
  <c r="F70" i="8" s="1"/>
  <c r="AL54" i="8"/>
  <c r="AI54" i="8"/>
  <c r="AD54" i="8"/>
  <c r="AB54" i="8" s="1"/>
  <c r="U54" i="8"/>
  <c r="H54" i="8" s="1"/>
  <c r="F54" i="8" s="1"/>
  <c r="AL15" i="8"/>
  <c r="AI15" i="8"/>
  <c r="AD15" i="8"/>
  <c r="AB15" i="8" s="1"/>
  <c r="U15" i="8"/>
  <c r="H15" i="8" s="1"/>
  <c r="F15" i="8" s="1"/>
  <c r="AL4" i="8"/>
  <c r="AI4" i="8"/>
  <c r="AD4" i="8"/>
  <c r="AB4" i="8" s="1"/>
  <c r="U4" i="8"/>
  <c r="H4" i="8" s="1"/>
  <c r="F4" i="8" s="1"/>
  <c r="AL76" i="8"/>
  <c r="AI76" i="8"/>
  <c r="AD76" i="8"/>
  <c r="AB76" i="8" s="1"/>
  <c r="U76" i="8"/>
  <c r="H76" i="8" s="1"/>
  <c r="F76" i="8" s="1"/>
  <c r="AL65" i="8"/>
  <c r="AI65" i="8"/>
  <c r="AD65" i="8"/>
  <c r="AB65" i="8" s="1"/>
  <c r="U65" i="8"/>
  <c r="H65" i="8" s="1"/>
  <c r="F65" i="8" s="1"/>
  <c r="AL49" i="8"/>
  <c r="AI49" i="8"/>
  <c r="AD49" i="8"/>
  <c r="AB49" i="8" s="1"/>
  <c r="U49" i="8"/>
  <c r="H49" i="8" s="1"/>
  <c r="F49" i="8" s="1"/>
  <c r="AL73" i="8"/>
  <c r="AI73" i="8"/>
  <c r="AD73" i="8"/>
  <c r="AB73" i="8" s="1"/>
  <c r="U73" i="8"/>
  <c r="H73" i="8" s="1"/>
  <c r="F73" i="8" s="1"/>
  <c r="AL14" i="8"/>
  <c r="AI14" i="8"/>
  <c r="U52" i="9" s="1"/>
  <c r="AD14" i="8"/>
  <c r="U14" i="8"/>
  <c r="H14" i="8" s="1"/>
  <c r="F14" i="8" s="1"/>
  <c r="AL83" i="8"/>
  <c r="AI83" i="8"/>
  <c r="AD83" i="8"/>
  <c r="AB83" i="8" s="1"/>
  <c r="U83" i="8"/>
  <c r="H83" i="8" s="1"/>
  <c r="F83" i="8" s="1"/>
  <c r="AL66" i="8"/>
  <c r="AI66" i="8"/>
  <c r="AD66" i="8"/>
  <c r="AB66" i="8" s="1"/>
  <c r="U66" i="8"/>
  <c r="H66" i="8" s="1"/>
  <c r="F66" i="8" s="1"/>
  <c r="AL101" i="8"/>
  <c r="AI101" i="8"/>
  <c r="AD101" i="8"/>
  <c r="AB101" i="8" s="1"/>
  <c r="U101" i="8"/>
  <c r="H101" i="8" s="1"/>
  <c r="AL24" i="8"/>
  <c r="AI24" i="8"/>
  <c r="C52" i="9" s="1"/>
  <c r="AD24" i="8"/>
  <c r="AB24" i="8" s="1"/>
  <c r="E50" i="9" s="1"/>
  <c r="U24" i="8"/>
  <c r="H24" i="8" s="1"/>
  <c r="E45" i="9" s="1"/>
  <c r="G12" i="10" s="1"/>
  <c r="AL48" i="8"/>
  <c r="AI48" i="8"/>
  <c r="AD48" i="8"/>
  <c r="AB48" i="8" s="1"/>
  <c r="U48" i="8"/>
  <c r="H48" i="8" s="1"/>
  <c r="F48" i="8" s="1"/>
  <c r="AL52" i="8"/>
  <c r="AI52" i="8"/>
  <c r="AD52" i="8"/>
  <c r="AB52" i="8" s="1"/>
  <c r="U52" i="8"/>
  <c r="H52" i="8" s="1"/>
  <c r="F52" i="8" s="1"/>
  <c r="AL17" i="8"/>
  <c r="AI17" i="8"/>
  <c r="AD17" i="8"/>
  <c r="AB17" i="8" s="1"/>
  <c r="U17" i="8"/>
  <c r="H17" i="8" s="1"/>
  <c r="F17" i="8" s="1"/>
  <c r="AL108" i="8"/>
  <c r="AI108" i="8"/>
  <c r="AD108" i="8"/>
  <c r="AB108" i="8" s="1"/>
  <c r="U108" i="8"/>
  <c r="H108" i="8" s="1"/>
  <c r="F108" i="8" s="1"/>
  <c r="AL50" i="8"/>
  <c r="AI50" i="8"/>
  <c r="AD50" i="8"/>
  <c r="AB50" i="8" s="1"/>
  <c r="U50" i="8"/>
  <c r="H50" i="8" s="1"/>
  <c r="F50" i="8" s="1"/>
  <c r="AL105" i="8"/>
  <c r="AI105" i="8"/>
  <c r="AD105" i="8"/>
  <c r="AB105" i="8" s="1"/>
  <c r="U105" i="8"/>
  <c r="H105" i="8" s="1"/>
  <c r="F105" i="8" s="1"/>
  <c r="AL85" i="8"/>
  <c r="AI85" i="8"/>
  <c r="AD85" i="8"/>
  <c r="AB85" i="8" s="1"/>
  <c r="U85" i="8"/>
  <c r="H85" i="8" s="1"/>
  <c r="F85" i="8" s="1"/>
  <c r="AL10" i="8"/>
  <c r="AI10" i="8"/>
  <c r="AD10" i="8"/>
  <c r="AB10" i="8" s="1"/>
  <c r="U10" i="8"/>
  <c r="H10" i="8" s="1"/>
  <c r="F10" i="8" s="1"/>
  <c r="AL57" i="8"/>
  <c r="AI57" i="8"/>
  <c r="W37" i="9" s="1"/>
  <c r="N36" i="10" s="1"/>
  <c r="AD57" i="8"/>
  <c r="U57" i="8"/>
  <c r="H57" i="8" s="1"/>
  <c r="U30" i="9" s="1"/>
  <c r="AL28" i="8"/>
  <c r="AI28" i="8"/>
  <c r="C21" i="9" s="1"/>
  <c r="AD28" i="8"/>
  <c r="AB28" i="8" s="1"/>
  <c r="E19" i="9" s="1"/>
  <c r="U28" i="8"/>
  <c r="H28" i="8" s="1"/>
  <c r="AL18" i="8"/>
  <c r="AI18" i="8"/>
  <c r="AD18" i="8"/>
  <c r="U18" i="8"/>
  <c r="H18" i="8" s="1"/>
  <c r="AL90" i="8"/>
  <c r="AI90" i="8"/>
  <c r="AD90" i="8"/>
  <c r="AB90" i="8" s="1"/>
  <c r="U90" i="8"/>
  <c r="H90" i="8" s="1"/>
  <c r="F90" i="8" s="1"/>
  <c r="AL30" i="8"/>
  <c r="W22" i="9" s="1"/>
  <c r="O33" i="10" s="1"/>
  <c r="AI30" i="8"/>
  <c r="W21" i="9" s="1"/>
  <c r="N33" i="10" s="1"/>
  <c r="AD30" i="8"/>
  <c r="U30" i="8"/>
  <c r="H30" i="8" s="1"/>
  <c r="F30" i="8" s="1"/>
  <c r="AL11" i="8"/>
  <c r="AI11" i="8"/>
  <c r="Q37" i="9" s="1"/>
  <c r="N27" i="10" s="1"/>
  <c r="AD11" i="8"/>
  <c r="O34" i="9" s="1"/>
  <c r="U11" i="8"/>
  <c r="H11" i="8" s="1"/>
  <c r="F11" i="8" s="1"/>
  <c r="AL94" i="8"/>
  <c r="AI94" i="8"/>
  <c r="AD94" i="8"/>
  <c r="AB94" i="8" s="1"/>
  <c r="U94" i="8"/>
  <c r="H94" i="8" s="1"/>
  <c r="F94" i="8" s="1"/>
  <c r="AL13" i="8"/>
  <c r="AI13" i="8"/>
  <c r="K37" i="9" s="1"/>
  <c r="N18" i="10" s="1"/>
  <c r="AD13" i="8"/>
  <c r="U13" i="8"/>
  <c r="H13" i="8" s="1"/>
  <c r="F13" i="8" s="1"/>
  <c r="Z94" i="16" l="1"/>
  <c r="Q86" i="16"/>
  <c r="Z112" i="16"/>
  <c r="Z113" i="16" s="1"/>
  <c r="Q94" i="16"/>
  <c r="Q95" i="16" s="1"/>
  <c r="H76" i="16"/>
  <c r="Z86" i="16"/>
  <c r="Z95" i="16" s="1"/>
  <c r="H68" i="16"/>
  <c r="I43" i="23"/>
  <c r="J28" i="20"/>
  <c r="B13" i="28" s="1"/>
  <c r="D37" i="20"/>
  <c r="J35" i="20"/>
  <c r="J36" i="20"/>
  <c r="B37" i="20"/>
  <c r="J33" i="20"/>
  <c r="E28" i="20"/>
  <c r="F28" i="20"/>
  <c r="G28" i="20"/>
  <c r="J34" i="20"/>
  <c r="H28" i="20"/>
  <c r="U31" i="9"/>
  <c r="V29" i="9" s="1"/>
  <c r="D36" i="10" s="1"/>
  <c r="K15" i="9"/>
  <c r="AH46" i="8"/>
  <c r="AH97" i="8"/>
  <c r="AH106" i="8"/>
  <c r="AH42" i="8"/>
  <c r="AH72" i="8"/>
  <c r="O38" i="9"/>
  <c r="AH29" i="8"/>
  <c r="AH26" i="8"/>
  <c r="AH37" i="8"/>
  <c r="K21" i="9"/>
  <c r="N15" i="10" s="1"/>
  <c r="K22" i="9"/>
  <c r="O15" i="10" s="1"/>
  <c r="I21" i="9"/>
  <c r="K18" i="9"/>
  <c r="K15" i="10" s="1"/>
  <c r="J21" i="10"/>
  <c r="F21" i="10"/>
  <c r="I18" i="9"/>
  <c r="K14" i="9"/>
  <c r="G15" i="10" s="1"/>
  <c r="I14" i="9"/>
  <c r="I38" i="9"/>
  <c r="E38" i="9"/>
  <c r="O9" i="10" s="1"/>
  <c r="U53" i="9"/>
  <c r="U54" i="9" s="1"/>
  <c r="V52" i="9" s="1"/>
  <c r="L39" i="10" s="1"/>
  <c r="C30" i="9"/>
  <c r="C31" i="9" s="1"/>
  <c r="D29" i="9" s="1"/>
  <c r="D9" i="10" s="1"/>
  <c r="C14" i="9"/>
  <c r="C15" i="9" s="1"/>
  <c r="D13" i="9" s="1"/>
  <c r="D6" i="10" s="1"/>
  <c r="O8" i="9"/>
  <c r="F57" i="8"/>
  <c r="W31" i="9" s="1"/>
  <c r="W53" i="9"/>
  <c r="O39" i="10" s="1"/>
  <c r="U22" i="9"/>
  <c r="I54" i="9"/>
  <c r="J52" i="9" s="1"/>
  <c r="L21" i="10" s="1"/>
  <c r="U21" i="9"/>
  <c r="F28" i="8"/>
  <c r="E15" i="9" s="1"/>
  <c r="F34" i="8"/>
  <c r="Q15" i="9" s="1"/>
  <c r="K30" i="9"/>
  <c r="G18" i="10" s="1"/>
  <c r="Q45" i="9"/>
  <c r="G30" i="10" s="1"/>
  <c r="Q30" i="9"/>
  <c r="G27" i="10" s="1"/>
  <c r="Q14" i="9"/>
  <c r="G24" i="10" s="1"/>
  <c r="C38" i="9"/>
  <c r="O15" i="9"/>
  <c r="P13" i="9" s="1"/>
  <c r="D24" i="10" s="1"/>
  <c r="W30" i="9"/>
  <c r="G36" i="10" s="1"/>
  <c r="K38" i="9"/>
  <c r="O18" i="10" s="1"/>
  <c r="K53" i="9"/>
  <c r="O21" i="10" s="1"/>
  <c r="F18" i="8"/>
  <c r="E31" i="9" s="1"/>
  <c r="F12" i="8"/>
  <c r="K31" i="9" s="1"/>
  <c r="F107" i="8"/>
  <c r="Q46" i="9" s="1"/>
  <c r="W15" i="9"/>
  <c r="F24" i="8"/>
  <c r="E46" i="9" s="1"/>
  <c r="O35" i="9"/>
  <c r="P34" i="9" s="1"/>
  <c r="I27" i="10" s="1"/>
  <c r="F101" i="8"/>
  <c r="Q31" i="9" s="1"/>
  <c r="U8" i="9"/>
  <c r="O23" i="9"/>
  <c r="P22" i="9" s="1"/>
  <c r="M24" i="10" s="1"/>
  <c r="I8" i="9"/>
  <c r="C45" i="9"/>
  <c r="C46" i="9" s="1"/>
  <c r="D44" i="9" s="1"/>
  <c r="D12" i="10" s="1"/>
  <c r="AB30" i="8"/>
  <c r="W19" i="9" s="1"/>
  <c r="U18" i="9"/>
  <c r="U19" i="9" s="1"/>
  <c r="V17" i="9" s="1"/>
  <c r="H33" i="10" s="1"/>
  <c r="W18" i="9"/>
  <c r="K33" i="10" s="1"/>
  <c r="AB18" i="8"/>
  <c r="E35" i="9" s="1"/>
  <c r="E34" i="9"/>
  <c r="K9" i="10" s="1"/>
  <c r="AB57" i="8"/>
  <c r="W35" i="9" s="1"/>
  <c r="U34" i="9"/>
  <c r="U35" i="9" s="1"/>
  <c r="V33" i="9" s="1"/>
  <c r="H36" i="10" s="1"/>
  <c r="AB14" i="8"/>
  <c r="W50" i="9" s="1"/>
  <c r="U49" i="9"/>
  <c r="U50" i="9" s="1"/>
  <c r="V49" i="9" s="1"/>
  <c r="I39" i="10" s="1"/>
  <c r="AB107" i="8"/>
  <c r="Q50" i="9" s="1"/>
  <c r="O49" i="9"/>
  <c r="AB58" i="8"/>
  <c r="K50" i="9" s="1"/>
  <c r="I49" i="9"/>
  <c r="I50" i="9" s="1"/>
  <c r="AB34" i="8"/>
  <c r="Q19" i="9" s="1"/>
  <c r="O18" i="9"/>
  <c r="O19" i="9" s="1"/>
  <c r="E18" i="9"/>
  <c r="K6" i="10" s="1"/>
  <c r="E22" i="9"/>
  <c r="O6" i="10" s="1"/>
  <c r="C22" i="9"/>
  <c r="C23" i="9" s="1"/>
  <c r="D21" i="9" s="1"/>
  <c r="L6" i="10" s="1"/>
  <c r="AH57" i="8"/>
  <c r="U38" i="9"/>
  <c r="AH10" i="8"/>
  <c r="AH105" i="8"/>
  <c r="C53" i="9"/>
  <c r="C54" i="9" s="1"/>
  <c r="D53" i="9" s="1"/>
  <c r="M12" i="10" s="1"/>
  <c r="E53" i="9"/>
  <c r="O12" i="10" s="1"/>
  <c r="Q53" i="9"/>
  <c r="O30" i="10" s="1"/>
  <c r="O53" i="9"/>
  <c r="W34" i="9"/>
  <c r="K36" i="10" s="1"/>
  <c r="Q22" i="9"/>
  <c r="O24" i="10" s="1"/>
  <c r="U37" i="9"/>
  <c r="Q49" i="9"/>
  <c r="K30" i="10" s="1"/>
  <c r="I37" i="9"/>
  <c r="W52" i="9"/>
  <c r="N39" i="10" s="1"/>
  <c r="C49" i="9"/>
  <c r="C50" i="9" s="1"/>
  <c r="D48" i="9" s="1"/>
  <c r="H12" i="10" s="1"/>
  <c r="W38" i="9"/>
  <c r="O36" i="10" s="1"/>
  <c r="E49" i="9"/>
  <c r="K12" i="10" s="1"/>
  <c r="AB13" i="8"/>
  <c r="K35" i="9" s="1"/>
  <c r="K34" i="9"/>
  <c r="K18" i="10" s="1"/>
  <c r="AB11" i="8"/>
  <c r="Q35" i="9" s="1"/>
  <c r="Q34" i="9"/>
  <c r="K27" i="10" s="1"/>
  <c r="C18" i="9"/>
  <c r="C34" i="9"/>
  <c r="W49" i="9"/>
  <c r="K39" i="10" s="1"/>
  <c r="E37" i="9"/>
  <c r="N9" i="10" s="1"/>
  <c r="C37" i="9"/>
  <c r="O52" i="9"/>
  <c r="Q52" i="9"/>
  <c r="N30" i="10" s="1"/>
  <c r="O37" i="9"/>
  <c r="C8" i="9"/>
  <c r="I34" i="9"/>
  <c r="W46" i="9"/>
  <c r="O46" i="9"/>
  <c r="P45" i="9" s="1"/>
  <c r="E30" i="10" s="1"/>
  <c r="K49" i="9"/>
  <c r="K21" i="10" s="1"/>
  <c r="K45" i="9"/>
  <c r="G21" i="10" s="1"/>
  <c r="Q38" i="9"/>
  <c r="O27" i="10" s="1"/>
  <c r="Q18" i="9"/>
  <c r="K24" i="10" s="1"/>
  <c r="E52" i="9"/>
  <c r="N12" i="10" s="1"/>
  <c r="E21" i="9"/>
  <c r="N6" i="10" s="1"/>
  <c r="AH84" i="8"/>
  <c r="AH80" i="8"/>
  <c r="AH82" i="8"/>
  <c r="AH5" i="8"/>
  <c r="AH109" i="8"/>
  <c r="AH74" i="8"/>
  <c r="AH27" i="8"/>
  <c r="AH41" i="8"/>
  <c r="AH61" i="8"/>
  <c r="AH100" i="8"/>
  <c r="AH60" i="8"/>
  <c r="AH47" i="8"/>
  <c r="AH51" i="8"/>
  <c r="AH89" i="8"/>
  <c r="AH93" i="8"/>
  <c r="K52" i="9"/>
  <c r="N21" i="10" s="1"/>
  <c r="Q21" i="9"/>
  <c r="N24" i="10" s="1"/>
  <c r="W14" i="9"/>
  <c r="G33" i="10" s="1"/>
  <c r="E14" i="9"/>
  <c r="G6" i="10" s="1"/>
  <c r="I30" i="9"/>
  <c r="I31" i="9" s="1"/>
  <c r="AH98" i="8"/>
  <c r="AH31" i="8"/>
  <c r="AH71" i="8"/>
  <c r="AH95" i="8"/>
  <c r="I45" i="9"/>
  <c r="E30" i="9"/>
  <c r="G9" i="10" s="1"/>
  <c r="U14" i="9"/>
  <c r="U15" i="9" s="1"/>
  <c r="V13" i="9" s="1"/>
  <c r="D33" i="10" s="1"/>
  <c r="U45" i="9"/>
  <c r="U46" i="9" s="1"/>
  <c r="V45" i="9" s="1"/>
  <c r="E39" i="10" s="1"/>
  <c r="W45" i="9"/>
  <c r="G39" i="10" s="1"/>
  <c r="O30" i="9"/>
  <c r="J53" i="9"/>
  <c r="V30" i="9"/>
  <c r="AH94" i="8"/>
  <c r="AH48" i="8"/>
  <c r="AH14" i="8"/>
  <c r="AH54" i="8"/>
  <c r="AH43" i="8"/>
  <c r="AH21" i="8"/>
  <c r="AH96" i="8"/>
  <c r="AH7" i="8"/>
  <c r="AH30" i="8"/>
  <c r="AH18" i="8"/>
  <c r="AH50" i="8"/>
  <c r="AH17" i="8"/>
  <c r="AH66" i="8"/>
  <c r="AH23" i="8"/>
  <c r="AH49" i="8"/>
  <c r="AH76" i="8"/>
  <c r="AH56" i="8"/>
  <c r="AH38" i="8"/>
  <c r="AH101" i="8"/>
  <c r="AH19" i="8"/>
  <c r="AH25" i="8"/>
  <c r="AH3" i="8"/>
  <c r="AH44" i="8"/>
  <c r="AH11" i="8"/>
  <c r="AH90" i="8"/>
  <c r="AH85" i="8"/>
  <c r="AH73" i="8"/>
  <c r="AH4" i="8"/>
  <c r="AH22" i="8"/>
  <c r="AH75" i="8"/>
  <c r="AH39" i="8"/>
  <c r="AH63" i="8"/>
  <c r="AH33" i="8"/>
  <c r="AH28" i="8"/>
  <c r="AH52" i="8"/>
  <c r="AH83" i="8"/>
  <c r="AH15" i="8"/>
  <c r="AH91" i="8"/>
  <c r="AH13" i="8"/>
  <c r="AH65" i="8"/>
  <c r="AH70" i="8"/>
  <c r="AH107" i="8"/>
  <c r="AH40" i="8"/>
  <c r="AH2" i="8"/>
  <c r="AH88" i="8"/>
  <c r="AH69" i="8"/>
  <c r="AH59" i="8"/>
  <c r="AH108" i="8"/>
  <c r="AH24" i="8"/>
  <c r="AH78" i="8"/>
  <c r="AH99" i="8"/>
  <c r="AH20" i="8"/>
  <c r="AH62" i="8"/>
  <c r="AH104" i="8"/>
  <c r="AH87" i="8"/>
  <c r="AH8" i="8"/>
  <c r="AH103" i="8"/>
  <c r="AH6" i="8"/>
  <c r="AH36" i="8"/>
  <c r="AH32" i="8"/>
  <c r="AH55" i="8"/>
  <c r="AH64" i="8"/>
  <c r="AH68" i="8"/>
  <c r="AH81" i="8"/>
  <c r="AH67" i="8"/>
  <c r="AH9" i="8"/>
  <c r="AH58" i="8"/>
  <c r="AH45" i="8"/>
  <c r="AH35" i="8"/>
  <c r="AH34" i="8"/>
  <c r="Q23" i="9" s="1"/>
  <c r="AH86" i="8"/>
  <c r="AH16" i="8"/>
  <c r="AH77" i="8"/>
  <c r="AH79" i="8"/>
  <c r="AH12" i="8"/>
  <c r="AH53" i="8"/>
  <c r="AH92" i="8"/>
  <c r="AH102" i="8"/>
  <c r="AC28" i="5"/>
  <c r="AC45" i="5"/>
  <c r="AC12" i="5"/>
  <c r="AC24" i="5"/>
  <c r="AC50" i="5"/>
  <c r="AC23" i="5"/>
  <c r="AC52" i="5"/>
  <c r="AC83" i="5"/>
  <c r="AC2" i="5"/>
  <c r="AC3" i="5"/>
  <c r="AC4" i="5"/>
  <c r="AC5" i="5"/>
  <c r="AC43" i="5"/>
  <c r="AC7" i="5"/>
  <c r="AC22" i="5"/>
  <c r="AC80" i="5"/>
  <c r="AC79" i="5"/>
  <c r="AC17" i="5"/>
  <c r="AC51" i="5"/>
  <c r="AC49" i="5"/>
  <c r="AC6" i="5"/>
  <c r="AC18" i="5"/>
  <c r="AC81" i="5"/>
  <c r="AC68" i="5"/>
  <c r="AC44" i="5"/>
  <c r="AC82" i="5"/>
  <c r="AC69" i="5"/>
  <c r="AC26" i="5"/>
  <c r="AC8" i="5"/>
  <c r="AC33" i="5"/>
  <c r="AC70" i="5"/>
  <c r="AC48" i="5"/>
  <c r="AC32" i="5"/>
  <c r="AC47" i="5"/>
  <c r="AC9" i="5"/>
  <c r="AC10" i="5"/>
  <c r="AC11" i="5"/>
  <c r="AC77" i="5"/>
  <c r="AC25" i="5"/>
  <c r="AC13" i="5"/>
  <c r="AC76" i="5"/>
  <c r="AC71" i="5"/>
  <c r="AC72" i="5"/>
  <c r="AC41" i="5"/>
  <c r="AC29" i="5"/>
  <c r="AC14" i="5"/>
  <c r="AC15" i="5"/>
  <c r="AC19" i="5"/>
  <c r="AC78" i="5"/>
  <c r="AC31" i="5"/>
  <c r="AC16" i="5"/>
  <c r="AC20" i="5"/>
  <c r="AC46" i="5"/>
  <c r="AC21" i="5"/>
  <c r="AC73" i="5"/>
  <c r="AC30" i="5"/>
  <c r="AC74" i="5"/>
  <c r="AC75" i="5"/>
  <c r="AC42" i="5"/>
  <c r="AC27" i="5"/>
  <c r="AC57" i="5"/>
  <c r="AC84" i="5"/>
  <c r="AC85" i="5"/>
  <c r="AC53" i="5"/>
  <c r="AC54" i="5"/>
  <c r="AC55" i="5"/>
  <c r="AC56" i="5"/>
  <c r="AC39" i="5"/>
  <c r="AC92" i="5"/>
  <c r="AC61" i="5"/>
  <c r="AC86" i="5"/>
  <c r="AC87" i="5"/>
  <c r="AC88" i="5"/>
  <c r="AC58" i="5"/>
  <c r="AC59" i="5"/>
  <c r="AC37" i="5"/>
  <c r="AC89" i="5"/>
  <c r="AC34" i="5"/>
  <c r="AC62" i="5"/>
  <c r="AC38" i="5"/>
  <c r="AC36" i="5"/>
  <c r="AC60" i="5"/>
  <c r="AC35" i="5"/>
  <c r="AC90" i="5"/>
  <c r="AC91" i="5"/>
  <c r="AC63" i="5"/>
  <c r="AC66" i="5"/>
  <c r="AC93" i="5"/>
  <c r="AC40" i="5"/>
  <c r="AC67" i="5"/>
  <c r="AC64" i="5"/>
  <c r="AC65" i="5"/>
  <c r="AC103" i="5"/>
  <c r="AC95" i="5"/>
  <c r="AC127" i="5"/>
  <c r="AC102" i="5"/>
  <c r="AC94" i="5"/>
  <c r="AC104" i="5"/>
  <c r="AC128" i="5"/>
  <c r="AC105" i="5"/>
  <c r="AC106" i="5"/>
  <c r="AC109" i="5"/>
  <c r="AC131" i="5"/>
  <c r="AC133" i="5"/>
  <c r="AC129" i="5"/>
  <c r="AC107" i="5"/>
  <c r="AC108" i="5"/>
  <c r="AC96" i="5"/>
  <c r="AC130" i="5"/>
  <c r="AC97" i="5"/>
  <c r="AC132" i="5"/>
  <c r="AC98" i="5"/>
  <c r="AC115" i="5"/>
  <c r="AC114" i="5"/>
  <c r="AC134" i="5"/>
  <c r="AC111" i="5"/>
  <c r="AC110" i="5"/>
  <c r="AC112" i="5"/>
  <c r="AC135" i="5"/>
  <c r="AC113" i="5"/>
  <c r="AC139" i="5"/>
  <c r="AC120" i="5"/>
  <c r="AC101" i="5"/>
  <c r="AC126" i="5"/>
  <c r="AC138" i="5"/>
  <c r="AC99" i="5"/>
  <c r="AC116" i="5"/>
  <c r="AC117" i="5"/>
  <c r="AC124" i="5"/>
  <c r="AC118" i="5"/>
  <c r="AC142" i="5"/>
  <c r="AC136" i="5"/>
  <c r="AC137" i="5"/>
  <c r="AC125" i="5"/>
  <c r="AC100" i="5"/>
  <c r="AC119" i="5"/>
  <c r="AC121" i="5"/>
  <c r="AC140" i="5"/>
  <c r="AC141" i="5"/>
  <c r="AC123" i="5"/>
  <c r="AC122" i="5"/>
  <c r="AC146" i="5"/>
  <c r="AC145" i="5"/>
  <c r="AC144" i="5"/>
  <c r="AC155" i="5"/>
  <c r="AC156" i="5"/>
  <c r="AC143" i="5"/>
  <c r="AC154" i="5"/>
  <c r="AC151" i="5"/>
  <c r="AC152" i="5"/>
  <c r="AC164" i="5"/>
  <c r="AC153" i="5"/>
  <c r="AC158" i="5"/>
  <c r="AC147" i="5"/>
  <c r="AC170" i="5"/>
  <c r="AC157" i="5"/>
  <c r="AC165" i="5"/>
  <c r="AC166" i="5"/>
  <c r="AC148" i="5"/>
  <c r="AC159" i="5"/>
  <c r="AC167" i="5"/>
  <c r="AC168" i="5"/>
  <c r="AC169" i="5"/>
  <c r="AC163" i="5"/>
  <c r="AC149" i="5"/>
  <c r="AC160" i="5"/>
  <c r="AC150" i="5"/>
  <c r="AC172" i="5"/>
  <c r="AC161" i="5"/>
  <c r="AC162" i="5"/>
  <c r="AC171" i="5"/>
  <c r="AC175" i="5"/>
  <c r="AC220" i="5"/>
  <c r="AC183" i="5"/>
  <c r="AC216" i="5"/>
  <c r="AC217" i="5"/>
  <c r="AC194" i="5"/>
  <c r="AC180" i="5"/>
  <c r="AC213" i="5"/>
  <c r="AC214" i="5"/>
  <c r="AC193" i="5"/>
  <c r="AC215" i="5"/>
  <c r="AC200" i="5"/>
  <c r="AC222" i="5"/>
  <c r="AC199" i="5"/>
  <c r="AC182" i="5"/>
  <c r="AC218" i="5"/>
  <c r="AC198" i="5"/>
  <c r="AC174" i="5"/>
  <c r="AC219" i="5"/>
  <c r="AC181" i="5"/>
  <c r="AC195" i="5"/>
  <c r="AC176" i="5"/>
  <c r="AC177" i="5"/>
  <c r="AC196" i="5"/>
  <c r="AC223" i="5"/>
  <c r="AC179" i="5"/>
  <c r="AC197" i="5"/>
  <c r="AC178" i="5"/>
  <c r="AC221" i="5"/>
  <c r="AC204" i="5"/>
  <c r="AC230" i="5"/>
  <c r="AC207" i="5"/>
  <c r="AC201" i="5"/>
  <c r="AC224" i="5"/>
  <c r="AC202" i="5"/>
  <c r="AC206" i="5"/>
  <c r="AC225" i="5"/>
  <c r="AC203" i="5"/>
  <c r="AC226" i="5"/>
  <c r="AC173" i="5"/>
  <c r="AC189" i="5"/>
  <c r="AC184" i="5"/>
  <c r="AC185" i="5"/>
  <c r="AC186" i="5"/>
  <c r="AC190" i="5"/>
  <c r="AC187" i="5"/>
  <c r="AC231" i="5"/>
  <c r="AC188" i="5"/>
  <c r="AC232" i="5"/>
  <c r="AC205" i="5"/>
  <c r="AC228" i="5"/>
  <c r="AC191" i="5"/>
  <c r="AC227" i="5"/>
  <c r="AC229" i="5"/>
  <c r="AC208" i="5"/>
  <c r="AC233" i="5"/>
  <c r="AC234" i="5"/>
  <c r="AC235" i="5"/>
  <c r="AC209" i="5"/>
  <c r="AC210" i="5"/>
  <c r="AC211" i="5"/>
  <c r="AC192" i="5"/>
  <c r="AC212" i="5"/>
  <c r="AK28" i="5"/>
  <c r="AK57" i="5"/>
  <c r="AK45" i="5"/>
  <c r="AK12" i="5"/>
  <c r="AK24" i="5"/>
  <c r="AK50" i="5"/>
  <c r="AK84" i="5"/>
  <c r="AK23" i="5"/>
  <c r="AK52" i="5"/>
  <c r="AK85" i="5"/>
  <c r="AK83" i="5"/>
  <c r="AK63" i="5"/>
  <c r="AK2" i="5"/>
  <c r="AK3" i="5"/>
  <c r="AK4" i="5"/>
  <c r="AK5" i="5"/>
  <c r="AK43" i="5"/>
  <c r="AK7" i="5"/>
  <c r="AK22" i="5"/>
  <c r="AK53" i="5"/>
  <c r="AK54" i="5"/>
  <c r="AK80" i="5"/>
  <c r="AK79" i="5"/>
  <c r="AK55" i="5"/>
  <c r="AK56" i="5"/>
  <c r="AK17" i="5"/>
  <c r="AK39" i="5"/>
  <c r="AK66" i="5"/>
  <c r="AK93" i="5"/>
  <c r="AK51" i="5"/>
  <c r="AK40" i="5"/>
  <c r="AK49" i="5"/>
  <c r="AK6" i="5"/>
  <c r="AK18" i="5"/>
  <c r="AK92" i="5"/>
  <c r="AK81" i="5"/>
  <c r="AK68" i="5"/>
  <c r="AK44" i="5"/>
  <c r="AK82" i="5"/>
  <c r="AK69" i="5"/>
  <c r="AK26" i="5"/>
  <c r="AK8" i="5"/>
  <c r="AK61" i="5"/>
  <c r="AK33" i="5"/>
  <c r="AK70" i="5"/>
  <c r="AK48" i="5"/>
  <c r="AK86" i="5"/>
  <c r="AK87" i="5"/>
  <c r="AK32" i="5"/>
  <c r="AK47" i="5"/>
  <c r="AK9" i="5"/>
  <c r="AK10" i="5"/>
  <c r="AK88" i="5"/>
  <c r="AK11" i="5"/>
  <c r="AK58" i="5"/>
  <c r="AK77" i="5"/>
  <c r="AK59" i="5"/>
  <c r="AK25" i="5"/>
  <c r="AK13" i="5"/>
  <c r="AK76" i="5"/>
  <c r="AK71" i="5"/>
  <c r="AK67" i="5"/>
  <c r="AK72" i="5"/>
  <c r="AK37" i="5"/>
  <c r="AK41" i="5"/>
  <c r="AK29" i="5"/>
  <c r="AK64" i="5"/>
  <c r="AK14" i="5"/>
  <c r="AK15" i="5"/>
  <c r="AK89" i="5"/>
  <c r="AK19" i="5"/>
  <c r="AK65" i="5"/>
  <c r="AK34" i="5"/>
  <c r="AK78" i="5"/>
  <c r="AK31" i="5"/>
  <c r="AK16" i="5"/>
  <c r="AK20" i="5"/>
  <c r="AK46" i="5"/>
  <c r="AK21" i="5"/>
  <c r="AK62" i="5"/>
  <c r="AK38" i="5"/>
  <c r="AK73" i="5"/>
  <c r="AK30" i="5"/>
  <c r="AK74" i="5"/>
  <c r="AK75" i="5"/>
  <c r="AK36" i="5"/>
  <c r="AK60" i="5"/>
  <c r="AK35" i="5"/>
  <c r="AK90" i="5"/>
  <c r="AK42" i="5"/>
  <c r="AK27" i="5"/>
  <c r="AK91" i="5"/>
  <c r="AK103" i="5"/>
  <c r="AK106" i="5"/>
  <c r="AK139" i="5"/>
  <c r="AK109" i="5"/>
  <c r="AK95" i="5"/>
  <c r="AK131" i="5"/>
  <c r="AK133" i="5"/>
  <c r="AK120" i="5"/>
  <c r="AK127" i="5"/>
  <c r="AK101" i="5"/>
  <c r="AK126" i="5"/>
  <c r="AK129" i="5"/>
  <c r="AK138" i="5"/>
  <c r="AK99" i="5"/>
  <c r="AK107" i="5"/>
  <c r="AK116" i="5"/>
  <c r="AK108" i="5"/>
  <c r="AK117" i="5"/>
  <c r="AK124" i="5"/>
  <c r="AK102" i="5"/>
  <c r="AK118" i="5"/>
  <c r="AK142" i="5"/>
  <c r="AK96" i="5"/>
  <c r="AK136" i="5"/>
  <c r="AK130" i="5"/>
  <c r="AK137" i="5"/>
  <c r="AK97" i="5"/>
  <c r="AK132" i="5"/>
  <c r="AK125" i="5"/>
  <c r="AK98" i="5"/>
  <c r="AK94" i="5"/>
  <c r="AK104" i="5"/>
  <c r="AK100" i="5"/>
  <c r="AK115" i="5"/>
  <c r="AK119" i="5"/>
  <c r="AK114" i="5"/>
  <c r="AK134" i="5"/>
  <c r="AK128" i="5"/>
  <c r="AK121" i="5"/>
  <c r="AK111" i="5"/>
  <c r="AK140" i="5"/>
  <c r="AK141" i="5"/>
  <c r="AK110" i="5"/>
  <c r="AK123" i="5"/>
  <c r="AK122" i="5"/>
  <c r="AK112" i="5"/>
  <c r="AK135" i="5"/>
  <c r="AK113" i="5"/>
  <c r="AK105" i="5"/>
  <c r="AK146" i="5"/>
  <c r="AK158" i="5"/>
  <c r="AK145" i="5"/>
  <c r="AK144" i="5"/>
  <c r="AK155" i="5"/>
  <c r="AK156" i="5"/>
  <c r="AK143" i="5"/>
  <c r="AK154" i="5"/>
  <c r="AK147" i="5"/>
  <c r="AK163" i="5"/>
  <c r="AK149" i="5"/>
  <c r="AK170" i="5"/>
  <c r="AK157" i="5"/>
  <c r="AK160" i="5"/>
  <c r="AK151" i="5"/>
  <c r="AK150" i="5"/>
  <c r="AK172" i="5"/>
  <c r="AK161" i="5"/>
  <c r="AK162" i="5"/>
  <c r="AK152" i="5"/>
  <c r="AK165" i="5"/>
  <c r="AK166" i="5"/>
  <c r="AK148" i="5"/>
  <c r="AK159" i="5"/>
  <c r="AK167" i="5"/>
  <c r="AK164" i="5"/>
  <c r="AK168" i="5"/>
  <c r="AK153" i="5"/>
  <c r="AK169" i="5"/>
  <c r="AK171" i="5"/>
  <c r="AK204" i="5"/>
  <c r="AK175" i="5"/>
  <c r="AK220" i="5"/>
  <c r="AK230" i="5"/>
  <c r="AK183" i="5"/>
  <c r="AK216" i="5"/>
  <c r="AK217" i="5"/>
  <c r="AK194" i="5"/>
  <c r="AK180" i="5"/>
  <c r="AK207" i="5"/>
  <c r="AK213" i="5"/>
  <c r="AK214" i="5"/>
  <c r="AK233" i="5"/>
  <c r="AK193" i="5"/>
  <c r="AK234" i="5"/>
  <c r="AK201" i="5"/>
  <c r="AK215" i="5"/>
  <c r="AK224" i="5"/>
  <c r="AK202" i="5"/>
  <c r="AK200" i="5"/>
  <c r="AK235" i="5"/>
  <c r="AK206" i="5"/>
  <c r="AK209" i="5"/>
  <c r="AK222" i="5"/>
  <c r="AK225" i="5"/>
  <c r="AK210" i="5"/>
  <c r="AK203" i="5"/>
  <c r="AK226" i="5"/>
  <c r="AK173" i="5"/>
  <c r="AK199" i="5"/>
  <c r="AK189" i="5"/>
  <c r="AK184" i="5"/>
  <c r="AK185" i="5"/>
  <c r="AK186" i="5"/>
  <c r="AK190" i="5"/>
  <c r="AK182" i="5"/>
  <c r="AK187" i="5"/>
  <c r="AK218" i="5"/>
  <c r="AK231" i="5"/>
  <c r="AK188" i="5"/>
  <c r="AK232" i="5"/>
  <c r="AK198" i="5"/>
  <c r="AK211" i="5"/>
  <c r="AK174" i="5"/>
  <c r="AK219" i="5"/>
  <c r="AK181" i="5"/>
  <c r="AK205" i="5"/>
  <c r="AK192" i="5"/>
  <c r="AK195" i="5"/>
  <c r="AK176" i="5"/>
  <c r="AK228" i="5"/>
  <c r="AK191" i="5"/>
  <c r="AK177" i="5"/>
  <c r="AK196" i="5"/>
  <c r="AK212" i="5"/>
  <c r="AK223" i="5"/>
  <c r="AK227" i="5"/>
  <c r="AK179" i="5"/>
  <c r="AK229" i="5"/>
  <c r="AK208" i="5"/>
  <c r="AK197" i="5"/>
  <c r="AK178" i="5"/>
  <c r="AK221" i="5"/>
  <c r="AH28" i="5"/>
  <c r="AH57" i="5"/>
  <c r="AH45" i="5"/>
  <c r="AH12" i="5"/>
  <c r="AH24" i="5"/>
  <c r="AH50" i="5"/>
  <c r="AH84" i="5"/>
  <c r="AG84" i="5" s="1"/>
  <c r="AH23" i="5"/>
  <c r="AH52" i="5"/>
  <c r="AH85" i="5"/>
  <c r="AH83" i="5"/>
  <c r="AH63" i="5"/>
  <c r="AH2" i="5"/>
  <c r="AH3" i="5"/>
  <c r="AH4" i="5"/>
  <c r="AG4" i="5" s="1"/>
  <c r="AH5" i="5"/>
  <c r="AH43" i="5"/>
  <c r="AH7" i="5"/>
  <c r="AH22" i="5"/>
  <c r="AH53" i="5"/>
  <c r="AH54" i="5"/>
  <c r="AH80" i="5"/>
  <c r="AH79" i="5"/>
  <c r="AG79" i="5" s="1"/>
  <c r="AH55" i="5"/>
  <c r="AH56" i="5"/>
  <c r="AH17" i="5"/>
  <c r="AH39" i="5"/>
  <c r="AH66" i="5"/>
  <c r="AH93" i="5"/>
  <c r="AH51" i="5"/>
  <c r="AH40" i="5"/>
  <c r="AG40" i="5" s="1"/>
  <c r="AH49" i="5"/>
  <c r="AH6" i="5"/>
  <c r="AH18" i="5"/>
  <c r="AH92" i="5"/>
  <c r="AH81" i="5"/>
  <c r="AH68" i="5"/>
  <c r="AH44" i="5"/>
  <c r="AH82" i="5"/>
  <c r="AG82" i="5" s="1"/>
  <c r="AH69" i="5"/>
  <c r="AH26" i="5"/>
  <c r="AH8" i="5"/>
  <c r="AH61" i="5"/>
  <c r="AH33" i="5"/>
  <c r="AH70" i="5"/>
  <c r="AH48" i="5"/>
  <c r="AH86" i="5"/>
  <c r="AG86" i="5" s="1"/>
  <c r="AH87" i="5"/>
  <c r="AH32" i="5"/>
  <c r="AH47" i="5"/>
  <c r="AH9" i="5"/>
  <c r="AH10" i="5"/>
  <c r="AH88" i="5"/>
  <c r="AH11" i="5"/>
  <c r="AH58" i="5"/>
  <c r="AG58" i="5" s="1"/>
  <c r="AH77" i="5"/>
  <c r="AH59" i="5"/>
  <c r="AH25" i="5"/>
  <c r="AH13" i="5"/>
  <c r="AH76" i="5"/>
  <c r="AH71" i="5"/>
  <c r="AH67" i="5"/>
  <c r="AH72" i="5"/>
  <c r="AG72" i="5" s="1"/>
  <c r="AH37" i="5"/>
  <c r="AH41" i="5"/>
  <c r="AH29" i="5"/>
  <c r="AH64" i="5"/>
  <c r="AH14" i="5"/>
  <c r="AH15" i="5"/>
  <c r="AH89" i="5"/>
  <c r="AH19" i="5"/>
  <c r="AG19" i="5" s="1"/>
  <c r="AH65" i="5"/>
  <c r="AH34" i="5"/>
  <c r="AH78" i="5"/>
  <c r="AH31" i="5"/>
  <c r="AH16" i="5"/>
  <c r="AH20" i="5"/>
  <c r="AH46" i="5"/>
  <c r="AH21" i="5"/>
  <c r="AG21" i="5" s="1"/>
  <c r="AH62" i="5"/>
  <c r="AH38" i="5"/>
  <c r="AH73" i="5"/>
  <c r="AH30" i="5"/>
  <c r="AH74" i="5"/>
  <c r="AH75" i="5"/>
  <c r="AH36" i="5"/>
  <c r="AH60" i="5"/>
  <c r="AG60" i="5" s="1"/>
  <c r="AH35" i="5"/>
  <c r="AH90" i="5"/>
  <c r="AH42" i="5"/>
  <c r="AH27" i="5"/>
  <c r="AH91" i="5"/>
  <c r="AH103" i="5"/>
  <c r="AH106" i="5"/>
  <c r="AH139" i="5"/>
  <c r="AG139" i="5" s="1"/>
  <c r="AH109" i="5"/>
  <c r="AH95" i="5"/>
  <c r="AH131" i="5"/>
  <c r="AH133" i="5"/>
  <c r="AH120" i="5"/>
  <c r="AH127" i="5"/>
  <c r="AH101" i="5"/>
  <c r="AH126" i="5"/>
  <c r="AG126" i="5" s="1"/>
  <c r="AH129" i="5"/>
  <c r="AH138" i="5"/>
  <c r="AH99" i="5"/>
  <c r="AH107" i="5"/>
  <c r="AH116" i="5"/>
  <c r="AH108" i="5"/>
  <c r="AH117" i="5"/>
  <c r="AH124" i="5"/>
  <c r="AG124" i="5" s="1"/>
  <c r="AH102" i="5"/>
  <c r="AH118" i="5"/>
  <c r="AH142" i="5"/>
  <c r="AH96" i="5"/>
  <c r="AH136" i="5"/>
  <c r="AH130" i="5"/>
  <c r="AH137" i="5"/>
  <c r="AH97" i="5"/>
  <c r="AG97" i="5" s="1"/>
  <c r="AH132" i="5"/>
  <c r="AH125" i="5"/>
  <c r="AH98" i="5"/>
  <c r="AH94" i="5"/>
  <c r="AH104" i="5"/>
  <c r="AH100" i="5"/>
  <c r="AH115" i="5"/>
  <c r="AH119" i="5"/>
  <c r="AG119" i="5" s="1"/>
  <c r="AH114" i="5"/>
  <c r="AH134" i="5"/>
  <c r="AH128" i="5"/>
  <c r="AH121" i="5"/>
  <c r="AH111" i="5"/>
  <c r="AH140" i="5"/>
  <c r="AH141" i="5"/>
  <c r="AH110" i="5"/>
  <c r="AG110" i="5" s="1"/>
  <c r="AH123" i="5"/>
  <c r="AH122" i="5"/>
  <c r="AH112" i="5"/>
  <c r="AH135" i="5"/>
  <c r="AH113" i="5"/>
  <c r="AH105" i="5"/>
  <c r="AH146" i="5"/>
  <c r="AH158" i="5"/>
  <c r="AG158" i="5" s="1"/>
  <c r="AH145" i="5"/>
  <c r="AH144" i="5"/>
  <c r="AH155" i="5"/>
  <c r="AH156" i="5"/>
  <c r="AH143" i="5"/>
  <c r="AH154" i="5"/>
  <c r="AH147" i="5"/>
  <c r="AH163" i="5"/>
  <c r="AG163" i="5" s="1"/>
  <c r="AH149" i="5"/>
  <c r="AH170" i="5"/>
  <c r="AH157" i="5"/>
  <c r="AH160" i="5"/>
  <c r="AH151" i="5"/>
  <c r="AH150" i="5"/>
  <c r="AH172" i="5"/>
  <c r="AH161" i="5"/>
  <c r="AG161" i="5" s="1"/>
  <c r="AH162" i="5"/>
  <c r="AH152" i="5"/>
  <c r="AH165" i="5"/>
  <c r="AH166" i="5"/>
  <c r="AH148" i="5"/>
  <c r="AH159" i="5"/>
  <c r="AH167" i="5"/>
  <c r="AH164" i="5"/>
  <c r="AH168" i="5"/>
  <c r="AH153" i="5"/>
  <c r="AH169" i="5"/>
  <c r="AH171" i="5"/>
  <c r="AH204" i="5"/>
  <c r="AH175" i="5"/>
  <c r="AH220" i="5"/>
  <c r="AH230" i="5"/>
  <c r="AG230" i="5" s="1"/>
  <c r="AH183" i="5"/>
  <c r="AH216" i="5"/>
  <c r="AH217" i="5"/>
  <c r="AH194" i="5"/>
  <c r="AH180" i="5"/>
  <c r="AH207" i="5"/>
  <c r="AH213" i="5"/>
  <c r="AH214" i="5"/>
  <c r="AG214" i="5" s="1"/>
  <c r="AH233" i="5"/>
  <c r="AH193" i="5"/>
  <c r="AH234" i="5"/>
  <c r="AH201" i="5"/>
  <c r="AH215" i="5"/>
  <c r="AH224" i="5"/>
  <c r="AH202" i="5"/>
  <c r="AH200" i="5"/>
  <c r="AG200" i="5" s="1"/>
  <c r="AH235" i="5"/>
  <c r="AH206" i="5"/>
  <c r="AH209" i="5"/>
  <c r="AH222" i="5"/>
  <c r="AH225" i="5"/>
  <c r="AH210" i="5"/>
  <c r="AH203" i="5"/>
  <c r="AH226" i="5"/>
  <c r="AG226" i="5" s="1"/>
  <c r="AH173" i="5"/>
  <c r="AH199" i="5"/>
  <c r="AH189" i="5"/>
  <c r="AH184" i="5"/>
  <c r="AH185" i="5"/>
  <c r="AH186" i="5"/>
  <c r="AH190" i="5"/>
  <c r="AH182" i="5"/>
  <c r="AG182" i="5" s="1"/>
  <c r="AH187" i="5"/>
  <c r="AH218" i="5"/>
  <c r="AH231" i="5"/>
  <c r="AH188" i="5"/>
  <c r="AH232" i="5"/>
  <c r="AH198" i="5"/>
  <c r="AH211" i="5"/>
  <c r="AH174" i="5"/>
  <c r="AH219" i="5"/>
  <c r="AH181" i="5"/>
  <c r="AH205" i="5"/>
  <c r="AH192" i="5"/>
  <c r="AH195" i="5"/>
  <c r="AH176" i="5"/>
  <c r="AH228" i="5"/>
  <c r="AH191" i="5"/>
  <c r="AG191" i="5" s="1"/>
  <c r="AH177" i="5"/>
  <c r="AH196" i="5"/>
  <c r="AH212" i="5"/>
  <c r="AH223" i="5"/>
  <c r="AH227" i="5"/>
  <c r="AH179" i="5"/>
  <c r="AH229" i="5"/>
  <c r="AH208" i="5"/>
  <c r="AG208" i="5" s="1"/>
  <c r="AH197" i="5"/>
  <c r="AH178" i="5"/>
  <c r="AH221" i="5"/>
  <c r="AA28" i="5"/>
  <c r="AA57" i="5"/>
  <c r="AA45" i="5"/>
  <c r="AA12" i="5"/>
  <c r="AA24" i="5"/>
  <c r="AA50" i="5"/>
  <c r="AA84" i="5"/>
  <c r="AA23" i="5"/>
  <c r="AA52" i="5"/>
  <c r="AA85" i="5"/>
  <c r="AA83" i="5"/>
  <c r="AA63" i="5"/>
  <c r="AA2" i="5"/>
  <c r="AA3" i="5"/>
  <c r="AA4" i="5"/>
  <c r="AA5" i="5"/>
  <c r="AA43" i="5"/>
  <c r="AA7" i="5"/>
  <c r="AA22" i="5"/>
  <c r="AA53" i="5"/>
  <c r="AA54" i="5"/>
  <c r="AA80" i="5"/>
  <c r="AA79" i="5"/>
  <c r="AA55" i="5"/>
  <c r="AA56" i="5"/>
  <c r="AA17" i="5"/>
  <c r="AA39" i="5"/>
  <c r="AA66" i="5"/>
  <c r="AA93" i="5"/>
  <c r="AA51" i="5"/>
  <c r="AA40" i="5"/>
  <c r="AA49" i="5"/>
  <c r="AA6" i="5"/>
  <c r="AA18" i="5"/>
  <c r="AA92" i="5"/>
  <c r="AA81" i="5"/>
  <c r="AA68" i="5"/>
  <c r="AA44" i="5"/>
  <c r="AA82" i="5"/>
  <c r="AA69" i="5"/>
  <c r="AA26" i="5"/>
  <c r="AA8" i="5"/>
  <c r="AA61" i="5"/>
  <c r="AA33" i="5"/>
  <c r="AA70" i="5"/>
  <c r="AA48" i="5"/>
  <c r="AA86" i="5"/>
  <c r="AA87" i="5"/>
  <c r="AA32" i="5"/>
  <c r="AA47" i="5"/>
  <c r="AA9" i="5"/>
  <c r="AA10" i="5"/>
  <c r="AA88" i="5"/>
  <c r="AA11" i="5"/>
  <c r="AA58" i="5"/>
  <c r="AA77" i="5"/>
  <c r="AA59" i="5"/>
  <c r="AA25" i="5"/>
  <c r="AA13" i="5"/>
  <c r="AA76" i="5"/>
  <c r="AA71" i="5"/>
  <c r="AA67" i="5"/>
  <c r="AA72" i="5"/>
  <c r="AA37" i="5"/>
  <c r="AA41" i="5"/>
  <c r="AA29" i="5"/>
  <c r="AA64" i="5"/>
  <c r="AA14" i="5"/>
  <c r="AA15" i="5"/>
  <c r="AA89" i="5"/>
  <c r="AA19" i="5"/>
  <c r="AA65" i="5"/>
  <c r="AA34" i="5"/>
  <c r="AA78" i="5"/>
  <c r="AA31" i="5"/>
  <c r="AA16" i="5"/>
  <c r="AA20" i="5"/>
  <c r="AA46" i="5"/>
  <c r="AA21" i="5"/>
  <c r="AA62" i="5"/>
  <c r="AA38" i="5"/>
  <c r="AA73" i="5"/>
  <c r="AA30" i="5"/>
  <c r="AA74" i="5"/>
  <c r="AA75" i="5"/>
  <c r="AA36" i="5"/>
  <c r="AA60" i="5"/>
  <c r="AA35" i="5"/>
  <c r="AA90" i="5"/>
  <c r="AA42" i="5"/>
  <c r="AA27" i="5"/>
  <c r="AA91" i="5"/>
  <c r="AA103" i="5"/>
  <c r="AA106" i="5"/>
  <c r="AA139" i="5"/>
  <c r="AA109" i="5"/>
  <c r="AA95" i="5"/>
  <c r="AA131" i="5"/>
  <c r="AA133" i="5"/>
  <c r="AA120" i="5"/>
  <c r="AA127" i="5"/>
  <c r="AA101" i="5"/>
  <c r="AA126" i="5"/>
  <c r="AA129" i="5"/>
  <c r="AA138" i="5"/>
  <c r="AA99" i="5"/>
  <c r="AA107" i="5"/>
  <c r="AA116" i="5"/>
  <c r="AA108" i="5"/>
  <c r="AA117" i="5"/>
  <c r="AA124" i="5"/>
  <c r="AA102" i="5"/>
  <c r="AA118" i="5"/>
  <c r="AA142" i="5"/>
  <c r="AA96" i="5"/>
  <c r="AA136" i="5"/>
  <c r="AA130" i="5"/>
  <c r="AA137" i="5"/>
  <c r="AA97" i="5"/>
  <c r="AA132" i="5"/>
  <c r="AA125" i="5"/>
  <c r="AA98" i="5"/>
  <c r="AA94" i="5"/>
  <c r="AA104" i="5"/>
  <c r="AA100" i="5"/>
  <c r="AA115" i="5"/>
  <c r="AA119" i="5"/>
  <c r="AA114" i="5"/>
  <c r="AA134" i="5"/>
  <c r="AA128" i="5"/>
  <c r="AA121" i="5"/>
  <c r="AA111" i="5"/>
  <c r="AA140" i="5"/>
  <c r="AA141" i="5"/>
  <c r="AA110" i="5"/>
  <c r="AA123" i="5"/>
  <c r="AA122" i="5"/>
  <c r="AA112" i="5"/>
  <c r="AA135" i="5"/>
  <c r="AA113" i="5"/>
  <c r="AA105" i="5"/>
  <c r="AA146" i="5"/>
  <c r="AA158" i="5"/>
  <c r="AA145" i="5"/>
  <c r="AA144" i="5"/>
  <c r="AA155" i="5"/>
  <c r="AA156" i="5"/>
  <c r="AA143" i="5"/>
  <c r="AA154" i="5"/>
  <c r="AA147" i="5"/>
  <c r="AA163" i="5"/>
  <c r="AA149" i="5"/>
  <c r="AA170" i="5"/>
  <c r="AA157" i="5"/>
  <c r="AA160" i="5"/>
  <c r="AA151" i="5"/>
  <c r="AA150" i="5"/>
  <c r="AA172" i="5"/>
  <c r="AA161" i="5"/>
  <c r="AA162" i="5"/>
  <c r="AA152" i="5"/>
  <c r="AA165" i="5"/>
  <c r="AA166" i="5"/>
  <c r="AA148" i="5"/>
  <c r="AA159" i="5"/>
  <c r="AA167" i="5"/>
  <c r="AA164" i="5"/>
  <c r="AA168" i="5"/>
  <c r="AA153" i="5"/>
  <c r="AA169" i="5"/>
  <c r="AA171" i="5"/>
  <c r="AA204" i="5"/>
  <c r="AA175" i="5"/>
  <c r="AA220" i="5"/>
  <c r="AA230" i="5"/>
  <c r="AA183" i="5"/>
  <c r="AA216" i="5"/>
  <c r="AA217" i="5"/>
  <c r="AA194" i="5"/>
  <c r="AA180" i="5"/>
  <c r="AA207" i="5"/>
  <c r="AA213" i="5"/>
  <c r="AA214" i="5"/>
  <c r="AA233" i="5"/>
  <c r="AA193" i="5"/>
  <c r="AA234" i="5"/>
  <c r="AA201" i="5"/>
  <c r="AA215" i="5"/>
  <c r="AA224" i="5"/>
  <c r="AA202" i="5"/>
  <c r="AA200" i="5"/>
  <c r="AA235" i="5"/>
  <c r="AA206" i="5"/>
  <c r="AA209" i="5"/>
  <c r="AA222" i="5"/>
  <c r="AA225" i="5"/>
  <c r="AA210" i="5"/>
  <c r="AA203" i="5"/>
  <c r="AA226" i="5"/>
  <c r="AA173" i="5"/>
  <c r="AA199" i="5"/>
  <c r="AA189" i="5"/>
  <c r="AA184" i="5"/>
  <c r="AA185" i="5"/>
  <c r="AA186" i="5"/>
  <c r="AA190" i="5"/>
  <c r="AA182" i="5"/>
  <c r="AA187" i="5"/>
  <c r="AA218" i="5"/>
  <c r="AA231" i="5"/>
  <c r="AA188" i="5"/>
  <c r="AA232" i="5"/>
  <c r="AA198" i="5"/>
  <c r="AA211" i="5"/>
  <c r="AA174" i="5"/>
  <c r="AA219" i="5"/>
  <c r="AA181" i="5"/>
  <c r="AA205" i="5"/>
  <c r="AA192" i="5"/>
  <c r="AA195" i="5"/>
  <c r="AA176" i="5"/>
  <c r="AA228" i="5"/>
  <c r="AA191" i="5"/>
  <c r="AA177" i="5"/>
  <c r="AA196" i="5"/>
  <c r="AA212" i="5"/>
  <c r="AA223" i="5"/>
  <c r="AA227" i="5"/>
  <c r="AA179" i="5"/>
  <c r="AA229" i="5"/>
  <c r="AA208" i="5"/>
  <c r="AA197" i="5"/>
  <c r="AA178" i="5"/>
  <c r="AA221" i="5"/>
  <c r="K28" i="5"/>
  <c r="K57" i="5"/>
  <c r="K45" i="5"/>
  <c r="K12" i="5"/>
  <c r="K24" i="5"/>
  <c r="K50" i="5"/>
  <c r="K84" i="5"/>
  <c r="K23" i="5"/>
  <c r="K52" i="5"/>
  <c r="K85" i="5"/>
  <c r="K83" i="5"/>
  <c r="K63" i="5"/>
  <c r="K2" i="5"/>
  <c r="K3" i="5"/>
  <c r="K4" i="5"/>
  <c r="K5" i="5"/>
  <c r="K43" i="5"/>
  <c r="K7" i="5"/>
  <c r="K22" i="5"/>
  <c r="K53" i="5"/>
  <c r="K54" i="5"/>
  <c r="K80" i="5"/>
  <c r="K79" i="5"/>
  <c r="K55" i="5"/>
  <c r="K56" i="5"/>
  <c r="K17" i="5"/>
  <c r="K39" i="5"/>
  <c r="K66" i="5"/>
  <c r="K93" i="5"/>
  <c r="K51" i="5"/>
  <c r="K40" i="5"/>
  <c r="K49" i="5"/>
  <c r="K6" i="5"/>
  <c r="K18" i="5"/>
  <c r="K92" i="5"/>
  <c r="K81" i="5"/>
  <c r="K68" i="5"/>
  <c r="K44" i="5"/>
  <c r="K82" i="5"/>
  <c r="K69" i="5"/>
  <c r="K26" i="5"/>
  <c r="K8" i="5"/>
  <c r="K61" i="5"/>
  <c r="K33" i="5"/>
  <c r="K70" i="5"/>
  <c r="K48" i="5"/>
  <c r="K86" i="5"/>
  <c r="K87" i="5"/>
  <c r="K32" i="5"/>
  <c r="K47" i="5"/>
  <c r="K9" i="5"/>
  <c r="K10" i="5"/>
  <c r="K88" i="5"/>
  <c r="K11" i="5"/>
  <c r="K58" i="5"/>
  <c r="K77" i="5"/>
  <c r="K59" i="5"/>
  <c r="K25" i="5"/>
  <c r="K13" i="5"/>
  <c r="K76" i="5"/>
  <c r="K71" i="5"/>
  <c r="K67" i="5"/>
  <c r="K72" i="5"/>
  <c r="K37" i="5"/>
  <c r="K41" i="5"/>
  <c r="K29" i="5"/>
  <c r="K64" i="5"/>
  <c r="K14" i="5"/>
  <c r="K15" i="5"/>
  <c r="K89" i="5"/>
  <c r="K19" i="5"/>
  <c r="K65" i="5"/>
  <c r="K34" i="5"/>
  <c r="K78" i="5"/>
  <c r="K31" i="5"/>
  <c r="K16" i="5"/>
  <c r="K20" i="5"/>
  <c r="K46" i="5"/>
  <c r="K21" i="5"/>
  <c r="K62" i="5"/>
  <c r="K38" i="5"/>
  <c r="K73" i="5"/>
  <c r="K30" i="5"/>
  <c r="K74" i="5"/>
  <c r="K75" i="5"/>
  <c r="K36" i="5"/>
  <c r="K60" i="5"/>
  <c r="K35" i="5"/>
  <c r="K90" i="5"/>
  <c r="K42" i="5"/>
  <c r="K27" i="5"/>
  <c r="K91" i="5"/>
  <c r="K103" i="5"/>
  <c r="K106" i="5"/>
  <c r="K139" i="5"/>
  <c r="K109" i="5"/>
  <c r="K95" i="5"/>
  <c r="K131" i="5"/>
  <c r="K133" i="5"/>
  <c r="K120" i="5"/>
  <c r="K127" i="5"/>
  <c r="K101" i="5"/>
  <c r="K126" i="5"/>
  <c r="K129" i="5"/>
  <c r="K138" i="5"/>
  <c r="K99" i="5"/>
  <c r="K107" i="5"/>
  <c r="K116" i="5"/>
  <c r="K108" i="5"/>
  <c r="K117" i="5"/>
  <c r="K124" i="5"/>
  <c r="K102" i="5"/>
  <c r="K118" i="5"/>
  <c r="K142" i="5"/>
  <c r="K96" i="5"/>
  <c r="K136" i="5"/>
  <c r="K130" i="5"/>
  <c r="K137" i="5"/>
  <c r="K97" i="5"/>
  <c r="K132" i="5"/>
  <c r="K125" i="5"/>
  <c r="K98" i="5"/>
  <c r="K94" i="5"/>
  <c r="K104" i="5"/>
  <c r="K100" i="5"/>
  <c r="K115" i="5"/>
  <c r="K119" i="5"/>
  <c r="K114" i="5"/>
  <c r="K134" i="5"/>
  <c r="K128" i="5"/>
  <c r="K121" i="5"/>
  <c r="K111" i="5"/>
  <c r="K140" i="5"/>
  <c r="K141" i="5"/>
  <c r="K110" i="5"/>
  <c r="K123" i="5"/>
  <c r="K122" i="5"/>
  <c r="K112" i="5"/>
  <c r="K135" i="5"/>
  <c r="K113" i="5"/>
  <c r="K105" i="5"/>
  <c r="K146" i="5"/>
  <c r="K158" i="5"/>
  <c r="K145" i="5"/>
  <c r="K144" i="5"/>
  <c r="K155" i="5"/>
  <c r="K156" i="5"/>
  <c r="K143" i="5"/>
  <c r="K154" i="5"/>
  <c r="K147" i="5"/>
  <c r="K163" i="5"/>
  <c r="K149" i="5"/>
  <c r="K170" i="5"/>
  <c r="K157" i="5"/>
  <c r="K160" i="5"/>
  <c r="K151" i="5"/>
  <c r="K150" i="5"/>
  <c r="K172" i="5"/>
  <c r="K161" i="5"/>
  <c r="K162" i="5"/>
  <c r="K152" i="5"/>
  <c r="K165" i="5"/>
  <c r="K166" i="5"/>
  <c r="K148" i="5"/>
  <c r="K159" i="5"/>
  <c r="K167" i="5"/>
  <c r="K164" i="5"/>
  <c r="K168" i="5"/>
  <c r="K153" i="5"/>
  <c r="K169" i="5"/>
  <c r="K171" i="5"/>
  <c r="K204" i="5"/>
  <c r="K175" i="5"/>
  <c r="K220" i="5"/>
  <c r="K230" i="5"/>
  <c r="K183" i="5"/>
  <c r="K216" i="5"/>
  <c r="K217" i="5"/>
  <c r="K194" i="5"/>
  <c r="K180" i="5"/>
  <c r="K207" i="5"/>
  <c r="K213" i="5"/>
  <c r="K214" i="5"/>
  <c r="K233" i="5"/>
  <c r="K193" i="5"/>
  <c r="K234" i="5"/>
  <c r="K201" i="5"/>
  <c r="K215" i="5"/>
  <c r="K224" i="5"/>
  <c r="K202" i="5"/>
  <c r="K200" i="5"/>
  <c r="K235" i="5"/>
  <c r="K206" i="5"/>
  <c r="K209" i="5"/>
  <c r="K222" i="5"/>
  <c r="K225" i="5"/>
  <c r="K210" i="5"/>
  <c r="K203" i="5"/>
  <c r="K226" i="5"/>
  <c r="K173" i="5"/>
  <c r="K199" i="5"/>
  <c r="K189" i="5"/>
  <c r="K184" i="5"/>
  <c r="K185" i="5"/>
  <c r="K186" i="5"/>
  <c r="K190" i="5"/>
  <c r="K182" i="5"/>
  <c r="K187" i="5"/>
  <c r="K218" i="5"/>
  <c r="K231" i="5"/>
  <c r="K188" i="5"/>
  <c r="K232" i="5"/>
  <c r="K198" i="5"/>
  <c r="K211" i="5"/>
  <c r="K174" i="5"/>
  <c r="K219" i="5"/>
  <c r="K181" i="5"/>
  <c r="K205" i="5"/>
  <c r="K192" i="5"/>
  <c r="K195" i="5"/>
  <c r="K176" i="5"/>
  <c r="K228" i="5"/>
  <c r="K191" i="5"/>
  <c r="K177" i="5"/>
  <c r="K196" i="5"/>
  <c r="K212" i="5"/>
  <c r="K223" i="5"/>
  <c r="K227" i="5"/>
  <c r="K179" i="5"/>
  <c r="K229" i="5"/>
  <c r="K208" i="5"/>
  <c r="K197" i="5"/>
  <c r="K178" i="5"/>
  <c r="K221" i="5"/>
  <c r="J28" i="5"/>
  <c r="I28" i="5" s="1"/>
  <c r="J57" i="5"/>
  <c r="J45" i="5"/>
  <c r="J12" i="5"/>
  <c r="J24" i="5"/>
  <c r="J50" i="5"/>
  <c r="J84" i="5"/>
  <c r="J23" i="5"/>
  <c r="J52" i="5"/>
  <c r="I52" i="5" s="1"/>
  <c r="J85" i="5"/>
  <c r="J83" i="5"/>
  <c r="J63" i="5"/>
  <c r="J2" i="5"/>
  <c r="J3" i="5"/>
  <c r="J4" i="5"/>
  <c r="J5" i="5"/>
  <c r="J43" i="5"/>
  <c r="I43" i="5" s="1"/>
  <c r="J7" i="5"/>
  <c r="J22" i="5"/>
  <c r="J53" i="5"/>
  <c r="J54" i="5"/>
  <c r="J80" i="5"/>
  <c r="J79" i="5"/>
  <c r="J55" i="5"/>
  <c r="J56" i="5"/>
  <c r="I56" i="5" s="1"/>
  <c r="J17" i="5"/>
  <c r="J39" i="5"/>
  <c r="J66" i="5"/>
  <c r="J93" i="5"/>
  <c r="J51" i="5"/>
  <c r="J40" i="5"/>
  <c r="J49" i="5"/>
  <c r="J6" i="5"/>
  <c r="I6" i="5" s="1"/>
  <c r="J18" i="5"/>
  <c r="J92" i="5"/>
  <c r="J81" i="5"/>
  <c r="J68" i="5"/>
  <c r="J44" i="5"/>
  <c r="J82" i="5"/>
  <c r="J69" i="5"/>
  <c r="J26" i="5"/>
  <c r="I26" i="5" s="1"/>
  <c r="J8" i="5"/>
  <c r="J61" i="5"/>
  <c r="J33" i="5"/>
  <c r="J70" i="5"/>
  <c r="J48" i="5"/>
  <c r="J86" i="5"/>
  <c r="J87" i="5"/>
  <c r="J32" i="5"/>
  <c r="I32" i="5" s="1"/>
  <c r="J47" i="5"/>
  <c r="J9" i="5"/>
  <c r="J10" i="5"/>
  <c r="J88" i="5"/>
  <c r="J11" i="5"/>
  <c r="J58" i="5"/>
  <c r="J77" i="5"/>
  <c r="J59" i="5"/>
  <c r="I59" i="5" s="1"/>
  <c r="J25" i="5"/>
  <c r="J13" i="5"/>
  <c r="J76" i="5"/>
  <c r="J71" i="5"/>
  <c r="J67" i="5"/>
  <c r="J72" i="5"/>
  <c r="J37" i="5"/>
  <c r="J41" i="5"/>
  <c r="J29" i="5"/>
  <c r="J64" i="5"/>
  <c r="J14" i="5"/>
  <c r="J15" i="5"/>
  <c r="J89" i="5"/>
  <c r="J19" i="5"/>
  <c r="J65" i="5"/>
  <c r="J34" i="5"/>
  <c r="I34" i="5" s="1"/>
  <c r="J78" i="5"/>
  <c r="J31" i="5"/>
  <c r="J16" i="5"/>
  <c r="J20" i="5"/>
  <c r="J46" i="5"/>
  <c r="J21" i="5"/>
  <c r="J62" i="5"/>
  <c r="J38" i="5"/>
  <c r="I38" i="5" s="1"/>
  <c r="J73" i="5"/>
  <c r="J30" i="5"/>
  <c r="J74" i="5"/>
  <c r="J75" i="5"/>
  <c r="J36" i="5"/>
  <c r="J60" i="5"/>
  <c r="J35" i="5"/>
  <c r="J90" i="5"/>
  <c r="I90" i="5" s="1"/>
  <c r="J42" i="5"/>
  <c r="J27" i="5"/>
  <c r="J91" i="5"/>
  <c r="J103" i="5"/>
  <c r="J106" i="5"/>
  <c r="J139" i="5"/>
  <c r="J109" i="5"/>
  <c r="J95" i="5"/>
  <c r="I95" i="5" s="1"/>
  <c r="J131" i="5"/>
  <c r="J133" i="5"/>
  <c r="J120" i="5"/>
  <c r="J127" i="5"/>
  <c r="J101" i="5"/>
  <c r="J126" i="5"/>
  <c r="J129" i="5"/>
  <c r="J138" i="5"/>
  <c r="I138" i="5" s="1"/>
  <c r="J99" i="5"/>
  <c r="J107" i="5"/>
  <c r="J116" i="5"/>
  <c r="J108" i="5"/>
  <c r="J117" i="5"/>
  <c r="J124" i="5"/>
  <c r="J102" i="5"/>
  <c r="J118" i="5"/>
  <c r="I118" i="5" s="1"/>
  <c r="J142" i="5"/>
  <c r="J96" i="5"/>
  <c r="J136" i="5"/>
  <c r="J130" i="5"/>
  <c r="J137" i="5"/>
  <c r="J97" i="5"/>
  <c r="J132" i="5"/>
  <c r="J125" i="5"/>
  <c r="I125" i="5" s="1"/>
  <c r="J98" i="5"/>
  <c r="J94" i="5"/>
  <c r="J104" i="5"/>
  <c r="J100" i="5"/>
  <c r="J115" i="5"/>
  <c r="J119" i="5"/>
  <c r="J114" i="5"/>
  <c r="J134" i="5"/>
  <c r="I134" i="5" s="1"/>
  <c r="J128" i="5"/>
  <c r="J121" i="5"/>
  <c r="J111" i="5"/>
  <c r="J140" i="5"/>
  <c r="J141" i="5"/>
  <c r="J110" i="5"/>
  <c r="J123" i="5"/>
  <c r="J122" i="5"/>
  <c r="I122" i="5" s="1"/>
  <c r="J112" i="5"/>
  <c r="J135" i="5"/>
  <c r="J113" i="5"/>
  <c r="J105" i="5"/>
  <c r="J146" i="5"/>
  <c r="J158" i="5"/>
  <c r="J145" i="5"/>
  <c r="J144" i="5"/>
  <c r="I144" i="5" s="1"/>
  <c r="J155" i="5"/>
  <c r="J156" i="5"/>
  <c r="J143" i="5"/>
  <c r="J154" i="5"/>
  <c r="J147" i="5"/>
  <c r="J163" i="5"/>
  <c r="J149" i="5"/>
  <c r="J170" i="5"/>
  <c r="I170" i="5" s="1"/>
  <c r="J157" i="5"/>
  <c r="J160" i="5"/>
  <c r="J151" i="5"/>
  <c r="J150" i="5"/>
  <c r="J172" i="5"/>
  <c r="J161" i="5"/>
  <c r="J162" i="5"/>
  <c r="J152" i="5"/>
  <c r="I152" i="5" s="1"/>
  <c r="J165" i="5"/>
  <c r="J166" i="5"/>
  <c r="J148" i="5"/>
  <c r="J159" i="5"/>
  <c r="J167" i="5"/>
  <c r="J164" i="5"/>
  <c r="J168" i="5"/>
  <c r="J153" i="5"/>
  <c r="I153" i="5" s="1"/>
  <c r="J169" i="5"/>
  <c r="J171" i="5"/>
  <c r="J204" i="5"/>
  <c r="J175" i="5"/>
  <c r="J220" i="5"/>
  <c r="J230" i="5"/>
  <c r="J183" i="5"/>
  <c r="J216" i="5"/>
  <c r="I216" i="5" s="1"/>
  <c r="J217" i="5"/>
  <c r="J194" i="5"/>
  <c r="J180" i="5"/>
  <c r="J207" i="5"/>
  <c r="J213" i="5"/>
  <c r="J214" i="5"/>
  <c r="J233" i="5"/>
  <c r="J193" i="5"/>
  <c r="J234" i="5"/>
  <c r="J201" i="5"/>
  <c r="J215" i="5"/>
  <c r="J224" i="5"/>
  <c r="J202" i="5"/>
  <c r="J200" i="5"/>
  <c r="J235" i="5"/>
  <c r="J206" i="5"/>
  <c r="I206" i="5" s="1"/>
  <c r="J209" i="5"/>
  <c r="J222" i="5"/>
  <c r="J225" i="5"/>
  <c r="J210" i="5"/>
  <c r="J203" i="5"/>
  <c r="J226" i="5"/>
  <c r="J173" i="5"/>
  <c r="J199" i="5"/>
  <c r="I199" i="5" s="1"/>
  <c r="J189" i="5"/>
  <c r="J184" i="5"/>
  <c r="J185" i="5"/>
  <c r="J186" i="5"/>
  <c r="J190" i="5"/>
  <c r="J182" i="5"/>
  <c r="J187" i="5"/>
  <c r="J218" i="5"/>
  <c r="I218" i="5" s="1"/>
  <c r="J231" i="5"/>
  <c r="J188" i="5"/>
  <c r="J232" i="5"/>
  <c r="J198" i="5"/>
  <c r="J211" i="5"/>
  <c r="J174" i="5"/>
  <c r="J219" i="5"/>
  <c r="J181" i="5"/>
  <c r="I181" i="5" s="1"/>
  <c r="J205" i="5"/>
  <c r="J192" i="5"/>
  <c r="J195" i="5"/>
  <c r="J176" i="5"/>
  <c r="J228" i="5"/>
  <c r="J191" i="5"/>
  <c r="J177" i="5"/>
  <c r="J196" i="5"/>
  <c r="I196" i="5" s="1"/>
  <c r="J212" i="5"/>
  <c r="J223" i="5"/>
  <c r="J227" i="5"/>
  <c r="J179" i="5"/>
  <c r="J229" i="5"/>
  <c r="J208" i="5"/>
  <c r="J197" i="5"/>
  <c r="J178" i="5"/>
  <c r="I178" i="5" s="1"/>
  <c r="J221" i="5"/>
  <c r="F28" i="5"/>
  <c r="F57" i="5"/>
  <c r="F45" i="5"/>
  <c r="F12" i="5"/>
  <c r="F24" i="5"/>
  <c r="F50" i="5"/>
  <c r="F84" i="5"/>
  <c r="F23" i="5"/>
  <c r="F52" i="5"/>
  <c r="F85" i="5"/>
  <c r="F83" i="5"/>
  <c r="F63" i="5"/>
  <c r="F2" i="5"/>
  <c r="F3" i="5"/>
  <c r="F4" i="5"/>
  <c r="F5" i="5"/>
  <c r="F43" i="5"/>
  <c r="F7" i="5"/>
  <c r="F22" i="5"/>
  <c r="F53" i="5"/>
  <c r="F54" i="5"/>
  <c r="F80" i="5"/>
  <c r="F79" i="5"/>
  <c r="F55" i="5"/>
  <c r="F56" i="5"/>
  <c r="F17" i="5"/>
  <c r="F39" i="5"/>
  <c r="F66" i="5"/>
  <c r="F93" i="5"/>
  <c r="F51" i="5"/>
  <c r="F40" i="5"/>
  <c r="F49" i="5"/>
  <c r="F6" i="5"/>
  <c r="F18" i="5"/>
  <c r="F92" i="5"/>
  <c r="F81" i="5"/>
  <c r="F68" i="5"/>
  <c r="F44" i="5"/>
  <c r="F82" i="5"/>
  <c r="F69" i="5"/>
  <c r="F26" i="5"/>
  <c r="F8" i="5"/>
  <c r="F61" i="5"/>
  <c r="F33" i="5"/>
  <c r="F70" i="5"/>
  <c r="F48" i="5"/>
  <c r="F86" i="5"/>
  <c r="F87" i="5"/>
  <c r="F32" i="5"/>
  <c r="F47" i="5"/>
  <c r="F9" i="5"/>
  <c r="F10" i="5"/>
  <c r="F88" i="5"/>
  <c r="F11" i="5"/>
  <c r="F58" i="5"/>
  <c r="F77" i="5"/>
  <c r="F59" i="5"/>
  <c r="F25" i="5"/>
  <c r="F13" i="5"/>
  <c r="F76" i="5"/>
  <c r="F71" i="5"/>
  <c r="F67" i="5"/>
  <c r="F72" i="5"/>
  <c r="F37" i="5"/>
  <c r="F41" i="5"/>
  <c r="F29" i="5"/>
  <c r="F64" i="5"/>
  <c r="F14" i="5"/>
  <c r="F15" i="5"/>
  <c r="F89" i="5"/>
  <c r="F19" i="5"/>
  <c r="F65" i="5"/>
  <c r="F34" i="5"/>
  <c r="F78" i="5"/>
  <c r="F31" i="5"/>
  <c r="F16" i="5"/>
  <c r="F20" i="5"/>
  <c r="F46" i="5"/>
  <c r="F21" i="5"/>
  <c r="F62" i="5"/>
  <c r="F38" i="5"/>
  <c r="F73" i="5"/>
  <c r="F30" i="5"/>
  <c r="F74" i="5"/>
  <c r="F75" i="5"/>
  <c r="F36" i="5"/>
  <c r="F60" i="5"/>
  <c r="F35" i="5"/>
  <c r="F90" i="5"/>
  <c r="F42" i="5"/>
  <c r="F27" i="5"/>
  <c r="F91" i="5"/>
  <c r="F103" i="5"/>
  <c r="F139" i="5"/>
  <c r="F109" i="5"/>
  <c r="F95" i="5"/>
  <c r="F131" i="5"/>
  <c r="F133" i="5"/>
  <c r="F120" i="5"/>
  <c r="F127" i="5"/>
  <c r="F101" i="5"/>
  <c r="F126" i="5"/>
  <c r="F129" i="5"/>
  <c r="F138" i="5"/>
  <c r="F99" i="5"/>
  <c r="F107" i="5"/>
  <c r="F116" i="5"/>
  <c r="F108" i="5"/>
  <c r="F117" i="5"/>
  <c r="F124" i="5"/>
  <c r="F102" i="5"/>
  <c r="F118" i="5"/>
  <c r="F142" i="5"/>
  <c r="F96" i="5"/>
  <c r="F136" i="5"/>
  <c r="F130" i="5"/>
  <c r="F137" i="5"/>
  <c r="F97" i="5"/>
  <c r="F132" i="5"/>
  <c r="F125" i="5"/>
  <c r="F98" i="5"/>
  <c r="F94" i="5"/>
  <c r="F104" i="5"/>
  <c r="F100" i="5"/>
  <c r="F115" i="5"/>
  <c r="F119" i="5"/>
  <c r="F114" i="5"/>
  <c r="F134" i="5"/>
  <c r="F128" i="5"/>
  <c r="F121" i="5"/>
  <c r="F111" i="5"/>
  <c r="F140" i="5"/>
  <c r="F141" i="5"/>
  <c r="F110" i="5"/>
  <c r="F123" i="5"/>
  <c r="F122" i="5"/>
  <c r="F112" i="5"/>
  <c r="F135" i="5"/>
  <c r="F113" i="5"/>
  <c r="F105" i="5"/>
  <c r="F146" i="5"/>
  <c r="F158" i="5"/>
  <c r="F145" i="5"/>
  <c r="F144" i="5"/>
  <c r="F155" i="5"/>
  <c r="F156" i="5"/>
  <c r="F143" i="5"/>
  <c r="F154" i="5"/>
  <c r="F147" i="5"/>
  <c r="F163" i="5"/>
  <c r="F149" i="5"/>
  <c r="F170" i="5"/>
  <c r="F157" i="5"/>
  <c r="F160" i="5"/>
  <c r="F151" i="5"/>
  <c r="F150" i="5"/>
  <c r="F172" i="5"/>
  <c r="F161" i="5"/>
  <c r="F162" i="5"/>
  <c r="F152" i="5"/>
  <c r="F165" i="5"/>
  <c r="F166" i="5"/>
  <c r="F148" i="5"/>
  <c r="F159" i="5"/>
  <c r="F167" i="5"/>
  <c r="F164" i="5"/>
  <c r="F168" i="5"/>
  <c r="F153" i="5"/>
  <c r="F169" i="5"/>
  <c r="F171" i="5"/>
  <c r="F204" i="5"/>
  <c r="F175" i="5"/>
  <c r="F220" i="5"/>
  <c r="F230" i="5"/>
  <c r="F183" i="5"/>
  <c r="F216" i="5"/>
  <c r="F217" i="5"/>
  <c r="F194" i="5"/>
  <c r="F180" i="5"/>
  <c r="F207" i="5"/>
  <c r="F213" i="5"/>
  <c r="F214" i="5"/>
  <c r="F233" i="5"/>
  <c r="F193" i="5"/>
  <c r="F234" i="5"/>
  <c r="F201" i="5"/>
  <c r="F215" i="5"/>
  <c r="F224" i="5"/>
  <c r="F202" i="5"/>
  <c r="F200" i="5"/>
  <c r="F235" i="5"/>
  <c r="F206" i="5"/>
  <c r="F209" i="5"/>
  <c r="F222" i="5"/>
  <c r="F225" i="5"/>
  <c r="F210" i="5"/>
  <c r="F203" i="5"/>
  <c r="F226" i="5"/>
  <c r="F173" i="5"/>
  <c r="F199" i="5"/>
  <c r="F189" i="5"/>
  <c r="F184" i="5"/>
  <c r="F185" i="5"/>
  <c r="F186" i="5"/>
  <c r="F190" i="5"/>
  <c r="F182" i="5"/>
  <c r="F187" i="5"/>
  <c r="F218" i="5"/>
  <c r="F231" i="5"/>
  <c r="F188" i="5"/>
  <c r="F232" i="5"/>
  <c r="F198" i="5"/>
  <c r="F211" i="5"/>
  <c r="F174" i="5"/>
  <c r="F219" i="5"/>
  <c r="F181" i="5"/>
  <c r="F205" i="5"/>
  <c r="F192" i="5"/>
  <c r="F195" i="5"/>
  <c r="F176" i="5"/>
  <c r="F228" i="5"/>
  <c r="F191" i="5"/>
  <c r="F177" i="5"/>
  <c r="F196" i="5"/>
  <c r="F212" i="5"/>
  <c r="F223" i="5"/>
  <c r="F227" i="5"/>
  <c r="F179" i="5"/>
  <c r="F229" i="5"/>
  <c r="F208" i="5"/>
  <c r="F197" i="5"/>
  <c r="F178" i="5"/>
  <c r="F221" i="5"/>
  <c r="W64" i="7" l="1"/>
  <c r="W88" i="7"/>
  <c r="U88" i="7"/>
  <c r="U74" i="7"/>
  <c r="W74" i="7"/>
  <c r="E74" i="7"/>
  <c r="C74" i="7"/>
  <c r="E89" i="7"/>
  <c r="C89" i="7"/>
  <c r="K94" i="7"/>
  <c r="Q79" i="7"/>
  <c r="K66" i="7"/>
  <c r="I66" i="7"/>
  <c r="C66" i="7"/>
  <c r="E66" i="7"/>
  <c r="W97" i="7"/>
  <c r="U97" i="7"/>
  <c r="I93" i="7"/>
  <c r="K93" i="7"/>
  <c r="K63" i="7"/>
  <c r="I63" i="7"/>
  <c r="I64" i="7" s="1"/>
  <c r="Q63" i="7"/>
  <c r="O63" i="7"/>
  <c r="Q59" i="7"/>
  <c r="O59" i="7"/>
  <c r="O89" i="7"/>
  <c r="Q89" i="7"/>
  <c r="K79" i="7"/>
  <c r="W66" i="7"/>
  <c r="U66" i="7"/>
  <c r="C63" i="7"/>
  <c r="C64" i="7" s="1"/>
  <c r="E63" i="7"/>
  <c r="O58" i="7"/>
  <c r="O60" i="7" s="1"/>
  <c r="P58" i="7" s="1"/>
  <c r="Q58" i="7"/>
  <c r="I74" i="7"/>
  <c r="K74" i="7"/>
  <c r="I193" i="5"/>
  <c r="K58" i="7"/>
  <c r="I58" i="7"/>
  <c r="I41" i="5"/>
  <c r="C58" i="7"/>
  <c r="E58" i="7"/>
  <c r="W89" i="7"/>
  <c r="U89" i="7"/>
  <c r="W79" i="7"/>
  <c r="E79" i="7"/>
  <c r="E94" i="7"/>
  <c r="AG174" i="5"/>
  <c r="I96" i="7"/>
  <c r="K96" i="7"/>
  <c r="AG164" i="5"/>
  <c r="O81" i="7"/>
  <c r="Q81" i="7"/>
  <c r="K67" i="7"/>
  <c r="I67" i="7"/>
  <c r="E67" i="7"/>
  <c r="C67" i="7"/>
  <c r="K78" i="7"/>
  <c r="I78" i="7"/>
  <c r="Q93" i="7"/>
  <c r="O93" i="7"/>
  <c r="H77" i="16"/>
  <c r="O97" i="7"/>
  <c r="Q97" i="7"/>
  <c r="W58" i="7"/>
  <c r="U58" i="7"/>
  <c r="Q64" i="7"/>
  <c r="Q94" i="7"/>
  <c r="I81" i="7"/>
  <c r="K81" i="7"/>
  <c r="W67" i="7"/>
  <c r="U67" i="7"/>
  <c r="O88" i="7"/>
  <c r="Q88" i="7"/>
  <c r="V110" i="16"/>
  <c r="V93" i="16"/>
  <c r="V88" i="16"/>
  <c r="V73" i="16"/>
  <c r="M71" i="16"/>
  <c r="M88" i="16"/>
  <c r="M109" i="16"/>
  <c r="D90" i="16"/>
  <c r="D67" i="16"/>
  <c r="V103" i="16"/>
  <c r="V85" i="16"/>
  <c r="V72" i="16"/>
  <c r="M74" i="16"/>
  <c r="M65" i="16"/>
  <c r="M108" i="16"/>
  <c r="D111" i="16"/>
  <c r="D107" i="16"/>
  <c r="D101" i="16"/>
  <c r="D89" i="16"/>
  <c r="D66" i="16"/>
  <c r="V109" i="16"/>
  <c r="V107" i="16"/>
  <c r="V92" i="16"/>
  <c r="V84" i="16"/>
  <c r="V71" i="16"/>
  <c r="M90" i="16"/>
  <c r="M85" i="16"/>
  <c r="M107" i="16"/>
  <c r="D88" i="16"/>
  <c r="D75" i="16"/>
  <c r="D65" i="16"/>
  <c r="V102" i="16"/>
  <c r="V83" i="16"/>
  <c r="V70" i="16"/>
  <c r="M73" i="16"/>
  <c r="M70" i="16"/>
  <c r="M64" i="16"/>
  <c r="M93" i="16"/>
  <c r="M106" i="16"/>
  <c r="D110" i="16"/>
  <c r="D106" i="16"/>
  <c r="D100" i="16"/>
  <c r="D85" i="16"/>
  <c r="D74" i="16"/>
  <c r="D64" i="16"/>
  <c r="V91" i="16"/>
  <c r="V82" i="16"/>
  <c r="V67" i="16"/>
  <c r="M84" i="16"/>
  <c r="M103" i="16"/>
  <c r="D84" i="16"/>
  <c r="D73" i="16"/>
  <c r="F9" i="16"/>
  <c r="V106" i="16"/>
  <c r="V101" i="16"/>
  <c r="V66" i="16"/>
  <c r="M72" i="16"/>
  <c r="M67" i="16"/>
  <c r="M92" i="16"/>
  <c r="M89" i="16"/>
  <c r="M102" i="16"/>
  <c r="D109" i="16"/>
  <c r="D103" i="16"/>
  <c r="D93" i="16"/>
  <c r="D83" i="16"/>
  <c r="D72" i="16"/>
  <c r="V111" i="16"/>
  <c r="V108" i="16"/>
  <c r="V90" i="16"/>
  <c r="V75" i="16"/>
  <c r="V65" i="16"/>
  <c r="M83" i="16"/>
  <c r="M111" i="16"/>
  <c r="M101" i="16"/>
  <c r="D92" i="16"/>
  <c r="D71" i="16"/>
  <c r="V100" i="16"/>
  <c r="V89" i="16"/>
  <c r="V74" i="16"/>
  <c r="V64" i="16"/>
  <c r="M75" i="16"/>
  <c r="M66" i="16"/>
  <c r="M91" i="16"/>
  <c r="M82" i="16"/>
  <c r="M110" i="16"/>
  <c r="M100" i="16"/>
  <c r="M104" i="16" s="1"/>
  <c r="D108" i="16"/>
  <c r="D102" i="16"/>
  <c r="D91" i="16"/>
  <c r="D82" i="16"/>
  <c r="D86" i="16" s="1"/>
  <c r="D70" i="16"/>
  <c r="D76" i="16" s="1"/>
  <c r="K88" i="7"/>
  <c r="I88" i="7"/>
  <c r="O73" i="7"/>
  <c r="Q73" i="7"/>
  <c r="K59" i="7"/>
  <c r="I59" i="7"/>
  <c r="C59" i="7"/>
  <c r="E59" i="7"/>
  <c r="W94" i="7"/>
  <c r="W81" i="7"/>
  <c r="U81" i="7"/>
  <c r="E81" i="7"/>
  <c r="C81" i="7"/>
  <c r="E96" i="7"/>
  <c r="C96" i="7"/>
  <c r="K97" i="7"/>
  <c r="I97" i="7"/>
  <c r="O82" i="7"/>
  <c r="Q82" i="7"/>
  <c r="U93" i="7"/>
  <c r="U94" i="7" s="1"/>
  <c r="W93" i="7"/>
  <c r="C93" i="7"/>
  <c r="E93" i="7"/>
  <c r="O67" i="7"/>
  <c r="Q67" i="7"/>
  <c r="K73" i="7"/>
  <c r="I73" i="7"/>
  <c r="I75" i="7" s="1"/>
  <c r="J73" i="7" s="1"/>
  <c r="W59" i="7"/>
  <c r="U59" i="7"/>
  <c r="O66" i="7"/>
  <c r="Q66" i="7"/>
  <c r="O96" i="7"/>
  <c r="O98" i="7" s="1"/>
  <c r="P96" i="7" s="1"/>
  <c r="Q96" i="7"/>
  <c r="I82" i="7"/>
  <c r="K82" i="7"/>
  <c r="U63" i="7"/>
  <c r="U64" i="7" s="1"/>
  <c r="W63" i="7"/>
  <c r="E78" i="7"/>
  <c r="C78" i="7"/>
  <c r="C79" i="7" s="1"/>
  <c r="W73" i="7"/>
  <c r="U73" i="7"/>
  <c r="E73" i="7"/>
  <c r="C73" i="7"/>
  <c r="C75" i="7" s="1"/>
  <c r="D73" i="7" s="1"/>
  <c r="C88" i="7"/>
  <c r="C90" i="7" s="1"/>
  <c r="D88" i="7" s="1"/>
  <c r="E88" i="7"/>
  <c r="K89" i="7"/>
  <c r="I89" i="7"/>
  <c r="Q74" i="7"/>
  <c r="O74" i="7"/>
  <c r="K64" i="7"/>
  <c r="E64" i="7"/>
  <c r="W96" i="7"/>
  <c r="U96" i="7"/>
  <c r="U82" i="7"/>
  <c r="W82" i="7"/>
  <c r="E82" i="7"/>
  <c r="C82" i="7"/>
  <c r="E97" i="7"/>
  <c r="C97" i="7"/>
  <c r="O78" i="7"/>
  <c r="Q78" i="7"/>
  <c r="U78" i="7"/>
  <c r="W78" i="7"/>
  <c r="I179" i="5"/>
  <c r="I176" i="5"/>
  <c r="I198" i="5"/>
  <c r="I186" i="5"/>
  <c r="I210" i="5"/>
  <c r="I224" i="5"/>
  <c r="I207" i="5"/>
  <c r="I175" i="5"/>
  <c r="I159" i="5"/>
  <c r="I150" i="5"/>
  <c r="I154" i="5"/>
  <c r="I105" i="5"/>
  <c r="I140" i="5"/>
  <c r="I100" i="5"/>
  <c r="I130" i="5"/>
  <c r="I108" i="5"/>
  <c r="I127" i="5"/>
  <c r="I103" i="5"/>
  <c r="I75" i="5"/>
  <c r="I20" i="5"/>
  <c r="I15" i="5"/>
  <c r="I71" i="5"/>
  <c r="I88" i="5"/>
  <c r="I70" i="5"/>
  <c r="I68" i="5"/>
  <c r="I93" i="5"/>
  <c r="I54" i="5"/>
  <c r="I2" i="5"/>
  <c r="I24" i="5"/>
  <c r="AG223" i="5"/>
  <c r="AG192" i="5"/>
  <c r="AG188" i="5"/>
  <c r="AG184" i="5"/>
  <c r="AG222" i="5"/>
  <c r="AG201" i="5"/>
  <c r="AG194" i="5"/>
  <c r="AG171" i="5"/>
  <c r="AG166" i="5"/>
  <c r="AG160" i="5"/>
  <c r="AG156" i="5"/>
  <c r="AG135" i="5"/>
  <c r="AG121" i="5"/>
  <c r="AG94" i="5"/>
  <c r="AG96" i="5"/>
  <c r="AG107" i="5"/>
  <c r="AG133" i="5"/>
  <c r="AG27" i="5"/>
  <c r="AG30" i="5"/>
  <c r="AG31" i="5"/>
  <c r="AG64" i="5"/>
  <c r="AG13" i="5"/>
  <c r="AG9" i="5"/>
  <c r="AG61" i="5"/>
  <c r="AG92" i="5"/>
  <c r="AG39" i="5"/>
  <c r="AG22" i="5"/>
  <c r="AG83" i="5"/>
  <c r="AG45" i="5"/>
  <c r="AG205" i="5"/>
  <c r="AG165" i="5"/>
  <c r="AG7" i="5"/>
  <c r="O47" i="16"/>
  <c r="AF11" i="17" s="1"/>
  <c r="AE54" i="16"/>
  <c r="AG57" i="16"/>
  <c r="AE53" i="16"/>
  <c r="AG56" i="16"/>
  <c r="AE52" i="16"/>
  <c r="AG55" i="16"/>
  <c r="AG49" i="16"/>
  <c r="AE55" i="16"/>
  <c r="AG54" i="16"/>
  <c r="AG48" i="16"/>
  <c r="AE57" i="16"/>
  <c r="AG47" i="16"/>
  <c r="O49" i="16"/>
  <c r="AF13" i="17" s="1"/>
  <c r="AE56" i="16"/>
  <c r="O48" i="16"/>
  <c r="AF12" i="17" s="1"/>
  <c r="AG220" i="5"/>
  <c r="AG89" i="5"/>
  <c r="H37" i="20"/>
  <c r="J32" i="20"/>
  <c r="J37" i="20" s="1"/>
  <c r="B14" i="28" s="1"/>
  <c r="B15" i="28" s="1"/>
  <c r="G37" i="20"/>
  <c r="E37" i="20"/>
  <c r="F37" i="20"/>
  <c r="O39" i="9"/>
  <c r="I39" i="9"/>
  <c r="U23" i="9"/>
  <c r="V21" i="9" s="1"/>
  <c r="L33" i="10" s="1"/>
  <c r="P33" i="9"/>
  <c r="H27" i="10" s="1"/>
  <c r="K54" i="9"/>
  <c r="AG179" i="5"/>
  <c r="AG176" i="5"/>
  <c r="AG198" i="5"/>
  <c r="AG224" i="5"/>
  <c r="AG175" i="5"/>
  <c r="AG153" i="5"/>
  <c r="AG152" i="5"/>
  <c r="AG122" i="5"/>
  <c r="AG125" i="5"/>
  <c r="AG130" i="5"/>
  <c r="AG118" i="5"/>
  <c r="AG138" i="5"/>
  <c r="AG103" i="5"/>
  <c r="AG71" i="5"/>
  <c r="AG93" i="5"/>
  <c r="AG38" i="16"/>
  <c r="AG34" i="16"/>
  <c r="AE38" i="16"/>
  <c r="AE34" i="16"/>
  <c r="AG18" i="16"/>
  <c r="AE18" i="16"/>
  <c r="AG12" i="16"/>
  <c r="AE9" i="16"/>
  <c r="X54" i="16"/>
  <c r="V55" i="16"/>
  <c r="X49" i="16"/>
  <c r="X36" i="16"/>
  <c r="V36" i="16"/>
  <c r="X30" i="16"/>
  <c r="X17" i="16"/>
  <c r="V17" i="16"/>
  <c r="X11" i="16"/>
  <c r="O56" i="16"/>
  <c r="AF20" i="17" s="1"/>
  <c r="M56" i="16"/>
  <c r="M52" i="16"/>
  <c r="O38" i="16"/>
  <c r="AC20" i="17" s="1"/>
  <c r="O34" i="16"/>
  <c r="M38" i="16"/>
  <c r="M34" i="16"/>
  <c r="O18" i="16"/>
  <c r="M18" i="16"/>
  <c r="O12" i="16"/>
  <c r="AE12" i="16"/>
  <c r="V11" i="16"/>
  <c r="AE49" i="16"/>
  <c r="AE47" i="16"/>
  <c r="V49" i="16"/>
  <c r="V46" i="16"/>
  <c r="M49" i="16"/>
  <c r="M47" i="16"/>
  <c r="AE30" i="16"/>
  <c r="V31" i="16"/>
  <c r="M31" i="16"/>
  <c r="M28" i="16"/>
  <c r="F56" i="16"/>
  <c r="F52" i="16"/>
  <c r="D56" i="16"/>
  <c r="D52" i="16"/>
  <c r="AG37" i="16"/>
  <c r="AE37" i="16"/>
  <c r="AG31" i="16"/>
  <c r="AG17" i="16"/>
  <c r="AE17" i="16"/>
  <c r="AG11" i="16"/>
  <c r="X57" i="16"/>
  <c r="V54" i="16"/>
  <c r="X48" i="16"/>
  <c r="X39" i="16"/>
  <c r="X35" i="16"/>
  <c r="V39" i="16"/>
  <c r="V35" i="16"/>
  <c r="X29" i="16"/>
  <c r="X20" i="16"/>
  <c r="X16" i="16"/>
  <c r="V20" i="16"/>
  <c r="V16" i="16"/>
  <c r="X10" i="16"/>
  <c r="O55" i="16"/>
  <c r="AF19" i="17" s="1"/>
  <c r="M55" i="16"/>
  <c r="O37" i="16"/>
  <c r="AC19" i="17" s="1"/>
  <c r="M37" i="16"/>
  <c r="O31" i="16"/>
  <c r="AC13" i="17" s="1"/>
  <c r="O17" i="16"/>
  <c r="M17" i="16"/>
  <c r="O11" i="16"/>
  <c r="AE11" i="16"/>
  <c r="V10" i="16"/>
  <c r="AG52" i="16"/>
  <c r="AG46" i="16"/>
  <c r="V48" i="16"/>
  <c r="O53" i="16"/>
  <c r="AF17" i="17" s="1"/>
  <c r="O46" i="16"/>
  <c r="AE29" i="16"/>
  <c r="V30" i="16"/>
  <c r="M30" i="16"/>
  <c r="F55" i="16"/>
  <c r="D55" i="16"/>
  <c r="AG36" i="16"/>
  <c r="AE36" i="16"/>
  <c r="AG30" i="16"/>
  <c r="AG20" i="16"/>
  <c r="AG16" i="16"/>
  <c r="AE20" i="16"/>
  <c r="AE16" i="16"/>
  <c r="AG10" i="16"/>
  <c r="X56" i="16"/>
  <c r="V57" i="16"/>
  <c r="V53" i="16"/>
  <c r="X47" i="16"/>
  <c r="X38" i="16"/>
  <c r="X34" i="16"/>
  <c r="V38" i="16"/>
  <c r="V34" i="16"/>
  <c r="V28" i="16"/>
  <c r="X19" i="16"/>
  <c r="X15" i="16"/>
  <c r="V19" i="16"/>
  <c r="V15" i="16"/>
  <c r="X9" i="16"/>
  <c r="O54" i="16"/>
  <c r="AF18" i="17" s="1"/>
  <c r="M54" i="16"/>
  <c r="O36" i="16"/>
  <c r="AC18" i="17" s="1"/>
  <c r="M36" i="16"/>
  <c r="O30" i="16"/>
  <c r="AC12" i="17" s="1"/>
  <c r="O20" i="16"/>
  <c r="O16" i="16"/>
  <c r="M20" i="16"/>
  <c r="M16" i="16"/>
  <c r="O10" i="16"/>
  <c r="AE10" i="16"/>
  <c r="V9" i="16"/>
  <c r="AE48" i="16"/>
  <c r="AE46" i="16"/>
  <c r="V47" i="16"/>
  <c r="O52" i="16"/>
  <c r="AF16" i="17" s="1"/>
  <c r="M48" i="16"/>
  <c r="M46" i="16"/>
  <c r="V29" i="16"/>
  <c r="M29" i="16"/>
  <c r="F54" i="16"/>
  <c r="D54" i="16"/>
  <c r="AG39" i="16"/>
  <c r="AG35" i="16"/>
  <c r="AE39" i="16"/>
  <c r="AE35" i="16"/>
  <c r="AG29" i="16"/>
  <c r="AG19" i="16"/>
  <c r="AG15" i="16"/>
  <c r="AE19" i="16"/>
  <c r="AE15" i="16"/>
  <c r="AG9" i="16"/>
  <c r="X55" i="16"/>
  <c r="X53" i="16"/>
  <c r="V56" i="16"/>
  <c r="V52" i="16"/>
  <c r="X37" i="16"/>
  <c r="V37" i="16"/>
  <c r="X31" i="16"/>
  <c r="X18" i="16"/>
  <c r="V18" i="16"/>
  <c r="X12" i="16"/>
  <c r="O57" i="16"/>
  <c r="AF21" i="17" s="1"/>
  <c r="M57" i="16"/>
  <c r="M53" i="16"/>
  <c r="O39" i="16"/>
  <c r="AC21" i="17" s="1"/>
  <c r="O35" i="16"/>
  <c r="AC17" i="17" s="1"/>
  <c r="M39" i="16"/>
  <c r="M35" i="16"/>
  <c r="O29" i="16"/>
  <c r="AC11" i="17" s="1"/>
  <c r="O19" i="16"/>
  <c r="O15" i="16"/>
  <c r="M19" i="16"/>
  <c r="M15" i="16"/>
  <c r="O9" i="16"/>
  <c r="V12" i="16"/>
  <c r="AG53" i="16"/>
  <c r="X52" i="16"/>
  <c r="X46" i="16"/>
  <c r="AE31" i="16"/>
  <c r="AE28" i="16"/>
  <c r="X28" i="16"/>
  <c r="O28" i="16"/>
  <c r="AC10" i="17" s="1"/>
  <c r="F57" i="16"/>
  <c r="D53" i="16"/>
  <c r="F49" i="16"/>
  <c r="D48" i="16"/>
  <c r="F37" i="16"/>
  <c r="D37" i="16"/>
  <c r="F31" i="16"/>
  <c r="D28" i="16"/>
  <c r="M12" i="16"/>
  <c r="F19" i="16"/>
  <c r="F15" i="16"/>
  <c r="D17" i="16"/>
  <c r="H10" i="17"/>
  <c r="D10" i="16"/>
  <c r="F53" i="16"/>
  <c r="F48" i="16"/>
  <c r="D47" i="16"/>
  <c r="F36" i="16"/>
  <c r="D36" i="16"/>
  <c r="F30" i="16"/>
  <c r="D31" i="16"/>
  <c r="M11" i="16"/>
  <c r="F18" i="16"/>
  <c r="D20" i="16"/>
  <c r="D16" i="16"/>
  <c r="F12" i="16"/>
  <c r="E13" i="7"/>
  <c r="F5" i="10" s="1"/>
  <c r="F47" i="16"/>
  <c r="F46" i="16"/>
  <c r="F39" i="16"/>
  <c r="F35" i="16"/>
  <c r="D39" i="16"/>
  <c r="D35" i="16"/>
  <c r="F29" i="16"/>
  <c r="D30" i="16"/>
  <c r="M10" i="16"/>
  <c r="F17" i="16"/>
  <c r="D19" i="16"/>
  <c r="D15" i="16"/>
  <c r="F11" i="16"/>
  <c r="D12" i="16"/>
  <c r="D57" i="16"/>
  <c r="D49" i="16"/>
  <c r="D46" i="16"/>
  <c r="F38" i="16"/>
  <c r="F34" i="16"/>
  <c r="D38" i="16"/>
  <c r="D34" i="16"/>
  <c r="F28" i="16"/>
  <c r="D29" i="16"/>
  <c r="M9" i="16"/>
  <c r="F20" i="16"/>
  <c r="F16" i="16"/>
  <c r="D18" i="16"/>
  <c r="F10" i="16"/>
  <c r="D11" i="16"/>
  <c r="D9" i="16"/>
  <c r="AG197" i="5"/>
  <c r="AG177" i="5"/>
  <c r="AG219" i="5"/>
  <c r="AG187" i="5"/>
  <c r="AG185" i="5"/>
  <c r="AG173" i="5"/>
  <c r="AG235" i="5"/>
  <c r="AG233" i="5"/>
  <c r="AG180" i="5"/>
  <c r="AG183" i="5"/>
  <c r="AG204" i="5"/>
  <c r="AG168" i="5"/>
  <c r="AG162" i="5"/>
  <c r="AG151" i="5"/>
  <c r="AG149" i="5"/>
  <c r="AG113" i="5"/>
  <c r="AG111" i="5"/>
  <c r="AG114" i="5"/>
  <c r="AG104" i="5"/>
  <c r="AG136" i="5"/>
  <c r="AG102" i="5"/>
  <c r="AG129" i="5"/>
  <c r="AG120" i="5"/>
  <c r="AG91" i="5"/>
  <c r="AG14" i="5"/>
  <c r="AG77" i="5"/>
  <c r="AG87" i="5"/>
  <c r="AG33" i="5"/>
  <c r="AG55" i="5"/>
  <c r="AG53" i="5"/>
  <c r="AG23" i="5"/>
  <c r="AG229" i="5"/>
  <c r="AG203" i="5"/>
  <c r="AG172" i="5"/>
  <c r="V31" i="9"/>
  <c r="E36" i="10"/>
  <c r="AG221" i="5"/>
  <c r="AG212" i="5"/>
  <c r="AG228" i="5"/>
  <c r="AG211" i="5"/>
  <c r="AG231" i="5"/>
  <c r="AG190" i="5"/>
  <c r="AG189" i="5"/>
  <c r="AG209" i="5"/>
  <c r="AG202" i="5"/>
  <c r="AG234" i="5"/>
  <c r="AG213" i="5"/>
  <c r="AG217" i="5"/>
  <c r="AG169" i="5"/>
  <c r="AG167" i="5"/>
  <c r="AG157" i="5"/>
  <c r="AG147" i="5"/>
  <c r="AG155" i="5"/>
  <c r="AG146" i="5"/>
  <c r="AG112" i="5"/>
  <c r="AG141" i="5"/>
  <c r="AG128" i="5"/>
  <c r="AG115" i="5"/>
  <c r="AG98" i="5"/>
  <c r="AG137" i="5"/>
  <c r="AG142" i="5"/>
  <c r="AG117" i="5"/>
  <c r="AG99" i="5"/>
  <c r="AG101" i="5"/>
  <c r="AG131" i="5"/>
  <c r="AG106" i="5"/>
  <c r="AG42" i="5"/>
  <c r="AG36" i="5"/>
  <c r="AG73" i="5"/>
  <c r="AG46" i="5"/>
  <c r="AG78" i="5"/>
  <c r="AG29" i="5"/>
  <c r="AG67" i="5"/>
  <c r="AG25" i="5"/>
  <c r="AG11" i="5"/>
  <c r="AG47" i="5"/>
  <c r="AG48" i="5"/>
  <c r="AG8" i="5"/>
  <c r="AG44" i="5"/>
  <c r="AG18" i="5"/>
  <c r="AG51" i="5"/>
  <c r="AG17" i="5"/>
  <c r="AG80" i="5"/>
  <c r="AG3" i="5"/>
  <c r="AG85" i="5"/>
  <c r="AG50" i="5"/>
  <c r="AG57" i="5"/>
  <c r="AG227" i="5"/>
  <c r="AG195" i="5"/>
  <c r="AG232" i="5"/>
  <c r="AG225" i="5"/>
  <c r="AG215" i="5"/>
  <c r="AG123" i="5"/>
  <c r="AG109" i="5"/>
  <c r="AG65" i="5"/>
  <c r="AG37" i="5"/>
  <c r="AG63" i="5"/>
  <c r="V53" i="9"/>
  <c r="J54" i="9"/>
  <c r="M21" i="10"/>
  <c r="AG178" i="5"/>
  <c r="AG196" i="5"/>
  <c r="AG181" i="5"/>
  <c r="AG186" i="5"/>
  <c r="AG199" i="5"/>
  <c r="AG210" i="5"/>
  <c r="AG206" i="5"/>
  <c r="AG193" i="5"/>
  <c r="AG207" i="5"/>
  <c r="AG159" i="5"/>
  <c r="AG154" i="5"/>
  <c r="AG144" i="5"/>
  <c r="AG105" i="5"/>
  <c r="AG140" i="5"/>
  <c r="AG95" i="5"/>
  <c r="AG90" i="5"/>
  <c r="AG75" i="5"/>
  <c r="AG38" i="5"/>
  <c r="AG20" i="5"/>
  <c r="AG34" i="5"/>
  <c r="AG88" i="5"/>
  <c r="K23" i="9"/>
  <c r="P35" i="9"/>
  <c r="O54" i="9"/>
  <c r="P52" i="9" s="1"/>
  <c r="L30" i="10" s="1"/>
  <c r="K13" i="7"/>
  <c r="F14" i="10" s="1"/>
  <c r="O17" i="7"/>
  <c r="C36" i="7"/>
  <c r="C52" i="7"/>
  <c r="K43" i="7"/>
  <c r="F20" i="10" s="1"/>
  <c r="Q49" i="7"/>
  <c r="U22" i="7"/>
  <c r="U43" i="7"/>
  <c r="E19" i="7"/>
  <c r="Q48" i="7"/>
  <c r="E48" i="7"/>
  <c r="I17" i="7"/>
  <c r="Q21" i="7"/>
  <c r="I29" i="7"/>
  <c r="I47" i="7"/>
  <c r="O36" i="7"/>
  <c r="Q52" i="7"/>
  <c r="W28" i="7"/>
  <c r="F35" i="10" s="1"/>
  <c r="E52" i="7"/>
  <c r="I15" i="9"/>
  <c r="J13" i="9" s="1"/>
  <c r="D15" i="10" s="1"/>
  <c r="W52" i="7"/>
  <c r="W49" i="7"/>
  <c r="W44" i="7"/>
  <c r="G38" i="10" s="1"/>
  <c r="U36" i="7"/>
  <c r="U28" i="7"/>
  <c r="W21" i="7"/>
  <c r="U17" i="7"/>
  <c r="W13" i="7"/>
  <c r="F32" i="10" s="1"/>
  <c r="O52" i="7"/>
  <c r="Q47" i="7"/>
  <c r="O44" i="7"/>
  <c r="Q37" i="7"/>
  <c r="Q34" i="7"/>
  <c r="Q29" i="7"/>
  <c r="G26" i="10" s="1"/>
  <c r="I51" i="7"/>
  <c r="I43" i="7"/>
  <c r="K36" i="7"/>
  <c r="I32" i="7"/>
  <c r="K28" i="7"/>
  <c r="F17" i="10" s="1"/>
  <c r="E51" i="7"/>
  <c r="C47" i="7"/>
  <c r="E43" i="7"/>
  <c r="F11" i="10" s="1"/>
  <c r="E37" i="7"/>
  <c r="E34" i="7"/>
  <c r="E29" i="7"/>
  <c r="G8" i="10" s="1"/>
  <c r="O21" i="7"/>
  <c r="I21" i="7"/>
  <c r="I13" i="7"/>
  <c r="U52" i="7"/>
  <c r="W47" i="7"/>
  <c r="U44" i="7"/>
  <c r="W37" i="7"/>
  <c r="W34" i="7"/>
  <c r="W29" i="7"/>
  <c r="G35" i="10" s="1"/>
  <c r="U21" i="7"/>
  <c r="U23" i="7" s="1"/>
  <c r="U13" i="7"/>
  <c r="Q51" i="7"/>
  <c r="O47" i="7"/>
  <c r="Q43" i="7"/>
  <c r="F29" i="10" s="1"/>
  <c r="O37" i="7"/>
  <c r="Q32" i="7"/>
  <c r="O29" i="7"/>
  <c r="K52" i="7"/>
  <c r="K49" i="7"/>
  <c r="K44" i="7"/>
  <c r="G20" i="10" s="1"/>
  <c r="I36" i="7"/>
  <c r="I28" i="7"/>
  <c r="C51" i="7"/>
  <c r="C43" i="7"/>
  <c r="C37" i="7"/>
  <c r="E32" i="7"/>
  <c r="C29" i="7"/>
  <c r="Q22" i="7"/>
  <c r="Q19" i="7"/>
  <c r="Q14" i="7"/>
  <c r="G23" i="10" s="1"/>
  <c r="K22" i="7"/>
  <c r="K19" i="7"/>
  <c r="K14" i="7"/>
  <c r="G14" i="10" s="1"/>
  <c r="W51" i="7"/>
  <c r="U47" i="7"/>
  <c r="W43" i="7"/>
  <c r="F38" i="10" s="1"/>
  <c r="U37" i="7"/>
  <c r="W32" i="7"/>
  <c r="U29" i="7"/>
  <c r="W22" i="7"/>
  <c r="W19" i="7"/>
  <c r="W14" i="7"/>
  <c r="G32" i="10" s="1"/>
  <c r="O51" i="7"/>
  <c r="O43" i="7"/>
  <c r="Q36" i="7"/>
  <c r="O32" i="7"/>
  <c r="Q28" i="7"/>
  <c r="F26" i="10" s="1"/>
  <c r="I52" i="7"/>
  <c r="K47" i="7"/>
  <c r="I44" i="7"/>
  <c r="K37" i="7"/>
  <c r="K34" i="7"/>
  <c r="K29" i="7"/>
  <c r="G17" i="10" s="1"/>
  <c r="E49" i="7"/>
  <c r="E44" i="7"/>
  <c r="G11" i="10" s="1"/>
  <c r="E28" i="7"/>
  <c r="F8" i="10" s="1"/>
  <c r="E36" i="7"/>
  <c r="C32" i="7"/>
  <c r="C28" i="7"/>
  <c r="C30" i="7" s="1"/>
  <c r="D29" i="7" s="1"/>
  <c r="E8" i="10" s="1"/>
  <c r="O22" i="7"/>
  <c r="Q17" i="7"/>
  <c r="O14" i="7"/>
  <c r="I22" i="7"/>
  <c r="K17" i="7"/>
  <c r="I14" i="7"/>
  <c r="I84" i="5"/>
  <c r="I45" i="5"/>
  <c r="AG218" i="5"/>
  <c r="AG216" i="5"/>
  <c r="AG150" i="5"/>
  <c r="AG170" i="5"/>
  <c r="AG134" i="5"/>
  <c r="AG100" i="5"/>
  <c r="AG108" i="5"/>
  <c r="AG127" i="5"/>
  <c r="AG15" i="5"/>
  <c r="AG41" i="5"/>
  <c r="AG59" i="5"/>
  <c r="AG32" i="5"/>
  <c r="AG70" i="5"/>
  <c r="AG26" i="5"/>
  <c r="AG68" i="5"/>
  <c r="AG6" i="5"/>
  <c r="AG56" i="5"/>
  <c r="AG54" i="5"/>
  <c r="AG43" i="5"/>
  <c r="AG2" i="5"/>
  <c r="AG52" i="5"/>
  <c r="AG24" i="5"/>
  <c r="AG28" i="5"/>
  <c r="K21" i="7"/>
  <c r="Q13" i="7"/>
  <c r="F23" i="10" s="1"/>
  <c r="C44" i="7"/>
  <c r="K32" i="7"/>
  <c r="K51" i="7"/>
  <c r="U14" i="7"/>
  <c r="U32" i="7"/>
  <c r="U51" i="7"/>
  <c r="AG148" i="5"/>
  <c r="AG143" i="5"/>
  <c r="AG145" i="5"/>
  <c r="AG132" i="5"/>
  <c r="AG116" i="5"/>
  <c r="AG35" i="5"/>
  <c r="AG74" i="5"/>
  <c r="AG62" i="5"/>
  <c r="AG16" i="5"/>
  <c r="AG76" i="5"/>
  <c r="AG10" i="5"/>
  <c r="AG69" i="5"/>
  <c r="AG81" i="5"/>
  <c r="AG49" i="5"/>
  <c r="AG66" i="5"/>
  <c r="AG5" i="5"/>
  <c r="AG12" i="5"/>
  <c r="O13" i="7"/>
  <c r="E47" i="7"/>
  <c r="I37" i="7"/>
  <c r="O28" i="7"/>
  <c r="Q44" i="7"/>
  <c r="G29" i="10" s="1"/>
  <c r="W17" i="7"/>
  <c r="W36" i="7"/>
  <c r="C6" i="9"/>
  <c r="V34" i="9"/>
  <c r="P14" i="9"/>
  <c r="V18" i="9"/>
  <c r="I33" i="10" s="1"/>
  <c r="D14" i="9"/>
  <c r="E6" i="10" s="1"/>
  <c r="P21" i="9"/>
  <c r="V48" i="9"/>
  <c r="D30" i="9"/>
  <c r="E39" i="9"/>
  <c r="P44" i="9"/>
  <c r="P18" i="9"/>
  <c r="I24" i="10" s="1"/>
  <c r="P17" i="9"/>
  <c r="U39" i="9"/>
  <c r="V38" i="9" s="1"/>
  <c r="M36" i="10" s="1"/>
  <c r="J49" i="9"/>
  <c r="I21" i="10" s="1"/>
  <c r="J48" i="9"/>
  <c r="E54" i="9"/>
  <c r="W23" i="9"/>
  <c r="V44" i="9"/>
  <c r="O31" i="9"/>
  <c r="P29" i="9" s="1"/>
  <c r="D27" i="10" s="1"/>
  <c r="J30" i="9"/>
  <c r="E18" i="10" s="1"/>
  <c r="J29" i="9"/>
  <c r="D18" i="10" s="1"/>
  <c r="C39" i="9"/>
  <c r="D38" i="9" s="1"/>
  <c r="M9" i="10" s="1"/>
  <c r="C19" i="9"/>
  <c r="D17" i="9" s="1"/>
  <c r="H6" i="10" s="1"/>
  <c r="K39" i="9"/>
  <c r="Q39" i="9"/>
  <c r="D49" i="9"/>
  <c r="D45" i="9"/>
  <c r="J37" i="9"/>
  <c r="L18" i="10" s="1"/>
  <c r="J38" i="9"/>
  <c r="M18" i="10" s="1"/>
  <c r="W39" i="9"/>
  <c r="O50" i="9"/>
  <c r="P48" i="9" s="1"/>
  <c r="H30" i="10" s="1"/>
  <c r="I35" i="9"/>
  <c r="J33" i="9" s="1"/>
  <c r="H18" i="10" s="1"/>
  <c r="C35" i="9"/>
  <c r="D33" i="9" s="1"/>
  <c r="H9" i="10" s="1"/>
  <c r="Q54" i="9"/>
  <c r="E23" i="9"/>
  <c r="W54" i="9"/>
  <c r="V14" i="9"/>
  <c r="I46" i="9"/>
  <c r="J44" i="9" s="1"/>
  <c r="D21" i="10" s="1"/>
  <c r="P37" i="9"/>
  <c r="L27" i="10" s="1"/>
  <c r="P38" i="9"/>
  <c r="M27" i="10" s="1"/>
  <c r="D52" i="9"/>
  <c r="D22" i="9"/>
  <c r="K33" i="7"/>
  <c r="Q33" i="7"/>
  <c r="W18" i="7"/>
  <c r="C53" i="7"/>
  <c r="D51" i="7" s="1"/>
  <c r="L11" i="10" s="1"/>
  <c r="K48" i="7"/>
  <c r="I48" i="7"/>
  <c r="I33" i="7"/>
  <c r="K18" i="7"/>
  <c r="I18" i="7"/>
  <c r="O48" i="7"/>
  <c r="O33" i="7"/>
  <c r="Q18" i="7"/>
  <c r="AR27" i="17" s="1"/>
  <c r="O18" i="7"/>
  <c r="W48" i="7"/>
  <c r="U48" i="7"/>
  <c r="U49" i="7" s="1"/>
  <c r="V48" i="7" s="1"/>
  <c r="I38" i="10" s="1"/>
  <c r="W33" i="7"/>
  <c r="U33" i="7"/>
  <c r="U18" i="7"/>
  <c r="C48" i="7"/>
  <c r="E33" i="7"/>
  <c r="C33" i="7"/>
  <c r="V22" i="7"/>
  <c r="M32" i="10" s="1"/>
  <c r="E21" i="7"/>
  <c r="E18" i="7"/>
  <c r="E22" i="7"/>
  <c r="C18" i="7"/>
  <c r="U25" i="7"/>
  <c r="C35" i="10" s="1"/>
  <c r="C25" i="7"/>
  <c r="C8" i="10" s="1"/>
  <c r="I40" i="7"/>
  <c r="C20" i="10" s="1"/>
  <c r="O25" i="7"/>
  <c r="C26" i="10" s="1"/>
  <c r="E14" i="7"/>
  <c r="G5" i="10" s="1"/>
  <c r="I25" i="7"/>
  <c r="C17" i="10" s="1"/>
  <c r="O40" i="7"/>
  <c r="C29" i="10" s="1"/>
  <c r="E17" i="7"/>
  <c r="C40" i="7"/>
  <c r="C11" i="10" s="1"/>
  <c r="I10" i="7"/>
  <c r="C14" i="10" s="1"/>
  <c r="O10" i="7"/>
  <c r="C23" i="10" s="1"/>
  <c r="U10" i="7"/>
  <c r="C32" i="10" s="1"/>
  <c r="U40" i="7"/>
  <c r="C38" i="10" s="1"/>
  <c r="C22" i="7"/>
  <c r="C17" i="7"/>
  <c r="C13" i="7"/>
  <c r="C21" i="7"/>
  <c r="C14" i="7"/>
  <c r="I197" i="5"/>
  <c r="I227" i="5"/>
  <c r="I177" i="5"/>
  <c r="I195" i="5"/>
  <c r="I219" i="5"/>
  <c r="I232" i="5"/>
  <c r="I187" i="5"/>
  <c r="I185" i="5"/>
  <c r="I173" i="5"/>
  <c r="I225" i="5"/>
  <c r="I235" i="5"/>
  <c r="I215" i="5"/>
  <c r="I233" i="5"/>
  <c r="I180" i="5"/>
  <c r="I183" i="5"/>
  <c r="I204" i="5"/>
  <c r="I168" i="5"/>
  <c r="I148" i="5"/>
  <c r="I162" i="5"/>
  <c r="I151" i="5"/>
  <c r="I149" i="5"/>
  <c r="I143" i="5"/>
  <c r="I145" i="5"/>
  <c r="I113" i="5"/>
  <c r="I123" i="5"/>
  <c r="I111" i="5"/>
  <c r="I114" i="5"/>
  <c r="I104" i="5"/>
  <c r="I132" i="5"/>
  <c r="I136" i="5"/>
  <c r="I102" i="5"/>
  <c r="I116" i="5"/>
  <c r="I129" i="5"/>
  <c r="I120" i="5"/>
  <c r="I109" i="5"/>
  <c r="I91" i="5"/>
  <c r="I35" i="5"/>
  <c r="I74" i="5"/>
  <c r="I62" i="5"/>
  <c r="I16" i="5"/>
  <c r="I65" i="5"/>
  <c r="I14" i="5"/>
  <c r="I37" i="5"/>
  <c r="I76" i="5"/>
  <c r="I77" i="5"/>
  <c r="I10" i="5"/>
  <c r="I87" i="5"/>
  <c r="I33" i="5"/>
  <c r="I69" i="5"/>
  <c r="I81" i="5"/>
  <c r="I49" i="5"/>
  <c r="I66" i="5"/>
  <c r="I55" i="5"/>
  <c r="I53" i="5"/>
  <c r="I5" i="5"/>
  <c r="I63" i="5"/>
  <c r="I23" i="5"/>
  <c r="I12" i="5"/>
  <c r="I208" i="5"/>
  <c r="I223" i="5"/>
  <c r="I191" i="5"/>
  <c r="I192" i="5"/>
  <c r="I174" i="5"/>
  <c r="I188" i="5"/>
  <c r="I182" i="5"/>
  <c r="I184" i="5"/>
  <c r="I226" i="5"/>
  <c r="I222" i="5"/>
  <c r="I200" i="5"/>
  <c r="I201" i="5"/>
  <c r="I214" i="5"/>
  <c r="I194" i="5"/>
  <c r="I230" i="5"/>
  <c r="I171" i="5"/>
  <c r="I164" i="5"/>
  <c r="I166" i="5"/>
  <c r="I161" i="5"/>
  <c r="I160" i="5"/>
  <c r="I163" i="5"/>
  <c r="I156" i="5"/>
  <c r="I158" i="5"/>
  <c r="I135" i="5"/>
  <c r="I110" i="5"/>
  <c r="I121" i="5"/>
  <c r="I119" i="5"/>
  <c r="I94" i="5"/>
  <c r="I97" i="5"/>
  <c r="I96" i="5"/>
  <c r="I124" i="5"/>
  <c r="I107" i="5"/>
  <c r="I126" i="5"/>
  <c r="I133" i="5"/>
  <c r="I139" i="5"/>
  <c r="I27" i="5"/>
  <c r="I60" i="5"/>
  <c r="I30" i="5"/>
  <c r="I21" i="5"/>
  <c r="I31" i="5"/>
  <c r="I19" i="5"/>
  <c r="I64" i="5"/>
  <c r="I72" i="5"/>
  <c r="I13" i="5"/>
  <c r="I58" i="5"/>
  <c r="I9" i="5"/>
  <c r="I86" i="5"/>
  <c r="I61" i="5"/>
  <c r="I82" i="5"/>
  <c r="I92" i="5"/>
  <c r="I40" i="5"/>
  <c r="I39" i="5"/>
  <c r="I79" i="5"/>
  <c r="I22" i="5"/>
  <c r="I4" i="5"/>
  <c r="I83" i="5"/>
  <c r="I221" i="5"/>
  <c r="I229" i="5"/>
  <c r="I212" i="5"/>
  <c r="I228" i="5"/>
  <c r="I205" i="5"/>
  <c r="I211" i="5"/>
  <c r="I231" i="5"/>
  <c r="I190" i="5"/>
  <c r="I189" i="5"/>
  <c r="I203" i="5"/>
  <c r="I209" i="5"/>
  <c r="I202" i="5"/>
  <c r="I234" i="5"/>
  <c r="I213" i="5"/>
  <c r="I217" i="5"/>
  <c r="I220" i="5"/>
  <c r="I169" i="5"/>
  <c r="I167" i="5"/>
  <c r="I165" i="5"/>
  <c r="I172" i="5"/>
  <c r="I157" i="5"/>
  <c r="I147" i="5"/>
  <c r="I155" i="5"/>
  <c r="I146" i="5"/>
  <c r="I112" i="5"/>
  <c r="I141" i="5"/>
  <c r="I128" i="5"/>
  <c r="I115" i="5"/>
  <c r="I98" i="5"/>
  <c r="I137" i="5"/>
  <c r="I142" i="5"/>
  <c r="I117" i="5"/>
  <c r="I99" i="5"/>
  <c r="I101" i="5"/>
  <c r="I131" i="5"/>
  <c r="I106" i="5"/>
  <c r="I42" i="5"/>
  <c r="I36" i="5"/>
  <c r="I73" i="5"/>
  <c r="I46" i="5"/>
  <c r="I78" i="5"/>
  <c r="I89" i="5"/>
  <c r="I29" i="5"/>
  <c r="I67" i="5"/>
  <c r="I25" i="5"/>
  <c r="I11" i="5"/>
  <c r="I47" i="5"/>
  <c r="I48" i="5"/>
  <c r="I8" i="5"/>
  <c r="I44" i="5"/>
  <c r="I18" i="5"/>
  <c r="I51" i="5"/>
  <c r="I17" i="5"/>
  <c r="I80" i="5"/>
  <c r="I7" i="5"/>
  <c r="I3" i="5"/>
  <c r="I85" i="5"/>
  <c r="I50" i="5"/>
  <c r="I57" i="5"/>
  <c r="C10" i="7"/>
  <c r="C5" i="10" s="1"/>
  <c r="Q75" i="7" l="1"/>
  <c r="W83" i="7"/>
  <c r="K68" i="7"/>
  <c r="M112" i="16"/>
  <c r="I98" i="7"/>
  <c r="J96" i="7" s="1"/>
  <c r="C60" i="7"/>
  <c r="D58" i="7" s="1"/>
  <c r="O79" i="7"/>
  <c r="P77" i="7" s="1"/>
  <c r="V63" i="7"/>
  <c r="V62" i="7"/>
  <c r="V64" i="7" s="1"/>
  <c r="V93" i="7"/>
  <c r="V92" i="7"/>
  <c r="V94" i="7" s="1"/>
  <c r="V86" i="16"/>
  <c r="O90" i="7"/>
  <c r="P89" i="7" s="1"/>
  <c r="P88" i="7"/>
  <c r="P90" i="7" s="1"/>
  <c r="P59" i="7"/>
  <c r="P60" i="7" s="1"/>
  <c r="D89" i="7"/>
  <c r="D90" i="7" s="1"/>
  <c r="E83" i="7"/>
  <c r="E90" i="7"/>
  <c r="U83" i="7"/>
  <c r="V81" i="7" s="1"/>
  <c r="O75" i="7"/>
  <c r="P74" i="7" s="1"/>
  <c r="M113" i="16"/>
  <c r="V112" i="16"/>
  <c r="M94" i="16"/>
  <c r="K98" i="7"/>
  <c r="E60" i="7"/>
  <c r="W98" i="7"/>
  <c r="I90" i="7"/>
  <c r="J89" i="7" s="1"/>
  <c r="J88" i="7"/>
  <c r="J90" i="7" s="1"/>
  <c r="V104" i="16"/>
  <c r="V113" i="16" s="1"/>
  <c r="D68" i="16"/>
  <c r="D77" i="16" s="1"/>
  <c r="M68" i="16"/>
  <c r="D94" i="16"/>
  <c r="D95" i="16" s="1"/>
  <c r="P97" i="7"/>
  <c r="P98" i="7" s="1"/>
  <c r="J67" i="7"/>
  <c r="I60" i="7"/>
  <c r="J58" i="7" s="1"/>
  <c r="D63" i="7"/>
  <c r="D62" i="7"/>
  <c r="D64" i="7" s="1"/>
  <c r="O64" i="7"/>
  <c r="P62" i="7" s="1"/>
  <c r="D74" i="7"/>
  <c r="D75" i="7" s="1"/>
  <c r="K75" i="7"/>
  <c r="U75" i="7"/>
  <c r="V74" i="7" s="1"/>
  <c r="J97" i="7"/>
  <c r="J98" i="7" s="1"/>
  <c r="M86" i="16"/>
  <c r="M76" i="16"/>
  <c r="U68" i="7"/>
  <c r="V67" i="7" s="1"/>
  <c r="V66" i="7"/>
  <c r="C68" i="7"/>
  <c r="D66" i="7" s="1"/>
  <c r="W60" i="7"/>
  <c r="E98" i="7"/>
  <c r="E75" i="7"/>
  <c r="W75" i="7"/>
  <c r="V94" i="16"/>
  <c r="V95" i="16" s="1"/>
  <c r="I83" i="7"/>
  <c r="J81" i="7" s="1"/>
  <c r="P93" i="7"/>
  <c r="O94" i="7"/>
  <c r="P92" i="7" s="1"/>
  <c r="K60" i="7"/>
  <c r="J63" i="7"/>
  <c r="J62" i="7"/>
  <c r="I68" i="7"/>
  <c r="J66" i="7" s="1"/>
  <c r="J68" i="7" s="1"/>
  <c r="K90" i="7"/>
  <c r="W90" i="7"/>
  <c r="Q90" i="7"/>
  <c r="Q53" i="7"/>
  <c r="U45" i="7"/>
  <c r="V43" i="7" s="1"/>
  <c r="D38" i="10" s="1"/>
  <c r="K83" i="7"/>
  <c r="D78" i="7"/>
  <c r="D77" i="7"/>
  <c r="C98" i="7"/>
  <c r="D96" i="7" s="1"/>
  <c r="D59" i="7"/>
  <c r="D60" i="7" s="1"/>
  <c r="D104" i="16"/>
  <c r="V76" i="16"/>
  <c r="O83" i="7"/>
  <c r="P82" i="7" s="1"/>
  <c r="E68" i="7"/>
  <c r="U38" i="7"/>
  <c r="V37" i="7" s="1"/>
  <c r="M35" i="10" s="1"/>
  <c r="Q68" i="7"/>
  <c r="U79" i="7"/>
  <c r="V77" i="7" s="1"/>
  <c r="V82" i="7"/>
  <c r="V83" i="7" s="1"/>
  <c r="O68" i="7"/>
  <c r="P66" i="7" s="1"/>
  <c r="D93" i="7"/>
  <c r="C94" i="7"/>
  <c r="D92" i="7" s="1"/>
  <c r="J59" i="7"/>
  <c r="J60" i="7" s="1"/>
  <c r="D112" i="16"/>
  <c r="I79" i="7"/>
  <c r="J77" i="7" s="1"/>
  <c r="Q83" i="7"/>
  <c r="J74" i="7"/>
  <c r="J75" i="7" s="1"/>
  <c r="U90" i="7"/>
  <c r="V88" i="7" s="1"/>
  <c r="Q60" i="7"/>
  <c r="Q98" i="7"/>
  <c r="W68" i="7"/>
  <c r="U98" i="7"/>
  <c r="V96" i="7" s="1"/>
  <c r="C83" i="7"/>
  <c r="D81" i="7" s="1"/>
  <c r="V68" i="16"/>
  <c r="U60" i="7"/>
  <c r="V58" i="7" s="1"/>
  <c r="I94" i="7"/>
  <c r="J92" i="7" s="1"/>
  <c r="I53" i="7"/>
  <c r="J52" i="7" s="1"/>
  <c r="M20" i="10" s="1"/>
  <c r="AE21" i="16"/>
  <c r="AF16" i="16" s="1"/>
  <c r="U30" i="7"/>
  <c r="V28" i="7" s="1"/>
  <c r="D35" i="10" s="1"/>
  <c r="AE58" i="16"/>
  <c r="H12" i="17"/>
  <c r="BP13" i="17"/>
  <c r="H11" i="17"/>
  <c r="K17" i="17"/>
  <c r="H19" i="17"/>
  <c r="N17" i="17"/>
  <c r="K13" i="17"/>
  <c r="AU10" i="17"/>
  <c r="Z17" i="17"/>
  <c r="AU20" i="17"/>
  <c r="BP19" i="17"/>
  <c r="N18" i="17"/>
  <c r="H17" i="17"/>
  <c r="K20" i="17"/>
  <c r="H18" i="17"/>
  <c r="N10" i="17"/>
  <c r="K19" i="17"/>
  <c r="AU21" i="17"/>
  <c r="BP11" i="17"/>
  <c r="BP20" i="17"/>
  <c r="Z10" i="17"/>
  <c r="K21" i="17"/>
  <c r="Z21" i="17"/>
  <c r="AU17" i="17"/>
  <c r="AU12" i="17"/>
  <c r="O45" i="7"/>
  <c r="P43" i="7" s="1"/>
  <c r="D29" i="10" s="1"/>
  <c r="H21" i="17"/>
  <c r="N11" i="17"/>
  <c r="K12" i="17"/>
  <c r="AX10" i="17"/>
  <c r="Z20" i="17"/>
  <c r="Z18" i="17"/>
  <c r="AX12" i="17"/>
  <c r="AU18" i="17"/>
  <c r="N20" i="17"/>
  <c r="AU19" i="17"/>
  <c r="AX11" i="17"/>
  <c r="E53" i="7"/>
  <c r="H16" i="17"/>
  <c r="N13" i="17"/>
  <c r="AX16" i="17"/>
  <c r="AX17" i="17"/>
  <c r="AX20" i="17"/>
  <c r="Z13" i="17"/>
  <c r="AX13" i="17"/>
  <c r="BP12" i="17"/>
  <c r="BP21" i="17"/>
  <c r="N12" i="17"/>
  <c r="Z12" i="17"/>
  <c r="K11" i="17"/>
  <c r="H13" i="17"/>
  <c r="K18" i="17"/>
  <c r="H20" i="17"/>
  <c r="AX19" i="17"/>
  <c r="Z11" i="17"/>
  <c r="AX21" i="17"/>
  <c r="BP18" i="17"/>
  <c r="AU13" i="17"/>
  <c r="C49" i="7"/>
  <c r="D47" i="7" s="1"/>
  <c r="H11" i="10" s="1"/>
  <c r="K10" i="17"/>
  <c r="N21" i="17"/>
  <c r="N19" i="17"/>
  <c r="AU11" i="17"/>
  <c r="N16" i="17"/>
  <c r="Z19" i="17"/>
  <c r="AX18" i="17"/>
  <c r="AR10" i="17"/>
  <c r="AR17" i="17"/>
  <c r="AR18" i="17"/>
  <c r="AR13" i="17"/>
  <c r="AR11" i="17"/>
  <c r="AR21" i="17"/>
  <c r="AR20" i="17"/>
  <c r="AR19" i="17"/>
  <c r="AR12" i="17"/>
  <c r="BM21" i="17"/>
  <c r="BM19" i="17"/>
  <c r="BM10" i="17"/>
  <c r="BJ17" i="17"/>
  <c r="BM18" i="17"/>
  <c r="BJ18" i="17"/>
  <c r="BJ13" i="17"/>
  <c r="BM11" i="17"/>
  <c r="BJ11" i="17"/>
  <c r="BJ21" i="17"/>
  <c r="BM13" i="17"/>
  <c r="D40" i="16"/>
  <c r="BJ10" i="17"/>
  <c r="BJ20" i="17"/>
  <c r="BM17" i="17"/>
  <c r="BM12" i="17"/>
  <c r="BJ12" i="17"/>
  <c r="BJ19" i="17"/>
  <c r="BM20" i="17"/>
  <c r="D50" i="16"/>
  <c r="E46" i="16" s="1"/>
  <c r="AC14" i="17"/>
  <c r="AD12" i="17" s="1"/>
  <c r="M40" i="16"/>
  <c r="AE40" i="16"/>
  <c r="AF35" i="16" s="1"/>
  <c r="V21" i="16"/>
  <c r="W19" i="16" s="1"/>
  <c r="M21" i="16"/>
  <c r="N16" i="16" s="1"/>
  <c r="F40" i="16"/>
  <c r="G35" i="16" s="1"/>
  <c r="K16" i="17"/>
  <c r="BP17" i="17"/>
  <c r="AG21" i="16"/>
  <c r="AH18" i="16" s="1"/>
  <c r="BJ16" i="17"/>
  <c r="V40" i="16"/>
  <c r="W37" i="16" s="1"/>
  <c r="BP10" i="17"/>
  <c r="O40" i="16"/>
  <c r="P38" i="16" s="1"/>
  <c r="AC16" i="17"/>
  <c r="AG40" i="16"/>
  <c r="AH38" i="16" s="1"/>
  <c r="BM16" i="17"/>
  <c r="AF22" i="17"/>
  <c r="X40" i="16"/>
  <c r="Y38" i="16" s="1"/>
  <c r="AU16" i="17"/>
  <c r="O21" i="16"/>
  <c r="P20" i="16" s="1"/>
  <c r="Z16" i="17"/>
  <c r="X21" i="16"/>
  <c r="Y18" i="16" s="1"/>
  <c r="AR16" i="17"/>
  <c r="AF10" i="17"/>
  <c r="AG58" i="16"/>
  <c r="BP16" i="17"/>
  <c r="J5" i="10"/>
  <c r="H26" i="17"/>
  <c r="K26" i="10"/>
  <c r="AU27" i="17"/>
  <c r="J17" i="10"/>
  <c r="AC26" i="17"/>
  <c r="N38" i="10"/>
  <c r="BP31" i="17"/>
  <c r="J8" i="10"/>
  <c r="K26" i="17"/>
  <c r="O20" i="10"/>
  <c r="AF32" i="17"/>
  <c r="O8" i="10"/>
  <c r="K32" i="17"/>
  <c r="O11" i="10"/>
  <c r="N32" i="17"/>
  <c r="K8" i="10"/>
  <c r="K27" i="17"/>
  <c r="K23" i="10"/>
  <c r="K14" i="10"/>
  <c r="Z27" i="17"/>
  <c r="J32" i="10"/>
  <c r="BJ26" i="17"/>
  <c r="N8" i="10"/>
  <c r="K31" i="17"/>
  <c r="J20" i="10"/>
  <c r="AF26" i="17"/>
  <c r="N26" i="10"/>
  <c r="AU31" i="17"/>
  <c r="N32" i="10"/>
  <c r="BJ31" i="17"/>
  <c r="K29" i="10"/>
  <c r="AX27" i="17"/>
  <c r="K5" i="10"/>
  <c r="H27" i="17"/>
  <c r="J14" i="10"/>
  <c r="Z26" i="17"/>
  <c r="O32" i="10"/>
  <c r="BJ32" i="17"/>
  <c r="O23" i="10"/>
  <c r="AR32" i="17"/>
  <c r="AR37" i="17" s="1"/>
  <c r="J26" i="10"/>
  <c r="AU26" i="17"/>
  <c r="N29" i="10"/>
  <c r="AX31" i="17"/>
  <c r="N17" i="10"/>
  <c r="AC31" i="17"/>
  <c r="O38" i="10"/>
  <c r="BP32" i="17"/>
  <c r="BP38" i="17" s="1"/>
  <c r="O29" i="10"/>
  <c r="AX32" i="17"/>
  <c r="N23" i="10"/>
  <c r="AR31" i="17"/>
  <c r="K20" i="10"/>
  <c r="AF27" i="17"/>
  <c r="N35" i="10"/>
  <c r="BM31" i="17"/>
  <c r="J35" i="10"/>
  <c r="BM26" i="17"/>
  <c r="K11" i="10"/>
  <c r="N27" i="17"/>
  <c r="O5" i="10"/>
  <c r="H32" i="17"/>
  <c r="K35" i="10"/>
  <c r="BM27" i="17"/>
  <c r="K17" i="10"/>
  <c r="AC27" i="17"/>
  <c r="AC37" i="17" s="1"/>
  <c r="J11" i="10"/>
  <c r="N26" i="17"/>
  <c r="J23" i="10"/>
  <c r="AR26" i="17"/>
  <c r="C38" i="7"/>
  <c r="D37" i="7" s="1"/>
  <c r="M8" i="10" s="1"/>
  <c r="J38" i="10"/>
  <c r="BP26" i="17"/>
  <c r="J29" i="10"/>
  <c r="AX26" i="17"/>
  <c r="N5" i="10"/>
  <c r="H31" i="17"/>
  <c r="U19" i="7"/>
  <c r="V18" i="7" s="1"/>
  <c r="I32" i="10" s="1"/>
  <c r="K38" i="10"/>
  <c r="BP27" i="17"/>
  <c r="I49" i="7"/>
  <c r="J47" i="7" s="1"/>
  <c r="H20" i="10" s="1"/>
  <c r="K32" i="10"/>
  <c r="BJ27" i="17"/>
  <c r="N20" i="10"/>
  <c r="AF31" i="17"/>
  <c r="N14" i="10"/>
  <c r="Z31" i="17"/>
  <c r="O17" i="10"/>
  <c r="AC32" i="17"/>
  <c r="O14" i="10"/>
  <c r="Z32" i="17"/>
  <c r="O35" i="10"/>
  <c r="BM32" i="17"/>
  <c r="N11" i="10"/>
  <c r="N31" i="17"/>
  <c r="O26" i="10"/>
  <c r="AU32" i="17"/>
  <c r="M50" i="16"/>
  <c r="N47" i="16" s="1"/>
  <c r="P53" i="9"/>
  <c r="V22" i="9"/>
  <c r="M33" i="10" s="1"/>
  <c r="J34" i="9"/>
  <c r="I18" i="10" s="1"/>
  <c r="F32" i="16"/>
  <c r="F50" i="16"/>
  <c r="G48" i="16" s="1"/>
  <c r="F13" i="16"/>
  <c r="X58" i="16"/>
  <c r="Y52" i="16" s="1"/>
  <c r="AG32" i="16"/>
  <c r="O30" i="7"/>
  <c r="P29" i="7" s="1"/>
  <c r="E26" i="10" s="1"/>
  <c r="I30" i="7"/>
  <c r="J29" i="7" s="1"/>
  <c r="E17" i="10" s="1"/>
  <c r="E35" i="16"/>
  <c r="D32" i="16"/>
  <c r="E30" i="16" s="1"/>
  <c r="O32" i="16"/>
  <c r="P29" i="16" s="1"/>
  <c r="AE50" i="16"/>
  <c r="O50" i="16"/>
  <c r="AG50" i="16"/>
  <c r="AG59" i="16" s="1"/>
  <c r="AI48" i="16" s="1"/>
  <c r="F58" i="16"/>
  <c r="G54" i="16" s="1"/>
  <c r="V50" i="16"/>
  <c r="N37" i="16"/>
  <c r="M58" i="16"/>
  <c r="N54" i="16" s="1"/>
  <c r="AE13" i="16"/>
  <c r="AF12" i="16" s="1"/>
  <c r="M13" i="16"/>
  <c r="N11" i="16" s="1"/>
  <c r="D21" i="16"/>
  <c r="W72" i="16" s="1"/>
  <c r="F21" i="16"/>
  <c r="X32" i="16"/>
  <c r="V58" i="16"/>
  <c r="W57" i="16" s="1"/>
  <c r="AG13" i="16"/>
  <c r="V13" i="16"/>
  <c r="X13" i="16"/>
  <c r="AE32" i="16"/>
  <c r="AF28" i="16" s="1"/>
  <c r="X50" i="16"/>
  <c r="O13" i="16"/>
  <c r="O58" i="16"/>
  <c r="P54" i="16" s="1"/>
  <c r="V32" i="16"/>
  <c r="D58" i="16"/>
  <c r="E52" i="16" s="1"/>
  <c r="M32" i="16"/>
  <c r="D13" i="16"/>
  <c r="W101" i="16" s="1"/>
  <c r="O34" i="7"/>
  <c r="P32" i="7" s="1"/>
  <c r="H26" i="10" s="1"/>
  <c r="O15" i="7"/>
  <c r="P14" i="7" s="1"/>
  <c r="E23" i="10" s="1"/>
  <c r="U53" i="7"/>
  <c r="V51" i="7" s="1"/>
  <c r="L38" i="10" s="1"/>
  <c r="I38" i="7"/>
  <c r="J37" i="7" s="1"/>
  <c r="M17" i="10" s="1"/>
  <c r="I23" i="7"/>
  <c r="J22" i="7" s="1"/>
  <c r="M14" i="10" s="1"/>
  <c r="O38" i="7"/>
  <c r="P37" i="7" s="1"/>
  <c r="M26" i="10" s="1"/>
  <c r="U15" i="7"/>
  <c r="V13" i="7" s="1"/>
  <c r="I19" i="7"/>
  <c r="J17" i="7" s="1"/>
  <c r="H14" i="10" s="1"/>
  <c r="O49" i="7"/>
  <c r="P48" i="7" s="1"/>
  <c r="I29" i="10" s="1"/>
  <c r="D52" i="7"/>
  <c r="M11" i="10" s="1"/>
  <c r="C34" i="7"/>
  <c r="D32" i="7" s="1"/>
  <c r="H8" i="10" s="1"/>
  <c r="U34" i="7"/>
  <c r="V33" i="7" s="1"/>
  <c r="I35" i="10" s="1"/>
  <c r="O19" i="7"/>
  <c r="P17" i="7" s="1"/>
  <c r="H23" i="10" s="1"/>
  <c r="O23" i="7"/>
  <c r="P22" i="7" s="1"/>
  <c r="M23" i="10" s="1"/>
  <c r="W53" i="7"/>
  <c r="K53" i="7"/>
  <c r="K38" i="7"/>
  <c r="Q45" i="7"/>
  <c r="W23" i="7"/>
  <c r="I45" i="7"/>
  <c r="J44" i="7" s="1"/>
  <c r="E20" i="10" s="1"/>
  <c r="W15" i="7"/>
  <c r="I34" i="7"/>
  <c r="J32" i="7" s="1"/>
  <c r="H17" i="10" s="1"/>
  <c r="P46" i="9"/>
  <c r="D30" i="10"/>
  <c r="V54" i="9"/>
  <c r="M39" i="10"/>
  <c r="W30" i="7"/>
  <c r="D15" i="9"/>
  <c r="P23" i="9"/>
  <c r="L24" i="10"/>
  <c r="V19" i="9"/>
  <c r="Q38" i="7"/>
  <c r="V50" i="9"/>
  <c r="H39" i="10"/>
  <c r="Q15" i="7"/>
  <c r="W45" i="7"/>
  <c r="D46" i="9"/>
  <c r="E12" i="10"/>
  <c r="J50" i="9"/>
  <c r="H21" i="10"/>
  <c r="P19" i="9"/>
  <c r="H24" i="10"/>
  <c r="P15" i="9"/>
  <c r="E24" i="10"/>
  <c r="E23" i="7"/>
  <c r="W38" i="7"/>
  <c r="O53" i="7"/>
  <c r="P51" i="7" s="1"/>
  <c r="L29" i="10" s="1"/>
  <c r="E30" i="7"/>
  <c r="Q30" i="7"/>
  <c r="K45" i="7"/>
  <c r="E45" i="7"/>
  <c r="K30" i="7"/>
  <c r="V21" i="7"/>
  <c r="L32" i="10" s="1"/>
  <c r="D54" i="9"/>
  <c r="L12" i="10"/>
  <c r="V15" i="9"/>
  <c r="E33" i="10"/>
  <c r="D50" i="9"/>
  <c r="I12" i="10"/>
  <c r="V46" i="9"/>
  <c r="D39" i="10"/>
  <c r="P54" i="9"/>
  <c r="M30" i="10"/>
  <c r="V35" i="9"/>
  <c r="I36" i="10"/>
  <c r="Q23" i="7"/>
  <c r="C45" i="7"/>
  <c r="D43" i="7" s="1"/>
  <c r="D11" i="10" s="1"/>
  <c r="E38" i="7"/>
  <c r="K23" i="7"/>
  <c r="I15" i="7"/>
  <c r="J14" i="7" s="1"/>
  <c r="E14" i="10" s="1"/>
  <c r="P52" i="7"/>
  <c r="M29" i="10" s="1"/>
  <c r="K15" i="7"/>
  <c r="I23" i="9"/>
  <c r="J21" i="9" s="1"/>
  <c r="I19" i="9"/>
  <c r="J18" i="9" s="1"/>
  <c r="I15" i="10" s="1"/>
  <c r="J14" i="9"/>
  <c r="D23" i="9"/>
  <c r="M6" i="10"/>
  <c r="D31" i="9"/>
  <c r="E9" i="10"/>
  <c r="V23" i="9"/>
  <c r="P49" i="9"/>
  <c r="I30" i="10" s="1"/>
  <c r="P39" i="9"/>
  <c r="D18" i="9"/>
  <c r="I6" i="10" s="1"/>
  <c r="V37" i="9"/>
  <c r="J45" i="9"/>
  <c r="E21" i="10" s="1"/>
  <c r="J39" i="9"/>
  <c r="D37" i="9"/>
  <c r="P30" i="9"/>
  <c r="J31" i="9"/>
  <c r="D34" i="9"/>
  <c r="J21" i="7"/>
  <c r="J36" i="7"/>
  <c r="D36" i="7"/>
  <c r="V44" i="7"/>
  <c r="J28" i="7"/>
  <c r="D28" i="7"/>
  <c r="P44" i="7"/>
  <c r="V29" i="7"/>
  <c r="V47" i="7"/>
  <c r="V36" i="7"/>
  <c r="O8" i="7"/>
  <c r="I8" i="7"/>
  <c r="E15" i="7"/>
  <c r="C23" i="7"/>
  <c r="D22" i="7" s="1"/>
  <c r="M5" i="10" s="1"/>
  <c r="C8" i="7"/>
  <c r="U8" i="7"/>
  <c r="C15" i="7"/>
  <c r="C19" i="7"/>
  <c r="D17" i="7" s="1"/>
  <c r="H5" i="10" s="1"/>
  <c r="J93" i="7" l="1"/>
  <c r="P13" i="7"/>
  <c r="D23" i="10" s="1"/>
  <c r="P94" i="7"/>
  <c r="G34" i="16"/>
  <c r="W66" i="16"/>
  <c r="V68" i="7"/>
  <c r="J51" i="7"/>
  <c r="D79" i="7"/>
  <c r="P15" i="16"/>
  <c r="M95" i="16"/>
  <c r="J94" i="7"/>
  <c r="W64" i="16"/>
  <c r="P81" i="7"/>
  <c r="P83" i="7" s="1"/>
  <c r="N67" i="16"/>
  <c r="N85" i="16"/>
  <c r="N64" i="16"/>
  <c r="J82" i="7"/>
  <c r="J83" i="7" s="1"/>
  <c r="W107" i="16"/>
  <c r="P73" i="7"/>
  <c r="P75" i="7" s="1"/>
  <c r="W65" i="16"/>
  <c r="N84" i="16"/>
  <c r="N66" i="16"/>
  <c r="N73" i="16"/>
  <c r="N70" i="16"/>
  <c r="D82" i="7"/>
  <c r="N93" i="16"/>
  <c r="D67" i="7"/>
  <c r="D68" i="7" s="1"/>
  <c r="W74" i="16"/>
  <c r="D83" i="7"/>
  <c r="N72" i="16"/>
  <c r="V79" i="7"/>
  <c r="W93" i="16"/>
  <c r="N92" i="16"/>
  <c r="N89" i="16"/>
  <c r="W90" i="16"/>
  <c r="W91" i="16"/>
  <c r="W84" i="16"/>
  <c r="V59" i="7"/>
  <c r="V60" i="7" s="1"/>
  <c r="J79" i="7"/>
  <c r="N75" i="16"/>
  <c r="V78" i="7"/>
  <c r="W103" i="16"/>
  <c r="W111" i="16"/>
  <c r="W108" i="16"/>
  <c r="N71" i="16"/>
  <c r="W100" i="16"/>
  <c r="W104" i="16" s="1"/>
  <c r="W106" i="16"/>
  <c r="W112" i="16" s="1"/>
  <c r="D97" i="7"/>
  <c r="D98" i="7" s="1"/>
  <c r="H38" i="17"/>
  <c r="W102" i="16"/>
  <c r="J78" i="7"/>
  <c r="N90" i="16"/>
  <c r="N91" i="16"/>
  <c r="N82" i="16"/>
  <c r="P64" i="7"/>
  <c r="N74" i="16"/>
  <c r="W92" i="16"/>
  <c r="P19" i="16"/>
  <c r="W67" i="16"/>
  <c r="W110" i="16"/>
  <c r="D94" i="7"/>
  <c r="V77" i="16"/>
  <c r="P67" i="7"/>
  <c r="P68" i="7" s="1"/>
  <c r="P63" i="7"/>
  <c r="W109" i="16"/>
  <c r="N88" i="16"/>
  <c r="W75" i="16"/>
  <c r="W82" i="16"/>
  <c r="W71" i="16"/>
  <c r="W70" i="16"/>
  <c r="W76" i="16" s="1"/>
  <c r="J64" i="7"/>
  <c r="W88" i="16"/>
  <c r="W73" i="16"/>
  <c r="W89" i="16"/>
  <c r="N83" i="16"/>
  <c r="W83" i="16"/>
  <c r="V89" i="7"/>
  <c r="V90" i="7" s="1"/>
  <c r="D113" i="16"/>
  <c r="W85" i="16"/>
  <c r="V73" i="7"/>
  <c r="V75" i="7" s="1"/>
  <c r="M77" i="16"/>
  <c r="N65" i="16"/>
  <c r="V97" i="7"/>
  <c r="V98" i="7" s="1"/>
  <c r="P78" i="7"/>
  <c r="P79" i="7" s="1"/>
  <c r="G104" i="16"/>
  <c r="G86" i="16"/>
  <c r="N103" i="16"/>
  <c r="E101" i="16"/>
  <c r="E85" i="16"/>
  <c r="E65" i="16"/>
  <c r="N100" i="16"/>
  <c r="E66" i="16"/>
  <c r="E100" i="16"/>
  <c r="N102" i="16"/>
  <c r="E83" i="16"/>
  <c r="E67" i="16"/>
  <c r="N101" i="16"/>
  <c r="E82" i="16"/>
  <c r="E64" i="16"/>
  <c r="E102" i="16"/>
  <c r="E84" i="16"/>
  <c r="E103" i="16"/>
  <c r="G46" i="16"/>
  <c r="G16" i="16"/>
  <c r="G94" i="16"/>
  <c r="G112" i="16"/>
  <c r="E17" i="16"/>
  <c r="E108" i="16"/>
  <c r="E106" i="16"/>
  <c r="E90" i="16"/>
  <c r="E109" i="16"/>
  <c r="N110" i="16"/>
  <c r="E111" i="16"/>
  <c r="N109" i="16"/>
  <c r="E89" i="16"/>
  <c r="N107" i="16"/>
  <c r="E73" i="16"/>
  <c r="E71" i="16"/>
  <c r="E91" i="16"/>
  <c r="N111" i="16"/>
  <c r="E70" i="16"/>
  <c r="E93" i="16"/>
  <c r="E74" i="16"/>
  <c r="N106" i="16"/>
  <c r="E107" i="16"/>
  <c r="E72" i="16"/>
  <c r="E88" i="16"/>
  <c r="E75" i="16"/>
  <c r="E92" i="16"/>
  <c r="N108" i="16"/>
  <c r="E110" i="16"/>
  <c r="Z38" i="17"/>
  <c r="BM36" i="17"/>
  <c r="BP36" i="17"/>
  <c r="N19" i="16"/>
  <c r="D48" i="7"/>
  <c r="N22" i="17"/>
  <c r="O19" i="17" s="1"/>
  <c r="K14" i="17"/>
  <c r="L13" i="17" s="1"/>
  <c r="P28" i="7"/>
  <c r="AX22" i="17"/>
  <c r="AY16" i="17" s="1"/>
  <c r="AU14" i="17"/>
  <c r="AV10" i="17" s="1"/>
  <c r="H22" i="17"/>
  <c r="I19" i="17" s="1"/>
  <c r="H14" i="17"/>
  <c r="I10" i="17" s="1"/>
  <c r="J18" i="7"/>
  <c r="J19" i="7" s="1"/>
  <c r="J48" i="7"/>
  <c r="J49" i="7" s="1"/>
  <c r="E48" i="16"/>
  <c r="E47" i="16"/>
  <c r="E49" i="16"/>
  <c r="Z14" i="17"/>
  <c r="AA12" i="17" s="1"/>
  <c r="N14" i="17"/>
  <c r="O10" i="17" s="1"/>
  <c r="AI47" i="16"/>
  <c r="P42" i="25" s="1"/>
  <c r="G133" i="23"/>
  <c r="E133" i="23"/>
  <c r="F133" i="23"/>
  <c r="H133" i="23"/>
  <c r="AI46" i="16"/>
  <c r="H37" i="17"/>
  <c r="AI54" i="16"/>
  <c r="P46" i="25" s="1"/>
  <c r="AI49" i="16"/>
  <c r="P43" i="25" s="1"/>
  <c r="AX14" i="17"/>
  <c r="AH28" i="16"/>
  <c r="AG41" i="16"/>
  <c r="AI55" i="16"/>
  <c r="P47" i="25" s="1"/>
  <c r="V17" i="7"/>
  <c r="H32" i="10" s="1"/>
  <c r="P21" i="7"/>
  <c r="G36" i="16"/>
  <c r="G9" i="16"/>
  <c r="F22" i="16"/>
  <c r="H36" i="17"/>
  <c r="AG17" i="17"/>
  <c r="AI57" i="16"/>
  <c r="AI56" i="16"/>
  <c r="G28" i="16"/>
  <c r="F41" i="16"/>
  <c r="G39" i="16"/>
  <c r="AR14" i="17"/>
  <c r="AS13" i="17" s="1"/>
  <c r="AI52" i="16"/>
  <c r="AI53" i="16"/>
  <c r="P45" i="25" s="1"/>
  <c r="P10" i="16"/>
  <c r="O22" i="16"/>
  <c r="J33" i="7"/>
  <c r="J34" i="7" s="1"/>
  <c r="P33" i="7"/>
  <c r="I26" i="10" s="1"/>
  <c r="F59" i="16"/>
  <c r="H46" i="16" s="1"/>
  <c r="AU38" i="17"/>
  <c r="E132" i="23"/>
  <c r="G132" i="23"/>
  <c r="F132" i="23"/>
  <c r="H132" i="23"/>
  <c r="N38" i="17"/>
  <c r="AF38" i="17"/>
  <c r="F130" i="23"/>
  <c r="E130" i="23"/>
  <c r="G130" i="23"/>
  <c r="H130" i="23"/>
  <c r="H131" i="23"/>
  <c r="F131" i="23"/>
  <c r="E131" i="23"/>
  <c r="G131" i="23"/>
  <c r="K33" i="17"/>
  <c r="L31" i="17" s="1"/>
  <c r="H129" i="23"/>
  <c r="F129" i="23"/>
  <c r="E129" i="23"/>
  <c r="G129" i="23"/>
  <c r="AH19" i="16"/>
  <c r="N15" i="16"/>
  <c r="N18" i="16"/>
  <c r="AH16" i="16"/>
  <c r="Y17" i="16"/>
  <c r="AH17" i="16"/>
  <c r="N17" i="16"/>
  <c r="P16" i="16"/>
  <c r="P17" i="16"/>
  <c r="Y28" i="16"/>
  <c r="X41" i="16"/>
  <c r="V59" i="16"/>
  <c r="G11" i="16"/>
  <c r="Y47" i="16"/>
  <c r="X59" i="16"/>
  <c r="Y12" i="16"/>
  <c r="X22" i="16"/>
  <c r="Z9" i="16" s="1"/>
  <c r="K41" i="25" s="1"/>
  <c r="AF49" i="16"/>
  <c r="AE59" i="16"/>
  <c r="AG18" i="17"/>
  <c r="BJ14" i="17"/>
  <c r="BK11" i="17" s="1"/>
  <c r="BM14" i="17"/>
  <c r="BN12" i="17" s="1"/>
  <c r="AH9" i="16"/>
  <c r="AG22" i="16"/>
  <c r="AI9" i="16" s="1"/>
  <c r="N41" i="25" s="1"/>
  <c r="P53" i="16"/>
  <c r="AD13" i="17"/>
  <c r="P55" i="16"/>
  <c r="BJ22" i="17"/>
  <c r="W49" i="16"/>
  <c r="P31" i="16"/>
  <c r="G12" i="16"/>
  <c r="AH12" i="16"/>
  <c r="D59" i="16"/>
  <c r="M59" i="16"/>
  <c r="Y9" i="16"/>
  <c r="P56" i="16"/>
  <c r="P57" i="16"/>
  <c r="AG21" i="17"/>
  <c r="AG16" i="17"/>
  <c r="P52" i="16"/>
  <c r="Y30" i="16"/>
  <c r="N20" i="16"/>
  <c r="G49" i="16"/>
  <c r="AG19" i="17"/>
  <c r="AD10" i="17"/>
  <c r="G10" i="16"/>
  <c r="G47" i="16"/>
  <c r="AD11" i="17"/>
  <c r="P30" i="16"/>
  <c r="AH29" i="16"/>
  <c r="Y16" i="16"/>
  <c r="Y15" i="16"/>
  <c r="Y19" i="16"/>
  <c r="G19" i="16"/>
  <c r="G15" i="16"/>
  <c r="AE41" i="16"/>
  <c r="G29" i="16"/>
  <c r="P48" i="16"/>
  <c r="P47" i="16"/>
  <c r="P49" i="16"/>
  <c r="Y55" i="16"/>
  <c r="Y54" i="16"/>
  <c r="AH55" i="16"/>
  <c r="AH56" i="16"/>
  <c r="AH57" i="16"/>
  <c r="AH54" i="16"/>
  <c r="M41" i="16"/>
  <c r="AE22" i="16"/>
  <c r="AH47" i="16"/>
  <c r="AH48" i="16"/>
  <c r="AH49" i="16"/>
  <c r="BM22" i="17"/>
  <c r="AC22" i="17"/>
  <c r="K22" i="17"/>
  <c r="Y56" i="16"/>
  <c r="Y39" i="16"/>
  <c r="Y31" i="16"/>
  <c r="P9" i="16"/>
  <c r="G53" i="16"/>
  <c r="G52" i="16"/>
  <c r="G55" i="16"/>
  <c r="AH31" i="16"/>
  <c r="Y53" i="16"/>
  <c r="P46" i="16"/>
  <c r="AR22" i="17"/>
  <c r="Z22" i="17"/>
  <c r="AH46" i="16"/>
  <c r="V41" i="16"/>
  <c r="M22" i="16"/>
  <c r="V22" i="16"/>
  <c r="BP22" i="17"/>
  <c r="G56" i="16"/>
  <c r="G31" i="16"/>
  <c r="G18" i="16"/>
  <c r="AH30" i="16"/>
  <c r="G30" i="16"/>
  <c r="Y57" i="16"/>
  <c r="AH52" i="16"/>
  <c r="AF14" i="17"/>
  <c r="AG10" i="17" s="1"/>
  <c r="AU22" i="17"/>
  <c r="D41" i="16"/>
  <c r="AG20" i="17"/>
  <c r="BP14" i="17"/>
  <c r="BQ10" i="17" s="1"/>
  <c r="AH53" i="16"/>
  <c r="E29" i="16"/>
  <c r="W54" i="16"/>
  <c r="AF11" i="16"/>
  <c r="AF10" i="16"/>
  <c r="AF9" i="16"/>
  <c r="N28" i="16"/>
  <c r="W12" i="16"/>
  <c r="W47" i="16"/>
  <c r="N46" i="16"/>
  <c r="W31" i="16"/>
  <c r="N12" i="16"/>
  <c r="E28" i="16"/>
  <c r="D22" i="16"/>
  <c r="W36" i="16"/>
  <c r="N55" i="16"/>
  <c r="E36" i="16"/>
  <c r="W46" i="16"/>
  <c r="AF18" i="16"/>
  <c r="W30" i="16"/>
  <c r="W28" i="16"/>
  <c r="N56" i="16"/>
  <c r="W39" i="16"/>
  <c r="E19" i="16"/>
  <c r="N49" i="16"/>
  <c r="W55" i="16"/>
  <c r="W56" i="16"/>
  <c r="E37" i="16"/>
  <c r="W10" i="16"/>
  <c r="N48" i="16"/>
  <c r="E38" i="16"/>
  <c r="E39" i="16"/>
  <c r="E18" i="16"/>
  <c r="AF48" i="16"/>
  <c r="AF47" i="16"/>
  <c r="W35" i="16"/>
  <c r="N57" i="16"/>
  <c r="E15" i="16"/>
  <c r="W38" i="16"/>
  <c r="AF46" i="16"/>
  <c r="BM38" i="17"/>
  <c r="AF37" i="17"/>
  <c r="K37" i="17"/>
  <c r="AR28" i="17"/>
  <c r="AS27" i="17" s="1"/>
  <c r="AR36" i="17"/>
  <c r="BM28" i="17"/>
  <c r="BN27" i="17" s="1"/>
  <c r="AX38" i="17"/>
  <c r="AC33" i="17"/>
  <c r="AD32" i="17" s="1"/>
  <c r="AU36" i="17"/>
  <c r="AU28" i="17"/>
  <c r="AV26" i="17" s="1"/>
  <c r="BJ38" i="17"/>
  <c r="BJ33" i="17"/>
  <c r="BK31" i="17" s="1"/>
  <c r="AF36" i="17"/>
  <c r="AF28" i="17"/>
  <c r="AG27" i="17" s="1"/>
  <c r="BJ28" i="17"/>
  <c r="BK27" i="17" s="1"/>
  <c r="BJ36" i="17"/>
  <c r="BP33" i="17"/>
  <c r="BQ32" i="17" s="1"/>
  <c r="AU37" i="17"/>
  <c r="D33" i="7"/>
  <c r="D34" i="7" s="1"/>
  <c r="V52" i="7"/>
  <c r="V53" i="7" s="1"/>
  <c r="AC38" i="17"/>
  <c r="AF33" i="17"/>
  <c r="AG32" i="17" s="1"/>
  <c r="H33" i="17"/>
  <c r="I32" i="17" s="1"/>
  <c r="BP28" i="17"/>
  <c r="BQ26" i="17" s="1"/>
  <c r="P36" i="7"/>
  <c r="P38" i="7" s="1"/>
  <c r="V14" i="7"/>
  <c r="E32" i="10" s="1"/>
  <c r="BP37" i="17"/>
  <c r="N28" i="17"/>
  <c r="N36" i="17"/>
  <c r="BM37" i="17"/>
  <c r="N37" i="17"/>
  <c r="BM33" i="17"/>
  <c r="BN32" i="17" s="1"/>
  <c r="AR33" i="17"/>
  <c r="AS32" i="17" s="1"/>
  <c r="AX33" i="17"/>
  <c r="AY32" i="17" s="1"/>
  <c r="AR38" i="17"/>
  <c r="Z36" i="17"/>
  <c r="Z28" i="17"/>
  <c r="AA27" i="17" s="1"/>
  <c r="AX37" i="17"/>
  <c r="AU33" i="17"/>
  <c r="AV32" i="17" s="1"/>
  <c r="Z37" i="17"/>
  <c r="K38" i="17"/>
  <c r="K36" i="17"/>
  <c r="K28" i="17"/>
  <c r="AC28" i="17"/>
  <c r="AD26" i="17" s="1"/>
  <c r="AC36" i="17"/>
  <c r="H28" i="17"/>
  <c r="I26" i="17" s="1"/>
  <c r="N33" i="17"/>
  <c r="O32" i="17" s="1"/>
  <c r="Z33" i="17"/>
  <c r="AA32" i="17" s="1"/>
  <c r="BJ37" i="17"/>
  <c r="AX36" i="17"/>
  <c r="AX28" i="17"/>
  <c r="AY26" i="17" s="1"/>
  <c r="AF55" i="16"/>
  <c r="AF54" i="16"/>
  <c r="AF52" i="16"/>
  <c r="AF53" i="16"/>
  <c r="AF56" i="16"/>
  <c r="AF57" i="16"/>
  <c r="AF36" i="16"/>
  <c r="W9" i="16"/>
  <c r="N39" i="16"/>
  <c r="AF38" i="16"/>
  <c r="N38" i="16"/>
  <c r="N36" i="16"/>
  <c r="J46" i="9"/>
  <c r="D19" i="9"/>
  <c r="P50" i="9"/>
  <c r="J35" i="9"/>
  <c r="J22" i="9"/>
  <c r="M15" i="10" s="1"/>
  <c r="AF30" i="16"/>
  <c r="Y48" i="16"/>
  <c r="N30" i="16"/>
  <c r="AH35" i="16"/>
  <c r="Y36" i="16"/>
  <c r="Y29" i="16"/>
  <c r="W53" i="16"/>
  <c r="AF39" i="16"/>
  <c r="Y37" i="16"/>
  <c r="P18" i="16"/>
  <c r="N31" i="16"/>
  <c r="Y35" i="16"/>
  <c r="P11" i="16"/>
  <c r="E55" i="16"/>
  <c r="AF19" i="16"/>
  <c r="P39" i="16"/>
  <c r="G57" i="16"/>
  <c r="G38" i="16"/>
  <c r="AH34" i="16"/>
  <c r="W15" i="16"/>
  <c r="W29" i="16"/>
  <c r="AF15" i="16"/>
  <c r="P35" i="16"/>
  <c r="E53" i="16"/>
  <c r="Y49" i="16"/>
  <c r="P12" i="16"/>
  <c r="Y34" i="16"/>
  <c r="W52" i="16"/>
  <c r="AF34" i="16"/>
  <c r="W17" i="16"/>
  <c r="N34" i="16"/>
  <c r="AF37" i="16"/>
  <c r="W16" i="16"/>
  <c r="W18" i="16"/>
  <c r="P28" i="16"/>
  <c r="W11" i="16"/>
  <c r="E56" i="16"/>
  <c r="Y20" i="16"/>
  <c r="AH20" i="16"/>
  <c r="W34" i="16"/>
  <c r="G37" i="16"/>
  <c r="AH36" i="16"/>
  <c r="P36" i="16"/>
  <c r="AH39" i="16"/>
  <c r="E57" i="16"/>
  <c r="AH37" i="16"/>
  <c r="W20" i="16"/>
  <c r="AF20" i="16"/>
  <c r="N9" i="16"/>
  <c r="AH11" i="16"/>
  <c r="P37" i="16"/>
  <c r="AH15" i="16"/>
  <c r="N53" i="16"/>
  <c r="N10" i="16"/>
  <c r="E34" i="16"/>
  <c r="Y11" i="16"/>
  <c r="Y10" i="16"/>
  <c r="W48" i="16"/>
  <c r="AH10" i="16"/>
  <c r="E54" i="16"/>
  <c r="E31" i="16"/>
  <c r="P34" i="16"/>
  <c r="Y46" i="16"/>
  <c r="AF17" i="16"/>
  <c r="N29" i="16"/>
  <c r="N52" i="16"/>
  <c r="N35" i="16"/>
  <c r="E20" i="16"/>
  <c r="G20" i="16"/>
  <c r="AF29" i="16"/>
  <c r="AF31" i="16"/>
  <c r="E16" i="16"/>
  <c r="G17" i="16"/>
  <c r="E12" i="16"/>
  <c r="E11" i="16"/>
  <c r="E10" i="16"/>
  <c r="E9" i="16"/>
  <c r="P15" i="7"/>
  <c r="P18" i="7"/>
  <c r="I23" i="10" s="1"/>
  <c r="P47" i="7"/>
  <c r="P49" i="7" s="1"/>
  <c r="D53" i="7"/>
  <c r="J43" i="7"/>
  <c r="J45" i="7" s="1"/>
  <c r="D44" i="7"/>
  <c r="D45" i="7" s="1"/>
  <c r="V32" i="7"/>
  <c r="H35" i="10" s="1"/>
  <c r="J13" i="7"/>
  <c r="J15" i="7" s="1"/>
  <c r="V30" i="7"/>
  <c r="E35" i="10"/>
  <c r="V49" i="7"/>
  <c r="H38" i="10"/>
  <c r="V45" i="7"/>
  <c r="E38" i="10"/>
  <c r="P53" i="7"/>
  <c r="P31" i="9"/>
  <c r="E27" i="10"/>
  <c r="V39" i="9"/>
  <c r="L36" i="10"/>
  <c r="J23" i="9"/>
  <c r="L15" i="10"/>
  <c r="P45" i="7"/>
  <c r="E29" i="10"/>
  <c r="J53" i="7"/>
  <c r="L20" i="10"/>
  <c r="V38" i="7"/>
  <c r="L35" i="10"/>
  <c r="V23" i="7"/>
  <c r="P30" i="7"/>
  <c r="D26" i="10"/>
  <c r="J30" i="7"/>
  <c r="D17" i="10"/>
  <c r="J23" i="7"/>
  <c r="L14" i="10"/>
  <c r="D39" i="9"/>
  <c r="L9" i="10"/>
  <c r="P23" i="7"/>
  <c r="L23" i="10"/>
  <c r="J38" i="7"/>
  <c r="L17" i="10"/>
  <c r="J15" i="9"/>
  <c r="E15" i="10"/>
  <c r="C6" i="7"/>
  <c r="D49" i="7"/>
  <c r="I11" i="10"/>
  <c r="D38" i="7"/>
  <c r="L8" i="10"/>
  <c r="J17" i="9"/>
  <c r="D30" i="7"/>
  <c r="D8" i="10"/>
  <c r="D35" i="9"/>
  <c r="I9" i="10"/>
  <c r="D21" i="7"/>
  <c r="D18" i="7"/>
  <c r="D14" i="7"/>
  <c r="E5" i="10" s="1"/>
  <c r="D13" i="7"/>
  <c r="D5" i="10" s="1"/>
  <c r="I20" i="17" l="1"/>
  <c r="I17" i="17"/>
  <c r="I16" i="17"/>
  <c r="I18" i="17"/>
  <c r="I21" i="17"/>
  <c r="I22" i="17" s="1"/>
  <c r="N86" i="16"/>
  <c r="AY20" i="17"/>
  <c r="W86" i="16"/>
  <c r="W68" i="16"/>
  <c r="V15" i="7"/>
  <c r="AY17" i="17"/>
  <c r="AY18" i="17"/>
  <c r="AY22" i="17" s="1"/>
  <c r="E76" i="16"/>
  <c r="N94" i="16"/>
  <c r="AY21" i="17"/>
  <c r="AY19" i="17"/>
  <c r="W94" i="16"/>
  <c r="N76" i="16"/>
  <c r="N68" i="16"/>
  <c r="E86" i="16"/>
  <c r="P112" i="16"/>
  <c r="H86" i="16"/>
  <c r="H104" i="16"/>
  <c r="E94" i="16"/>
  <c r="E112" i="16"/>
  <c r="E104" i="16"/>
  <c r="N112" i="16"/>
  <c r="E68" i="16"/>
  <c r="N104" i="16"/>
  <c r="P104" i="16"/>
  <c r="O18" i="17"/>
  <c r="O16" i="17"/>
  <c r="O17" i="17"/>
  <c r="O21" i="17"/>
  <c r="O20" i="17"/>
  <c r="K23" i="17"/>
  <c r="L11" i="17"/>
  <c r="L12" i="17"/>
  <c r="L10" i="17"/>
  <c r="AV11" i="17"/>
  <c r="AV12" i="17"/>
  <c r="AV13" i="17"/>
  <c r="L32" i="17"/>
  <c r="L33" i="17" s="1"/>
  <c r="G53" i="20"/>
  <c r="E50" i="16"/>
  <c r="I12" i="17"/>
  <c r="I13" i="17"/>
  <c r="I11" i="17"/>
  <c r="I14" i="10"/>
  <c r="P34" i="7"/>
  <c r="H23" i="17"/>
  <c r="AS10" i="17"/>
  <c r="I20" i="10"/>
  <c r="O12" i="17"/>
  <c r="O11" i="17"/>
  <c r="V34" i="7"/>
  <c r="P19" i="7"/>
  <c r="O13" i="17"/>
  <c r="N23" i="17"/>
  <c r="AA13" i="17"/>
  <c r="V19" i="7"/>
  <c r="AS12" i="17"/>
  <c r="BM23" i="17"/>
  <c r="AS11" i="17"/>
  <c r="AA11" i="17"/>
  <c r="I8" i="10"/>
  <c r="I17" i="10"/>
  <c r="AA10" i="17"/>
  <c r="BP23" i="17"/>
  <c r="BK16" i="17"/>
  <c r="BJ23" i="17"/>
  <c r="AI31" i="16"/>
  <c r="AI28" i="16"/>
  <c r="O41" i="25" s="1"/>
  <c r="AI29" i="16"/>
  <c r="O42" i="25" s="1"/>
  <c r="AI34" i="16"/>
  <c r="O44" i="25" s="1"/>
  <c r="AI38" i="16"/>
  <c r="AI30" i="16"/>
  <c r="AI36" i="16"/>
  <c r="O46" i="25" s="1"/>
  <c r="AI37" i="16"/>
  <c r="O47" i="25" s="1"/>
  <c r="AI39" i="16"/>
  <c r="AI35" i="16"/>
  <c r="O45" i="25" s="1"/>
  <c r="AA16" i="17"/>
  <c r="Z23" i="17"/>
  <c r="Q19" i="16"/>
  <c r="Q11" i="16"/>
  <c r="Q16" i="16"/>
  <c r="H45" i="25" s="1"/>
  <c r="Q20" i="16"/>
  <c r="Q10" i="16"/>
  <c r="H42" i="25" s="1"/>
  <c r="Q18" i="16"/>
  <c r="H47" i="25" s="1"/>
  <c r="Q9" i="16"/>
  <c r="H41" i="25" s="1"/>
  <c r="Q12" i="16"/>
  <c r="Q15" i="16"/>
  <c r="H44" i="25" s="1"/>
  <c r="Q17" i="16"/>
  <c r="H46" i="25" s="1"/>
  <c r="H9" i="16"/>
  <c r="E41" i="25" s="1"/>
  <c r="H20" i="16"/>
  <c r="H19" i="16"/>
  <c r="H11" i="16"/>
  <c r="H18" i="16"/>
  <c r="E47" i="25" s="1"/>
  <c r="H15" i="16"/>
  <c r="E44" i="25" s="1"/>
  <c r="H16" i="16"/>
  <c r="E45" i="25" s="1"/>
  <c r="H12" i="16"/>
  <c r="H10" i="16"/>
  <c r="E42" i="25" s="1"/>
  <c r="H17" i="16"/>
  <c r="E46" i="25" s="1"/>
  <c r="AY10" i="17"/>
  <c r="AY13" i="17"/>
  <c r="AY12" i="17"/>
  <c r="AX23" i="17"/>
  <c r="AV16" i="17"/>
  <c r="AU23" i="17"/>
  <c r="AS16" i="17"/>
  <c r="AR23" i="17"/>
  <c r="Z36" i="16"/>
  <c r="L46" i="25" s="1"/>
  <c r="Z31" i="16"/>
  <c r="Z37" i="16"/>
  <c r="L47" i="25" s="1"/>
  <c r="Z30" i="16"/>
  <c r="Z38" i="16"/>
  <c r="Z35" i="16"/>
  <c r="L45" i="25" s="1"/>
  <c r="Z29" i="16"/>
  <c r="L42" i="25" s="1"/>
  <c r="Z39" i="16"/>
  <c r="Z34" i="16"/>
  <c r="L44" i="25" s="1"/>
  <c r="Z28" i="16"/>
  <c r="L41" i="25" s="1"/>
  <c r="P48" i="25"/>
  <c r="P41" i="25"/>
  <c r="AI50" i="16"/>
  <c r="BK18" i="17"/>
  <c r="N21" i="16"/>
  <c r="H31" i="16"/>
  <c r="H34" i="16"/>
  <c r="F44" i="25" s="1"/>
  <c r="H37" i="16"/>
  <c r="F47" i="25" s="1"/>
  <c r="H29" i="16"/>
  <c r="F42" i="25" s="1"/>
  <c r="H28" i="16"/>
  <c r="F41" i="25" s="1"/>
  <c r="H38" i="16"/>
  <c r="H30" i="16"/>
  <c r="H36" i="16"/>
  <c r="F46" i="25" s="1"/>
  <c r="H35" i="16"/>
  <c r="F45" i="25" s="1"/>
  <c r="H39" i="16"/>
  <c r="E89" i="23"/>
  <c r="AI58" i="16"/>
  <c r="P44" i="25"/>
  <c r="AF23" i="17"/>
  <c r="BK10" i="17"/>
  <c r="BK19" i="17"/>
  <c r="G41" i="25"/>
  <c r="H55" i="16"/>
  <c r="G47" i="25" s="1"/>
  <c r="H48" i="16"/>
  <c r="H52" i="16"/>
  <c r="G44" i="25" s="1"/>
  <c r="H47" i="16"/>
  <c r="G42" i="25" s="1"/>
  <c r="H56" i="16"/>
  <c r="H57" i="16"/>
  <c r="H53" i="16"/>
  <c r="G45" i="25" s="1"/>
  <c r="H49" i="16"/>
  <c r="H54" i="16"/>
  <c r="G46" i="25" s="1"/>
  <c r="I113" i="23"/>
  <c r="AD16" i="17"/>
  <c r="AC23" i="17"/>
  <c r="Z57" i="16"/>
  <c r="Z54" i="16"/>
  <c r="M46" i="25" s="1"/>
  <c r="Z52" i="16"/>
  <c r="M44" i="25" s="1"/>
  <c r="Z49" i="16"/>
  <c r="Z56" i="16"/>
  <c r="Z48" i="16"/>
  <c r="Z53" i="16"/>
  <c r="M45" i="25" s="1"/>
  <c r="Z55" i="16"/>
  <c r="M47" i="25" s="1"/>
  <c r="Z46" i="16"/>
  <c r="M41" i="25" s="1"/>
  <c r="Z47" i="16"/>
  <c r="M42" i="25" s="1"/>
  <c r="AY11" i="17"/>
  <c r="E123" i="23"/>
  <c r="F123" i="23"/>
  <c r="D123" i="23"/>
  <c r="G123" i="23"/>
  <c r="H123" i="23"/>
  <c r="F92" i="23"/>
  <c r="G89" i="23"/>
  <c r="G91" i="23"/>
  <c r="H92" i="23"/>
  <c r="E128" i="23"/>
  <c r="E143" i="23" s="1"/>
  <c r="G128" i="23"/>
  <c r="G143" i="23" s="1"/>
  <c r="H128" i="23"/>
  <c r="H143" i="23" s="1"/>
  <c r="F128" i="23"/>
  <c r="F143" i="23" s="1"/>
  <c r="G88" i="23"/>
  <c r="E88" i="23"/>
  <c r="G90" i="23"/>
  <c r="E93" i="23"/>
  <c r="E92" i="23"/>
  <c r="G93" i="23"/>
  <c r="L27" i="17"/>
  <c r="BN11" i="17"/>
  <c r="F89" i="23"/>
  <c r="F88" i="23"/>
  <c r="O26" i="17"/>
  <c r="E90" i="23"/>
  <c r="H90" i="23"/>
  <c r="H93" i="23"/>
  <c r="D88" i="23"/>
  <c r="I48" i="23"/>
  <c r="D92" i="23"/>
  <c r="I52" i="23"/>
  <c r="I69" i="23"/>
  <c r="H89" i="23"/>
  <c r="E91" i="23"/>
  <c r="I50" i="23"/>
  <c r="D90" i="23"/>
  <c r="I133" i="23"/>
  <c r="F93" i="23"/>
  <c r="I73" i="23"/>
  <c r="I72" i="23"/>
  <c r="I108" i="23"/>
  <c r="G92" i="23"/>
  <c r="H91" i="23"/>
  <c r="D91" i="23"/>
  <c r="I51" i="23"/>
  <c r="I70" i="23"/>
  <c r="D130" i="23"/>
  <c r="I130" i="23" s="1"/>
  <c r="I110" i="23"/>
  <c r="D93" i="23"/>
  <c r="I53" i="23"/>
  <c r="O27" i="17"/>
  <c r="D129" i="23"/>
  <c r="I109" i="23"/>
  <c r="D131" i="23"/>
  <c r="I131" i="23" s="1"/>
  <c r="I111" i="23"/>
  <c r="AG31" i="17"/>
  <c r="AG33" i="17" s="1"/>
  <c r="BK13" i="17"/>
  <c r="BK12" i="17"/>
  <c r="I49" i="23"/>
  <c r="D89" i="23"/>
  <c r="I71" i="23"/>
  <c r="F91" i="23"/>
  <c r="F90" i="23"/>
  <c r="H88" i="23"/>
  <c r="I68" i="23"/>
  <c r="I112" i="23"/>
  <c r="D132" i="23"/>
  <c r="I132" i="23" s="1"/>
  <c r="BN13" i="17"/>
  <c r="P58" i="16"/>
  <c r="P21" i="16"/>
  <c r="BK17" i="17"/>
  <c r="BK20" i="17"/>
  <c r="AD14" i="17"/>
  <c r="O22" i="17"/>
  <c r="BN10" i="17"/>
  <c r="G50" i="16"/>
  <c r="Z15" i="16"/>
  <c r="K44" i="25" s="1"/>
  <c r="Z17" i="16"/>
  <c r="K46" i="25" s="1"/>
  <c r="Z10" i="16"/>
  <c r="K42" i="25" s="1"/>
  <c r="Z19" i="16"/>
  <c r="Z12" i="16"/>
  <c r="Z20" i="16"/>
  <c r="Z11" i="16"/>
  <c r="Z16" i="16"/>
  <c r="K45" i="25" s="1"/>
  <c r="Z18" i="16"/>
  <c r="K47" i="25" s="1"/>
  <c r="G21" i="16"/>
  <c r="Y32" i="16"/>
  <c r="AI16" i="16"/>
  <c r="N45" i="25" s="1"/>
  <c r="AI10" i="16"/>
  <c r="N42" i="25" s="1"/>
  <c r="AI18" i="16"/>
  <c r="N47" i="25" s="1"/>
  <c r="AI17" i="16"/>
  <c r="N46" i="25" s="1"/>
  <c r="AI20" i="16"/>
  <c r="AI12" i="16"/>
  <c r="AI19" i="16"/>
  <c r="AI15" i="16"/>
  <c r="N44" i="25" s="1"/>
  <c r="AI11" i="16"/>
  <c r="P40" i="16"/>
  <c r="P50" i="16"/>
  <c r="G13" i="16"/>
  <c r="Q46" i="16"/>
  <c r="J41" i="25" s="1"/>
  <c r="Q55" i="16"/>
  <c r="J47" i="25" s="1"/>
  <c r="Q52" i="16"/>
  <c r="J44" i="25" s="1"/>
  <c r="Q48" i="16"/>
  <c r="Q56" i="16"/>
  <c r="Q54" i="16"/>
  <c r="J46" i="25" s="1"/>
  <c r="Q47" i="16"/>
  <c r="J42" i="25" s="1"/>
  <c r="Q57" i="16"/>
  <c r="Q53" i="16"/>
  <c r="J45" i="25" s="1"/>
  <c r="Q49" i="16"/>
  <c r="P32" i="16"/>
  <c r="Q38" i="16"/>
  <c r="Q29" i="16"/>
  <c r="I42" i="25" s="1"/>
  <c r="Q34" i="16"/>
  <c r="I44" i="25" s="1"/>
  <c r="Q35" i="16"/>
  <c r="I45" i="25" s="1"/>
  <c r="Q37" i="16"/>
  <c r="I47" i="25" s="1"/>
  <c r="Q31" i="16"/>
  <c r="Q36" i="16"/>
  <c r="I46" i="25" s="1"/>
  <c r="Q28" i="16"/>
  <c r="I41" i="25" s="1"/>
  <c r="Q30" i="16"/>
  <c r="Q39" i="16"/>
  <c r="Y21" i="16"/>
  <c r="BK21" i="17"/>
  <c r="AH50" i="16"/>
  <c r="AH58" i="16"/>
  <c r="AH32" i="16"/>
  <c r="AG22" i="17"/>
  <c r="G40" i="16"/>
  <c r="G58" i="16"/>
  <c r="Y58" i="16"/>
  <c r="G32" i="16"/>
  <c r="E40" i="16"/>
  <c r="AH21" i="16"/>
  <c r="Y50" i="16"/>
  <c r="AF58" i="16"/>
  <c r="BQ21" i="17"/>
  <c r="BQ19" i="17"/>
  <c r="BQ20" i="17"/>
  <c r="BQ18" i="17"/>
  <c r="BQ17" i="17"/>
  <c r="L19" i="17"/>
  <c r="L20" i="17"/>
  <c r="L17" i="17"/>
  <c r="L21" i="17"/>
  <c r="L18" i="17"/>
  <c r="BN20" i="17"/>
  <c r="BN18" i="17"/>
  <c r="BN21" i="17"/>
  <c r="BN19" i="17"/>
  <c r="BN17" i="17"/>
  <c r="N50" i="16"/>
  <c r="AF13" i="16"/>
  <c r="AA17" i="17"/>
  <c r="AA20" i="17"/>
  <c r="AA21" i="17"/>
  <c r="AA18" i="17"/>
  <c r="AA19" i="17"/>
  <c r="Y13" i="16"/>
  <c r="AD19" i="17"/>
  <c r="AD18" i="17"/>
  <c r="AD21" i="17"/>
  <c r="AD17" i="17"/>
  <c r="AD20" i="17"/>
  <c r="BQ13" i="17"/>
  <c r="BQ12" i="17"/>
  <c r="BQ11" i="17"/>
  <c r="AV18" i="17"/>
  <c r="AV17" i="17"/>
  <c r="AV20" i="17"/>
  <c r="AV19" i="17"/>
  <c r="AV21" i="17"/>
  <c r="AG13" i="17"/>
  <c r="AG11" i="17"/>
  <c r="AG12" i="17"/>
  <c r="BQ16" i="17"/>
  <c r="AS17" i="17"/>
  <c r="AS21" i="17"/>
  <c r="AS20" i="17"/>
  <c r="AS18" i="17"/>
  <c r="AS19" i="17"/>
  <c r="L16" i="17"/>
  <c r="BN16" i="17"/>
  <c r="N40" i="16"/>
  <c r="Y40" i="16"/>
  <c r="W40" i="16"/>
  <c r="AH40" i="16"/>
  <c r="AF40" i="16"/>
  <c r="AF21" i="16"/>
  <c r="W21" i="16"/>
  <c r="E32" i="16"/>
  <c r="AF50" i="16"/>
  <c r="W32" i="16"/>
  <c r="AH13" i="16"/>
  <c r="W50" i="16"/>
  <c r="P13" i="16"/>
  <c r="E21" i="16"/>
  <c r="N58" i="16"/>
  <c r="AG26" i="17"/>
  <c r="AG28" i="17" s="1"/>
  <c r="L26" i="17"/>
  <c r="AS31" i="17"/>
  <c r="AS33" i="17" s="1"/>
  <c r="BN26" i="17"/>
  <c r="BN28" i="17" s="1"/>
  <c r="AS26" i="17"/>
  <c r="AS28" i="17" s="1"/>
  <c r="AV27" i="17"/>
  <c r="AV28" i="17" s="1"/>
  <c r="AA31" i="17"/>
  <c r="AA33" i="17" s="1"/>
  <c r="AA26" i="17"/>
  <c r="AA28" i="17" s="1"/>
  <c r="AY31" i="17"/>
  <c r="AY33" i="17" s="1"/>
  <c r="BK32" i="17"/>
  <c r="BK33" i="17" s="1"/>
  <c r="AD31" i="17"/>
  <c r="AD33" i="17" s="1"/>
  <c r="AV31" i="17"/>
  <c r="AV33" i="17" s="1"/>
  <c r="BN31" i="17"/>
  <c r="BN33" i="17" s="1"/>
  <c r="BQ31" i="17"/>
  <c r="BQ33" i="17" s="1"/>
  <c r="BK26" i="17"/>
  <c r="BK28" i="17" s="1"/>
  <c r="L26" i="10"/>
  <c r="M38" i="10"/>
  <c r="AY27" i="17"/>
  <c r="AY28" i="17" s="1"/>
  <c r="BQ27" i="17"/>
  <c r="BQ28" i="17" s="1"/>
  <c r="I27" i="17"/>
  <c r="I28" i="17" s="1"/>
  <c r="O31" i="17"/>
  <c r="O33" i="17" s="1"/>
  <c r="I31" i="17"/>
  <c r="I33" i="17" s="1"/>
  <c r="AD27" i="17"/>
  <c r="AD28" i="17" s="1"/>
  <c r="N32" i="16"/>
  <c r="E58" i="16"/>
  <c r="W13" i="16"/>
  <c r="W58" i="16"/>
  <c r="AF32" i="16"/>
  <c r="N13" i="16"/>
  <c r="E13" i="16"/>
  <c r="H29" i="10"/>
  <c r="D14" i="10"/>
  <c r="D20" i="10"/>
  <c r="E11" i="10"/>
  <c r="J19" i="9"/>
  <c r="H15" i="10"/>
  <c r="D19" i="7"/>
  <c r="I5" i="10"/>
  <c r="D23" i="7"/>
  <c r="L5" i="10"/>
  <c r="D15" i="7"/>
  <c r="I83" i="23" l="1"/>
  <c r="I63" i="23"/>
  <c r="B19" i="28" s="1"/>
  <c r="L14" i="17"/>
  <c r="Q112" i="16"/>
  <c r="H94" i="16"/>
  <c r="H95" i="16" s="1"/>
  <c r="Q104" i="16"/>
  <c r="H112" i="16"/>
  <c r="H113" i="16" s="1"/>
  <c r="AV14" i="17"/>
  <c r="I51" i="20"/>
  <c r="E54" i="20"/>
  <c r="E51" i="20"/>
  <c r="G52" i="20"/>
  <c r="I53" i="20"/>
  <c r="C52" i="20"/>
  <c r="C51" i="20"/>
  <c r="C50" i="20"/>
  <c r="D50" i="20"/>
  <c r="C54" i="20"/>
  <c r="C53" i="20"/>
  <c r="E50" i="20"/>
  <c r="E52" i="20"/>
  <c r="E53" i="20"/>
  <c r="B54" i="20"/>
  <c r="G50" i="20"/>
  <c r="F50" i="20"/>
  <c r="B53" i="20"/>
  <c r="F54" i="20"/>
  <c r="B52" i="20"/>
  <c r="D51" i="20"/>
  <c r="D53" i="20"/>
  <c r="F51" i="20"/>
  <c r="I50" i="20"/>
  <c r="H52" i="20"/>
  <c r="H54" i="20"/>
  <c r="I54" i="20"/>
  <c r="I52" i="20"/>
  <c r="H50" i="20"/>
  <c r="F52" i="20"/>
  <c r="H53" i="20"/>
  <c r="D54" i="20"/>
  <c r="G51" i="20"/>
  <c r="G54" i="20"/>
  <c r="D52" i="20"/>
  <c r="B51" i="20"/>
  <c r="F53" i="20"/>
  <c r="H51" i="20"/>
  <c r="I14" i="17"/>
  <c r="AA14" i="17"/>
  <c r="O14" i="17"/>
  <c r="N48" i="25"/>
  <c r="L48" i="25"/>
  <c r="J48" i="25"/>
  <c r="E48" i="25"/>
  <c r="AS14" i="17"/>
  <c r="O28" i="17"/>
  <c r="H48" i="25"/>
  <c r="O48" i="25"/>
  <c r="E43" i="25"/>
  <c r="O43" i="25"/>
  <c r="AI59" i="16"/>
  <c r="R45" i="25"/>
  <c r="C45" i="25"/>
  <c r="Q45" i="25"/>
  <c r="P49" i="25"/>
  <c r="L43" i="25"/>
  <c r="C44" i="25"/>
  <c r="Q44" i="25"/>
  <c r="R44" i="25"/>
  <c r="G48" i="25"/>
  <c r="Q47" i="25"/>
  <c r="C47" i="25"/>
  <c r="R47" i="25"/>
  <c r="K43" i="25"/>
  <c r="F43" i="25"/>
  <c r="AY14" i="17"/>
  <c r="F48" i="25"/>
  <c r="Q46" i="25"/>
  <c r="R46" i="25"/>
  <c r="C46" i="25"/>
  <c r="M43" i="25"/>
  <c r="G43" i="25"/>
  <c r="R42" i="25"/>
  <c r="C42" i="25"/>
  <c r="Q42" i="25"/>
  <c r="Q41" i="25"/>
  <c r="R41" i="25"/>
  <c r="C41" i="25"/>
  <c r="I43" i="25"/>
  <c r="I48" i="25"/>
  <c r="J43" i="25"/>
  <c r="N43" i="25"/>
  <c r="K48" i="25"/>
  <c r="M48" i="25"/>
  <c r="H43" i="25"/>
  <c r="I129" i="23"/>
  <c r="D143" i="23"/>
  <c r="B20" i="28"/>
  <c r="I123" i="23"/>
  <c r="B22" i="28" s="1"/>
  <c r="H103" i="23"/>
  <c r="F103" i="23"/>
  <c r="E103" i="23"/>
  <c r="D103" i="23"/>
  <c r="G103" i="23"/>
  <c r="I128" i="23"/>
  <c r="L28" i="17"/>
  <c r="I89" i="23"/>
  <c r="BK14" i="17"/>
  <c r="I91" i="23"/>
  <c r="I92" i="23"/>
  <c r="I93" i="23"/>
  <c r="BN14" i="17"/>
  <c r="I90" i="23"/>
  <c r="I88" i="23"/>
  <c r="BK22" i="17"/>
  <c r="Z58" i="16"/>
  <c r="Q32" i="16"/>
  <c r="H40" i="16"/>
  <c r="Q50" i="16"/>
  <c r="Z13" i="16"/>
  <c r="Q21" i="16"/>
  <c r="H50" i="16"/>
  <c r="Q40" i="16"/>
  <c r="H32" i="16"/>
  <c r="AI40" i="16"/>
  <c r="Q13" i="16"/>
  <c r="Z21" i="16"/>
  <c r="AI32" i="16"/>
  <c r="Z40" i="16"/>
  <c r="Z32" i="16"/>
  <c r="Q58" i="16"/>
  <c r="AI13" i="16"/>
  <c r="Z50" i="16"/>
  <c r="H58" i="16"/>
  <c r="AI21" i="16"/>
  <c r="BQ14" i="17"/>
  <c r="AG14" i="17"/>
  <c r="AD22" i="17"/>
  <c r="AV22" i="17"/>
  <c r="AS22" i="17"/>
  <c r="AA22" i="17"/>
  <c r="BQ22" i="17"/>
  <c r="BN22" i="17"/>
  <c r="L22" i="17"/>
  <c r="H13" i="16"/>
  <c r="H21" i="16"/>
  <c r="E55" i="20" l="1"/>
  <c r="Q113" i="16"/>
  <c r="E46" i="20"/>
  <c r="C46" i="20"/>
  <c r="C55" i="20"/>
  <c r="J41" i="20"/>
  <c r="F55" i="20"/>
  <c r="J42" i="20"/>
  <c r="F46" i="20"/>
  <c r="J51" i="20"/>
  <c r="B46" i="20"/>
  <c r="J43" i="20"/>
  <c r="G46" i="20"/>
  <c r="D55" i="20"/>
  <c r="J53" i="20"/>
  <c r="J54" i="20"/>
  <c r="H46" i="20"/>
  <c r="J45" i="20"/>
  <c r="H55" i="20"/>
  <c r="I46" i="20"/>
  <c r="D46" i="20"/>
  <c r="G55" i="20"/>
  <c r="J44" i="20"/>
  <c r="J52" i="20"/>
  <c r="I55" i="20"/>
  <c r="J49" i="25"/>
  <c r="G49" i="25"/>
  <c r="K49" i="25"/>
  <c r="E49" i="25"/>
  <c r="N49" i="25"/>
  <c r="O49" i="25"/>
  <c r="H49" i="25"/>
  <c r="L49" i="25"/>
  <c r="M49" i="25"/>
  <c r="D41" i="25"/>
  <c r="F49" i="25"/>
  <c r="Q43" i="25"/>
  <c r="R48" i="25"/>
  <c r="D42" i="25"/>
  <c r="C48" i="25"/>
  <c r="I49" i="25"/>
  <c r="Q48" i="25"/>
  <c r="R43" i="25"/>
  <c r="C43" i="25"/>
  <c r="D45" i="25"/>
  <c r="D46" i="25"/>
  <c r="D47" i="25"/>
  <c r="D44" i="25"/>
  <c r="I143" i="23"/>
  <c r="B23" i="28" s="1"/>
  <c r="B21" i="28"/>
  <c r="B25" i="28" s="1"/>
  <c r="I103" i="23"/>
  <c r="AI41" i="16"/>
  <c r="Z59" i="16"/>
  <c r="Z22" i="16"/>
  <c r="Q41" i="16"/>
  <c r="Q59" i="16"/>
  <c r="Z41" i="16"/>
  <c r="Q22" i="16"/>
  <c r="H41" i="16"/>
  <c r="AI22" i="16"/>
  <c r="H59" i="16"/>
  <c r="H22" i="16"/>
  <c r="B24" i="28" l="1"/>
  <c r="J50" i="20"/>
  <c r="J55" i="20" s="1"/>
  <c r="B11" i="28" s="1"/>
  <c r="B55" i="20"/>
  <c r="J46" i="20"/>
  <c r="B10" i="28" s="1"/>
  <c r="D48" i="25"/>
  <c r="D43" i="25"/>
  <c r="C49" i="25"/>
  <c r="B12" i="28" l="1"/>
  <c r="B16" i="28" s="1"/>
  <c r="BT2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6" authorId="0" shapeId="0" xr:uid="{76041574-87A5-4D9A-BDEB-83AD3D1D4FCC}">
      <text>
        <r>
          <rPr>
            <b/>
            <sz val="9"/>
            <color indexed="81"/>
            <rFont val="Tahoma"/>
            <family val="2"/>
          </rPr>
          <t>Diana Bilbao:</t>
        </r>
        <r>
          <rPr>
            <sz val="9"/>
            <color indexed="81"/>
            <rFont val="Tahoma"/>
            <family val="2"/>
          </rPr>
          <t xml:space="preserve">
To adjust, go to Assumptions tab</t>
        </r>
      </text>
    </comment>
    <comment ref="G10" authorId="0" shapeId="0" xr:uid="{CDD2D7AE-E619-42C8-8AB3-B6948619788B}">
      <text>
        <r>
          <rPr>
            <b/>
            <sz val="9"/>
            <color indexed="81"/>
            <rFont val="Tahoma"/>
            <family val="2"/>
          </rPr>
          <t xml:space="preserve">Diana Bilbao:
</t>
        </r>
        <r>
          <rPr>
            <sz val="9"/>
            <color indexed="81"/>
            <rFont val="Tahoma"/>
            <family val="2"/>
          </rPr>
          <t>Multipliers can be adjusted in Coverage Units by State Size tab</t>
        </r>
      </text>
    </comment>
    <comment ref="B13" authorId="0" shapeId="0" xr:uid="{C8D32A2E-731B-43A7-84C3-5411B9B87F2B}">
      <text>
        <r>
          <rPr>
            <b/>
            <sz val="9"/>
            <color indexed="81"/>
            <rFont val="Tahoma"/>
            <family val="2"/>
          </rPr>
          <t>Diana Bilbao:</t>
        </r>
        <r>
          <rPr>
            <sz val="9"/>
            <color indexed="81"/>
            <rFont val="Tahoma"/>
            <family val="2"/>
          </rPr>
          <t xml:space="preserve">
Does not multiply by 7 - education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26" authorId="0" shapeId="0" xr:uid="{275B90D9-F0DC-4324-BA26-6AE0E00E4985}">
      <text>
        <r>
          <rPr>
            <b/>
            <sz val="9"/>
            <color indexed="81"/>
            <rFont val="Tahoma"/>
            <family val="2"/>
          </rPr>
          <t>Diana Bilbao:</t>
        </r>
        <r>
          <rPr>
            <sz val="9"/>
            <color indexed="81"/>
            <rFont val="Tahoma"/>
            <family val="2"/>
          </rPr>
          <t xml:space="preserve">
Per Tony Bowen at FMA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D7" authorId="0" shapeId="0" xr:uid="{35D0D3C3-EBEE-4F3C-A982-C12187F39B10}">
      <text>
        <r>
          <rPr>
            <b/>
            <sz val="9"/>
            <color indexed="81"/>
            <rFont val="Tahoma"/>
            <family val="2"/>
          </rPr>
          <t>Diana Bilbao:</t>
        </r>
        <r>
          <rPr>
            <sz val="9"/>
            <color indexed="81"/>
            <rFont val="Tahoma"/>
            <family val="2"/>
          </rPr>
          <t xml:space="preserve">
Multipliers based on Elizabeth Green's range of education journalists per state house by state size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E23" authorId="0" shapeId="0" xr:uid="{79DE3DAA-6DB1-43AD-8FF6-54F4C5C1744A}">
      <text>
        <r>
          <rPr>
            <b/>
            <sz val="9"/>
            <color indexed="81"/>
            <rFont val="Tahoma"/>
            <family val="2"/>
          </rPr>
          <t>Diana Bilbao:</t>
        </r>
        <r>
          <rPr>
            <sz val="9"/>
            <color indexed="81"/>
            <rFont val="Tahoma"/>
            <family val="2"/>
          </rPr>
          <t xml:space="preserve">
Per Project Oasis/LION Report</t>
        </r>
      </text>
    </comment>
    <comment ref="E33" authorId="0" shapeId="0" xr:uid="{73221AFD-AD03-4618-93F6-AEF5F752FA16}">
      <text>
        <r>
          <rPr>
            <b/>
            <sz val="9"/>
            <color indexed="81"/>
            <rFont val="Tahoma"/>
            <family val="2"/>
          </rPr>
          <t>Diana Bilbao:</t>
        </r>
        <r>
          <rPr>
            <sz val="9"/>
            <color indexed="81"/>
            <rFont val="Tahoma"/>
            <family val="2"/>
          </rPr>
          <t xml:space="preserve">
Per Project Oasis/LION report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M9" authorId="0" shapeId="0" xr:uid="{B571C0E7-AD17-4154-8D3C-0A209CE9AD43}">
      <text>
        <r>
          <rPr>
            <b/>
            <sz val="9"/>
            <color indexed="81"/>
            <rFont val="Tahoma"/>
            <family val="2"/>
          </rPr>
          <t>Diana Bilbao:</t>
        </r>
        <r>
          <rPr>
            <sz val="9"/>
            <color indexed="81"/>
            <rFont val="Tahoma"/>
            <family val="2"/>
          </rPr>
          <t xml:space="preserve">
Extrapolated based on WAMU &amp; relative budget</t>
        </r>
      </text>
    </comment>
  </commentList>
</comments>
</file>

<file path=xl/sharedStrings.xml><?xml version="1.0" encoding="utf-8"?>
<sst xmlns="http://schemas.openxmlformats.org/spreadsheetml/2006/main" count="6570" uniqueCount="1136">
  <si>
    <t>Democracy Fund</t>
  </si>
  <si>
    <t>DRAFT - For Discussion Purposes Only</t>
  </si>
  <si>
    <t>Journalism Ecosystem Model</t>
  </si>
  <si>
    <t>April 2021</t>
  </si>
  <si>
    <t>Projected Philanthropic Investment - 5 Years</t>
  </si>
  <si>
    <t>DESIRED PHILANTHROPY BREAKDOWN (%)</t>
  </si>
  <si>
    <t>National</t>
  </si>
  <si>
    <t>Local</t>
  </si>
  <si>
    <t>Startup - Year 1</t>
  </si>
  <si>
    <t>Sustaining - Year 2</t>
  </si>
  <si>
    <t>Sustaining - Year 3</t>
  </si>
  <si>
    <t>Sustaining - Year 4</t>
  </si>
  <si>
    <t>Growth - Year 5</t>
  </si>
  <si>
    <t>PHILANTHROPIC INVESTMENT NEEDED BY YEAR</t>
  </si>
  <si>
    <t>Year 1</t>
  </si>
  <si>
    <t>Year 2</t>
  </si>
  <si>
    <t>Year 3</t>
  </si>
  <si>
    <t>Year 4</t>
  </si>
  <si>
    <t>Year 5</t>
  </si>
  <si>
    <t>National Philanthropy</t>
  </si>
  <si>
    <t>Local Philanthropy</t>
  </si>
  <si>
    <r>
      <t xml:space="preserve">All numbers in </t>
    </r>
    <r>
      <rPr>
        <b/>
        <sz val="9"/>
        <color rgb="FF0070C0"/>
        <rFont val="Calibri"/>
        <family val="2"/>
        <scheme val="minor"/>
      </rPr>
      <t>BLUE</t>
    </r>
    <r>
      <rPr>
        <b/>
        <sz val="9"/>
        <color theme="1"/>
        <rFont val="Calibri"/>
        <family val="2"/>
        <scheme val="minor"/>
      </rPr>
      <t xml:space="preserve"> are hardcodes - these can be adjusted as desired.</t>
    </r>
  </si>
  <si>
    <r>
      <t xml:space="preserve">Tabs where inputs can be made are coded in </t>
    </r>
    <r>
      <rPr>
        <b/>
        <sz val="9"/>
        <color theme="4"/>
        <rFont val="Calibri"/>
        <family val="2"/>
        <scheme val="minor"/>
      </rPr>
      <t>BLUE</t>
    </r>
    <r>
      <rPr>
        <b/>
        <sz val="9"/>
        <color theme="1"/>
        <rFont val="Calibri"/>
        <family val="2"/>
        <scheme val="minor"/>
      </rPr>
      <t>:</t>
    </r>
  </si>
  <si>
    <t>TAB</t>
  </si>
  <si>
    <t>INPUT FIELDS</t>
  </si>
  <si>
    <t>Assumptions</t>
  </si>
  <si>
    <t>By Journalist</t>
  </si>
  <si>
    <t>By Org Type - State Local</t>
  </si>
  <si>
    <t>By Org Type - Regional National</t>
  </si>
  <si>
    <t>SUMMARY</t>
  </si>
  <si>
    <r>
      <t xml:space="preserve">Tabs in </t>
    </r>
    <r>
      <rPr>
        <b/>
        <sz val="9"/>
        <color theme="5" tint="-0.249977111117893"/>
        <rFont val="Calibri"/>
        <family val="2"/>
        <scheme val="minor"/>
      </rPr>
      <t>ORANGE</t>
    </r>
    <r>
      <rPr>
        <b/>
        <sz val="9"/>
        <color theme="1"/>
        <rFont val="Calibri"/>
        <family val="2"/>
        <scheme val="minor"/>
      </rPr>
      <t xml:space="preserve"> hold the underlying data</t>
    </r>
  </si>
  <si>
    <r>
      <t xml:space="preserve">Tabs in </t>
    </r>
    <r>
      <rPr>
        <b/>
        <sz val="9"/>
        <color theme="7"/>
        <rFont val="Calibri"/>
        <family val="2"/>
        <scheme val="minor"/>
      </rPr>
      <t>YELLOW</t>
    </r>
    <r>
      <rPr>
        <b/>
        <sz val="9"/>
        <color theme="1"/>
        <rFont val="Calibri"/>
        <family val="2"/>
        <scheme val="minor"/>
      </rPr>
      <t xml:space="preserve"> contain rollups of the data, calculations, and categorizations</t>
    </r>
  </si>
  <si>
    <t>Summary</t>
  </si>
  <si>
    <t>Desired Philanthropic Coverage</t>
  </si>
  <si>
    <t>ESTIMATES BASED ON # OF JOURNALISTS</t>
  </si>
  <si>
    <t>Annual Editorial Expenses</t>
  </si>
  <si>
    <t>Annual Non-Editorial Expenses</t>
  </si>
  <si>
    <t>Total Annual Expenses</t>
  </si>
  <si>
    <t>Editorial Staff</t>
  </si>
  <si>
    <t>Non-Editorial Staff</t>
  </si>
  <si>
    <t>Total Staff</t>
  </si>
  <si>
    <t>Annual Philanthropic Investment</t>
  </si>
  <si>
    <t>ESTIMATES BASED ON ORG TYPE</t>
  </si>
  <si>
    <t>Coverage by Number of Journalists</t>
  </si>
  <si>
    <t>Demographic Coverage Areas</t>
  </si>
  <si>
    <t>MINIMUM DESIRED EDITORIAL STAFF</t>
  </si>
  <si>
    <t>Coverage Unit</t>
  </si>
  <si>
    <t>Per Government Funding Area</t>
  </si>
  <si>
    <t>Per Demographic Coverage Area</t>
  </si>
  <si>
    <t>100,000 people</t>
  </si>
  <si>
    <t>Congressional District</t>
  </si>
  <si>
    <t>School System</t>
  </si>
  <si>
    <t>Special District</t>
  </si>
  <si>
    <t>Township Government</t>
  </si>
  <si>
    <t>Municipal Government</t>
  </si>
  <si>
    <t>County Government</t>
  </si>
  <si>
    <t>State House</t>
  </si>
  <si>
    <t>EDITORIAL STAFF NEEDED</t>
  </si>
  <si>
    <t>State Size</t>
  </si>
  <si>
    <t>100,000 People</t>
  </si>
  <si>
    <t>TOTAL</t>
  </si>
  <si>
    <t>Extra Small</t>
  </si>
  <si>
    <t>Small</t>
  </si>
  <si>
    <t>Medium</t>
  </si>
  <si>
    <t>Large</t>
  </si>
  <si>
    <t>Extra Large</t>
  </si>
  <si>
    <t>NON-EDITORIAL STAFF NEEDED</t>
  </si>
  <si>
    <t>ANNUAL EDITORIAL EXPENSES</t>
  </si>
  <si>
    <t>ANNUAL NON-EDITORIAL EXPENSES</t>
  </si>
  <si>
    <t>MINIMUM OF EACH ORG IN USA</t>
  </si>
  <si>
    <t xml:space="preserve"> </t>
  </si>
  <si>
    <t>Hub: Back Office</t>
  </si>
  <si>
    <t>Hub: Back Office/Shared Reporting</t>
  </si>
  <si>
    <t>Coverage by Types of Orgs - State, Local, Hyper-local</t>
  </si>
  <si>
    <t>Scope</t>
  </si>
  <si>
    <t>Focus/Cadence</t>
  </si>
  <si>
    <t>Hyper-local</t>
  </si>
  <si>
    <t>General</t>
  </si>
  <si>
    <t>Multiple Related Topics</t>
  </si>
  <si>
    <t>Single-Topic</t>
  </si>
  <si>
    <t>Explanatory &amp; Analysis</t>
  </si>
  <si>
    <t>Investigative</t>
  </si>
  <si>
    <t>Current News &amp; Events</t>
  </si>
  <si>
    <t>State</t>
  </si>
  <si>
    <t>Public Radio</t>
  </si>
  <si>
    <t>NUMBER OF ORGS NEEDED</t>
  </si>
  <si>
    <t>Focus</t>
  </si>
  <si>
    <t>TOTAL ANNUAL EXPENSES</t>
  </si>
  <si>
    <t>EDITORIAL STAFF</t>
  </si>
  <si>
    <t>NON-EDITORIAL STAFF</t>
  </si>
  <si>
    <t>State Coverage Unit &amp; Philanthropy Analysis</t>
  </si>
  <si>
    <t>GOVERNMENT COVERAGE AREAS</t>
  </si>
  <si>
    <t>Community Services</t>
  </si>
  <si>
    <t>Criminal Justice</t>
  </si>
  <si>
    <t>Education</t>
  </si>
  <si>
    <t>Elections</t>
  </si>
  <si>
    <t>Environment</t>
  </si>
  <si>
    <t>Healthcare</t>
  </si>
  <si>
    <t>Infrastructure</t>
  </si>
  <si>
    <t>DEMOGRAPHIC COVERAGE AREAS</t>
  </si>
  <si>
    <t>Women</t>
  </si>
  <si>
    <t>AAPI</t>
  </si>
  <si>
    <t>Black/African-American</t>
  </si>
  <si>
    <t>Indigenous</t>
  </si>
  <si>
    <t>Latinx/Hispanic</t>
  </si>
  <si>
    <t>LGBTQIA+</t>
  </si>
  <si>
    <t>RATE ASSUMPTIONS</t>
  </si>
  <si>
    <t>Indirect Rate</t>
  </si>
  <si>
    <t>Benefits Rate</t>
  </si>
  <si>
    <t>Failure Rate</t>
  </si>
  <si>
    <t>Inflation Rate</t>
  </si>
  <si>
    <t>EXPENSE/PERSONNEL RATIO</t>
  </si>
  <si>
    <t>Editorial</t>
  </si>
  <si>
    <t>Non-Editorial</t>
  </si>
  <si>
    <t>EXPENSE PER STAFF</t>
  </si>
  <si>
    <t>DESIRED REVENUE SPLIT</t>
  </si>
  <si>
    <t>Goal</t>
  </si>
  <si>
    <t>INN Average</t>
  </si>
  <si>
    <t>INN Range</t>
  </si>
  <si>
    <t>INN Averages 2021</t>
  </si>
  <si>
    <t>Local: General</t>
  </si>
  <si>
    <t>Local: Multiple Related Topics</t>
  </si>
  <si>
    <t>Local: Single-Topic</t>
  </si>
  <si>
    <t>State: General</t>
  </si>
  <si>
    <t>State: Multiple Related Topics</t>
  </si>
  <si>
    <t>State: Single-Topic</t>
  </si>
  <si>
    <t>Regional: General</t>
  </si>
  <si>
    <t>Regional: Multiple Related Topics</t>
  </si>
  <si>
    <t>Regional: Single-Topic</t>
  </si>
  <si>
    <t>National: General</t>
  </si>
  <si>
    <t>National: Multiple Related Topics</t>
  </si>
  <si>
    <t>National: Single-Topic</t>
  </si>
  <si>
    <t>Min.</t>
  </si>
  <si>
    <t>Max.</t>
  </si>
  <si>
    <t>Foundations</t>
  </si>
  <si>
    <t>Memberships</t>
  </si>
  <si>
    <t>Individual Donations &amp; Other Cont.</t>
  </si>
  <si>
    <t>Advertising</t>
  </si>
  <si>
    <t>Sponsorships/Underwriting</t>
  </si>
  <si>
    <t>Subscriptions</t>
  </si>
  <si>
    <t>Events</t>
  </si>
  <si>
    <t>Syndication &amp; Other Earned</t>
  </si>
  <si>
    <t>REPLANTING</t>
  </si>
  <si>
    <t>Time to Sustainability</t>
  </si>
  <si>
    <t>years</t>
  </si>
  <si>
    <t>Transaction costs per year</t>
  </si>
  <si>
    <t>STATE SIZE CLASSIFICATIONS</t>
  </si>
  <si>
    <t>Size Classification</t>
  </si>
  <si>
    <t>Population Range</t>
  </si>
  <si>
    <t>Multiplier</t>
  </si>
  <si>
    <t>&lt; 1,000,000</t>
  </si>
  <si>
    <t>1,000,000-4,999,999</t>
  </si>
  <si>
    <t>5,000,000-9,999,999</t>
  </si>
  <si>
    <t>10,000,000-19,999,999</t>
  </si>
  <si>
    <t>&gt; 20,000,000</t>
  </si>
  <si>
    <t>COVERAGE UNITS BY SIZE</t>
  </si>
  <si>
    <t>Population</t>
  </si>
  <si>
    <t>PHILANTHROPY BY SIZE</t>
  </si>
  <si>
    <t>Annual Foundation Giving</t>
  </si>
  <si>
    <t>Foundation Assets</t>
  </si>
  <si>
    <t>Number of Foundations</t>
  </si>
  <si>
    <t>State Data Rollup</t>
  </si>
  <si>
    <t>Size Tag</t>
  </si>
  <si>
    <t>School Systems</t>
  </si>
  <si>
    <t>Municipal Governments</t>
  </si>
  <si>
    <t>County Governments</t>
  </si>
  <si>
    <t>Special Districts</t>
  </si>
  <si>
    <t>Township Governments</t>
  </si>
  <si>
    <t>State Governments</t>
  </si>
  <si>
    <t>Congressional Districts</t>
  </si>
  <si>
    <t>Annual Foundation Giving (2015)</t>
  </si>
  <si>
    <t>Foundation Assets (2015)</t>
  </si>
  <si>
    <t># of Foundations (2015)</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</si>
  <si>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</si>
  <si>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</si>
  <si>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</si>
  <si>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</si>
  <si>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</si>
  <si>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</si>
  <si>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</si>
  <si>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</si>
  <si>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</si>
  <si>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</si>
  <si>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</si>
  <si>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</si>
  <si>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</si>
  <si>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</si>
  <si>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</si>
  <si>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</si>
  <si>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</si>
  <si>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</si>
  <si>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</si>
  <si>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</si>
  <si>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</si>
  <si>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</si>
  <si>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</si>
  <si>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</si>
  <si>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</si>
  <si>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</si>
  <si>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</si>
  <si>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</si>
  <si>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</si>
  <si>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</si>
  <si>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</si>
  <si>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</si>
  <si>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</si>
  <si>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</si>
  <si>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</si>
  <si>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</si>
  <si>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</si>
  <si>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</si>
  <si>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</si>
  <si>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</si>
  <si>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</si>
  <si>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</si>
  <si>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</si>
  <si>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</si>
  <si>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</si>
  <si>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</si>
  <si>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</si>
  <si>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</si>
  <si>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</si>
  <si>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</si>
  <si>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</si>
  <si>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TOTALS</t>
  </si>
  <si>
    <t>INN Data Comparison - 2021 vs. 2020</t>
  </si>
  <si>
    <t>Scope/Sub-Type</t>
  </si>
  <si>
    <t>Sample Size</t>
  </si>
  <si>
    <t>Contributed Income %</t>
  </si>
  <si>
    <t>Earned Income %</t>
  </si>
  <si>
    <t>Contributed Income Avg.</t>
  </si>
  <si>
    <t>Earned Income Avg.</t>
  </si>
  <si>
    <t>Editorial Expenses %</t>
  </si>
  <si>
    <t>Non-Editorial Expenses %</t>
  </si>
  <si>
    <t>Avg. Editorial Expenses</t>
  </si>
  <si>
    <t>Avg. Non-Editorial Expenses</t>
  </si>
  <si>
    <t>FTE - Editorial %</t>
  </si>
  <si>
    <t>FTE - Non-Editorial %</t>
  </si>
  <si>
    <t>FTE - Editorial Avg.</t>
  </si>
  <si>
    <t>FTE - Non-Editorial Avg.</t>
  </si>
  <si>
    <t>Model News Orgs - Based on INN Data</t>
  </si>
  <si>
    <t>Public Radio: Small</t>
  </si>
  <si>
    <t>Public Radio: Medium</t>
  </si>
  <si>
    <t>Public Radio: Large</t>
  </si>
  <si>
    <t>(Limited data)</t>
  </si>
  <si>
    <t>INCOME</t>
  </si>
  <si>
    <t>Contributed</t>
  </si>
  <si>
    <t>Individual Donations</t>
  </si>
  <si>
    <t>Other</t>
  </si>
  <si>
    <t>TOTAL CONTRIBUTED</t>
  </si>
  <si>
    <t>Earned</t>
  </si>
  <si>
    <t>Syndication</t>
  </si>
  <si>
    <t>TOTAL EARNED</t>
  </si>
  <si>
    <t>TOTAL INCOME</t>
  </si>
  <si>
    <t>EXPENSES</t>
  </si>
  <si>
    <t>TOTAL EXPENSES</t>
  </si>
  <si>
    <t>STAFF</t>
  </si>
  <si>
    <t>TOTAL STAFF</t>
  </si>
  <si>
    <t>STATS</t>
  </si>
  <si>
    <t>Cost per Editorial Staff</t>
  </si>
  <si>
    <t>Cost per Non-Editorial Staff</t>
  </si>
  <si>
    <t>Non-Editorial Staff per Editorial Staff</t>
  </si>
  <si>
    <t>N/A</t>
  </si>
  <si>
    <t>ROLLUPS - INN Data - 2021</t>
  </si>
  <si>
    <t>TOTAL OUTLETS</t>
  </si>
  <si>
    <t>TOTAL LOCAL</t>
  </si>
  <si>
    <t>TOTAL STATE</t>
  </si>
  <si>
    <t>TOTAL REGIONAL</t>
  </si>
  <si>
    <t>TOTAL NATIONAL</t>
  </si>
  <si>
    <t>Total</t>
  </si>
  <si>
    <t xml:space="preserve">Pct. </t>
  </si>
  <si>
    <t>Average</t>
  </si>
  <si>
    <t>Contributed Income</t>
  </si>
  <si>
    <t>Earned Income</t>
  </si>
  <si>
    <t>Total Income</t>
  </si>
  <si>
    <t>Editorial Expenses</t>
  </si>
  <si>
    <t>Non-Editorial Expenses</t>
  </si>
  <si>
    <t>Total Expenses</t>
  </si>
  <si>
    <t>FTE - Editorial</t>
  </si>
  <si>
    <t>FTE - Non-Editorial</t>
  </si>
  <si>
    <t>Total FTE</t>
  </si>
  <si>
    <t>INN Analysis - Income Split - 2021</t>
  </si>
  <si>
    <t>Pct</t>
  </si>
  <si>
    <t>Avg.</t>
  </si>
  <si>
    <t>Avg. Pct.</t>
  </si>
  <si>
    <t>Pct. Of Total</t>
  </si>
  <si>
    <t>Local: Explanatory &amp; Analysis</t>
  </si>
  <si>
    <t>State: Explanatory &amp; Analysis</t>
  </si>
  <si>
    <t>Regional: Explanatory &amp; Analysis</t>
  </si>
  <si>
    <t>National: Explanatory &amp; Analysis</t>
  </si>
  <si>
    <t>Local: Investigative</t>
  </si>
  <si>
    <t>State: Investigative</t>
  </si>
  <si>
    <t>Regional: Investigative</t>
  </si>
  <si>
    <t>National: Investigative</t>
  </si>
  <si>
    <t>Local: Current News &amp; Events</t>
  </si>
  <si>
    <t>State: Current News &amp; Events</t>
  </si>
  <si>
    <t>Regional: Current News &amp; Events</t>
  </si>
  <si>
    <t>National: Current News &amp; Events</t>
  </si>
  <si>
    <t>ROLLUPS - INN Data - 2020</t>
  </si>
  <si>
    <t>Neon ID</t>
  </si>
  <si>
    <t>Launch Year</t>
  </si>
  <si>
    <t>Content Type</t>
  </si>
  <si>
    <t>Geographic Scope</t>
  </si>
  <si>
    <t>Sub-Type/Focus</t>
  </si>
  <si>
    <t>Scope/Sub-Type/Content Type</t>
  </si>
  <si>
    <t>Scope/Content Type</t>
  </si>
  <si>
    <t>Total Contributed Income</t>
  </si>
  <si>
    <t>Total Earned Income</t>
  </si>
  <si>
    <t>Cont. Income - Foundation</t>
  </si>
  <si>
    <t>Cont. Income - Membership</t>
  </si>
  <si>
    <t>Total Individual Donations</t>
  </si>
  <si>
    <t>Cont. Income - Small Donors</t>
  </si>
  <si>
    <t>Cont. Income - Med. Donors</t>
  </si>
  <si>
    <t>Cont. Income - Major Donors</t>
  </si>
  <si>
    <t>Cont. Income - Other</t>
  </si>
  <si>
    <t>Cont. Income - Other Desc.</t>
  </si>
  <si>
    <t>Earned Income - Advertising</t>
  </si>
  <si>
    <t>Earned Income - Sponsorships/Underwriting</t>
  </si>
  <si>
    <t>Earned Income - Events</t>
  </si>
  <si>
    <t>Earned Income - Subscriptions</t>
  </si>
  <si>
    <t>Earned Income - Syndication</t>
  </si>
  <si>
    <t>Earned Income - Other</t>
  </si>
  <si>
    <t>Earned Income - Other Desc.</t>
  </si>
  <si>
    <t>Expenses - Editorial</t>
  </si>
  <si>
    <t>Expenses - Non-Editorial</t>
  </si>
  <si>
    <t>Expenses - Revenue Generation</t>
  </si>
  <si>
    <t>Expenses - Tech</t>
  </si>
  <si>
    <t>Expenses - Admin</t>
  </si>
  <si>
    <t>Total FTE - Editorial</t>
  </si>
  <si>
    <t>FTE Salaried - Editorial</t>
  </si>
  <si>
    <t>FTE Contractors - Editorial</t>
  </si>
  <si>
    <t>Total FTE - Non-Editorial</t>
  </si>
  <si>
    <t>FTE Salaried - Non-Editorial</t>
  </si>
  <si>
    <t>FTE Contractors - Non-Editorial</t>
  </si>
  <si>
    <t>Primary Medium</t>
  </si>
  <si>
    <t>Medium 2</t>
  </si>
  <si>
    <t>Medium 3</t>
  </si>
  <si>
    <t>Avg. Monthly Uniques</t>
  </si>
  <si>
    <t>Newsletter Subs</t>
  </si>
  <si>
    <t>Total Print Run</t>
  </si>
  <si>
    <t>Print Publications</t>
  </si>
  <si>
    <t>Radio Reach</t>
  </si>
  <si>
    <t>TV Reach</t>
  </si>
  <si>
    <t>Podcast Downloads Monthly</t>
  </si>
  <si>
    <t>Other Reach Data</t>
  </si>
  <si>
    <t>Other Reach</t>
  </si>
  <si>
    <t>royalties</t>
  </si>
  <si>
    <t>Print &amp; Digital</t>
  </si>
  <si>
    <t>Print newspaper,Other, please specify.</t>
  </si>
  <si>
    <t>Online streaming and video content</t>
  </si>
  <si>
    <t>Merchandise</t>
  </si>
  <si>
    <t>Digital</t>
  </si>
  <si>
    <t>Multimedia (3 or more platforms)</t>
  </si>
  <si>
    <t>Print newspaper,Podcast</t>
  </si>
  <si>
    <t>345 listeners</t>
  </si>
  <si>
    <t>NewsMatch</t>
  </si>
  <si>
    <t>Other, please specify.</t>
  </si>
  <si>
    <t>Weekly Email newsletter</t>
  </si>
  <si>
    <t>interest (19) and SBA/PPP forgiven ($14.2K)</t>
  </si>
  <si>
    <t>Podcast</t>
  </si>
  <si>
    <t>Facebook Journalism Project, Google News Initiative, Solutions Journalism Network, Report for America</t>
  </si>
  <si>
    <t>Owner Invested</t>
  </si>
  <si>
    <t>Interest</t>
  </si>
  <si>
    <t>Print newspaper</t>
  </si>
  <si>
    <t>GJEF</t>
  </si>
  <si>
    <t>Fee for service</t>
  </si>
  <si>
    <t>Podcast,Other, please specify.</t>
  </si>
  <si>
    <t>Daily live streaming video</t>
  </si>
  <si>
    <t>Radio,Podcast</t>
  </si>
  <si>
    <t>Google and Facebook</t>
  </si>
  <si>
    <t>Livestreaming webcasting videography</t>
  </si>
  <si>
    <t xml:space="preserve">YouTube subscribers also 75726 views </t>
  </si>
  <si>
    <t>Fees for fiscally sponsoring another nonprofit news organization that does not yet have 501c3 status</t>
  </si>
  <si>
    <t>Digital,Print newspaper,Radio,Podcast</t>
  </si>
  <si>
    <t>Potential household reach of our low-power FM radio station, KSFP 102.5 FM. We have no way to estimate our actual listenership because it is not significant enough to measure within the total Bay Area market.</t>
  </si>
  <si>
    <t xml:space="preserve">Admin Support Services </t>
  </si>
  <si>
    <t>PPP/CARES</t>
  </si>
  <si>
    <t>Print Neighborhood Newsletter</t>
  </si>
  <si>
    <t>Amazon Smile</t>
  </si>
  <si>
    <t>Billboard rental, distribution services, book sales</t>
  </si>
  <si>
    <t>Digital,Podcast</t>
  </si>
  <si>
    <t>weekly CUME Persons/Monthly average</t>
  </si>
  <si>
    <t>Print newspaper,Print magazine,Radio,Podcast</t>
  </si>
  <si>
    <t>Google Journalism Emergency Relief Fund</t>
  </si>
  <si>
    <t>Government grants</t>
  </si>
  <si>
    <t>Newsletter</t>
  </si>
  <si>
    <t>Grants</t>
  </si>
  <si>
    <t>interest</t>
  </si>
  <si>
    <t>Government Assistance</t>
  </si>
  <si>
    <t>Email news alerts</t>
  </si>
  <si>
    <t>PPP loan</t>
  </si>
  <si>
    <t>Print magazine,Radio,Podcast,Other, please specify.</t>
  </si>
  <si>
    <t>livestream</t>
  </si>
  <si>
    <t>Print magazine,Radio,Podcast</t>
  </si>
  <si>
    <t>Consulting contracts</t>
  </si>
  <si>
    <t>Print magazine,Other, please specify.</t>
  </si>
  <si>
    <t>Community printed newsletter</t>
  </si>
  <si>
    <t>Text message</t>
  </si>
  <si>
    <t>Awards, Consulting</t>
  </si>
  <si>
    <t>WhatsApp</t>
  </si>
  <si>
    <t>none</t>
  </si>
  <si>
    <t>Radio,Other, please specify.</t>
  </si>
  <si>
    <t>Digital,Print newspaper</t>
  </si>
  <si>
    <t>n/a</t>
  </si>
  <si>
    <t>Digital,Other, please specify.</t>
  </si>
  <si>
    <t>enewsletters</t>
  </si>
  <si>
    <t>US Small Business Administration (COVID-19)</t>
  </si>
  <si>
    <t>Newsletter creative studio and consulting</t>
  </si>
  <si>
    <t>Through print newspaper, print magazine and radio partners.</t>
  </si>
  <si>
    <t>Production Revenue, Consulting and Presentation Services, Fiscal Sponsorship Admin Services, Equipment Lease, Office Sublease</t>
  </si>
  <si>
    <t>Print newspaper,Podcast,Other, please specify.</t>
  </si>
  <si>
    <t>we partner with a variety of local news publishers for the distribution of most of our content.</t>
  </si>
  <si>
    <t xml:space="preserve">PPP Loan  </t>
  </si>
  <si>
    <t xml:space="preserve">Job board </t>
  </si>
  <si>
    <t>Apple News</t>
  </si>
  <si>
    <t>None</t>
  </si>
  <si>
    <t>we have always been digital-only. We supplement our website with an e-newsletter that goes out M-F.</t>
  </si>
  <si>
    <t>Corporate charitable matches</t>
  </si>
  <si>
    <t>organization donations, PPP (expected to be a Grant</t>
  </si>
  <si>
    <t>Newsstand, back issues, list rental, print supplement sales</t>
  </si>
  <si>
    <t>corporate grants</t>
  </si>
  <si>
    <t>wholesale paper sales; government contract</t>
  </si>
  <si>
    <t>other</t>
  </si>
  <si>
    <t>Television,Radio</t>
  </si>
  <si>
    <t>Based on KPBS audience</t>
  </si>
  <si>
    <t>Based on KPBS Audience</t>
  </si>
  <si>
    <t>social media handles FB and Twitter</t>
  </si>
  <si>
    <t>Corporate donations/awards</t>
  </si>
  <si>
    <t xml:space="preserve">Our podcast is re-aired on two community radio stations. We do not have access to their audience data. </t>
  </si>
  <si>
    <t>Print newspaper,Radio</t>
  </si>
  <si>
    <t>PPP loan expected to be forgiven</t>
  </si>
  <si>
    <t>E-newsletter</t>
  </si>
  <si>
    <t>merchandise</t>
  </si>
  <si>
    <t>universities, partners</t>
  </si>
  <si>
    <t>We created and cross-published audio content with some partners.</t>
  </si>
  <si>
    <t>Inkind executive director salary, office r</t>
  </si>
  <si>
    <t xml:space="preserve">Share through BW website, Facebook, Twitter, other social media/online outlets.  </t>
  </si>
  <si>
    <t xml:space="preserve">Unique visitors, one month of July 2020, for website of partner WBHM </t>
  </si>
  <si>
    <t>PPP</t>
  </si>
  <si>
    <t>Digital,Print newspaper,Radio</t>
  </si>
  <si>
    <t xml:space="preserve">publishing partnership revenue and fiscal sponsorship revenue </t>
  </si>
  <si>
    <t>Print magazine,Television,Radio,Podcast</t>
  </si>
  <si>
    <t>households</t>
  </si>
  <si>
    <t>Print magazine</t>
  </si>
  <si>
    <t>corporate matching gifts and donations</t>
  </si>
  <si>
    <t>data, film, interest</t>
  </si>
  <si>
    <t>Print newspaper,Print magazine,Television,Radio,Podcast</t>
  </si>
  <si>
    <t>Vision Maker, San Manuel, Wend Collective</t>
  </si>
  <si>
    <t>Television,Radio,Other, please specify.</t>
  </si>
  <si>
    <t>Broadcast, Television, Live Streaming Online</t>
  </si>
  <si>
    <t>Rental Income</t>
  </si>
  <si>
    <t>National Parks Conservation Association, Western National Parks Association, Ranger Doug Enterprises, Wild Tribute</t>
  </si>
  <si>
    <t>Fee for services (lead generation)</t>
  </si>
  <si>
    <t>Jobs board and other misc earned revenue</t>
  </si>
  <si>
    <t>Digital,Podcast,Other, please specify.</t>
  </si>
  <si>
    <t>Video</t>
  </si>
  <si>
    <t>Royalties</t>
  </si>
  <si>
    <t>Digital,Radio</t>
  </si>
  <si>
    <t>Stations</t>
  </si>
  <si>
    <t>Carry forward and KSU Support</t>
  </si>
  <si>
    <t>Royalties and video production services</t>
  </si>
  <si>
    <t>Will be starting a podcast in 2021 with our new local news initiative which will be a new publication published  by CSJ.</t>
  </si>
  <si>
    <t xml:space="preserve">Royalties and Info Based Holdings </t>
  </si>
  <si>
    <t>We had one season of Retro Reports on PBS in 2019</t>
  </si>
  <si>
    <t>Government Grants, Corporate Gifts</t>
  </si>
  <si>
    <t>Radio</t>
  </si>
  <si>
    <t xml:space="preserve">benevity matching </t>
  </si>
  <si>
    <t>grant from SJN</t>
  </si>
  <si>
    <t>Print magazine,Podcast</t>
  </si>
  <si>
    <t>SBA PPP</t>
  </si>
  <si>
    <t>rent, royalties, ineterest</t>
  </si>
  <si>
    <t>Podcast production services</t>
  </si>
  <si>
    <t>reserve fund gifts</t>
  </si>
  <si>
    <t>Partner republishing &amp; pixel views</t>
  </si>
  <si>
    <t>Internet TV shows</t>
  </si>
  <si>
    <t>CY2019 NewsMatch and Wyncote Foundation match received</t>
  </si>
  <si>
    <t>Corporate grants</t>
  </si>
  <si>
    <t>Fiscal sponsorship fees</t>
  </si>
  <si>
    <t>Program grant</t>
  </si>
  <si>
    <t>Misc + Investment and Interest Income</t>
  </si>
  <si>
    <t>Video Docs</t>
  </si>
  <si>
    <t>Print publication for incarcerated people</t>
  </si>
  <si>
    <t>dallas morning news, national associastion of hispanic journalists, R Street Institute, Quattrone Center for the Fair Administration of Justice, Open Societyt</t>
  </si>
  <si>
    <t>e-newsletter</t>
  </si>
  <si>
    <t>Licensing fees and interest</t>
  </si>
  <si>
    <t>General Atomics Corporation</t>
  </si>
  <si>
    <t>consulting fees</t>
  </si>
  <si>
    <t>Partnership with Kaiser Health News, which includes financial support.</t>
  </si>
  <si>
    <t>Radio/Podcast</t>
  </si>
  <si>
    <t>pro-bono inkind legal support</t>
  </si>
  <si>
    <t>Bank interest</t>
  </si>
  <si>
    <t>fees</t>
  </si>
  <si>
    <t>Frontline Productions</t>
  </si>
  <si>
    <t>Print newspaper,Television,Radio,Other, please specify.</t>
  </si>
  <si>
    <t>Interest, consulting, merchandise sales, misc.</t>
  </si>
  <si>
    <t>Print newspaper,Television,Radio</t>
  </si>
  <si>
    <t>Digital,Television,Podcast</t>
  </si>
  <si>
    <t>1100000 listeners/week</t>
  </si>
  <si>
    <t>Back issue sales, list rental, newsstand/distributors, royalties/licenses</t>
  </si>
  <si>
    <t>Bank Contributions</t>
  </si>
  <si>
    <t>Google</t>
  </si>
  <si>
    <t>interest, contracts, research fees, publication sales</t>
  </si>
  <si>
    <t>Reimbursement for portion of summer intern by INN</t>
  </si>
  <si>
    <t>Print newspaper,Print magazine,Television,Radio</t>
  </si>
  <si>
    <t>Partner payments</t>
  </si>
  <si>
    <t>Regional</t>
  </si>
  <si>
    <t>485411 weekly--Neilson</t>
  </si>
  <si>
    <t>657248 weekly Neilson</t>
  </si>
  <si>
    <t>TV</t>
  </si>
  <si>
    <t>listeners</t>
  </si>
  <si>
    <t>viewers</t>
  </si>
  <si>
    <t xml:space="preserve">newsletter social media </t>
  </si>
  <si>
    <t>broadcast footprint (not including streaming)</t>
  </si>
  <si>
    <t xml:space="preserve">conference management, fellowship agreement with GateHouse </t>
  </si>
  <si>
    <t>EIDL grant</t>
  </si>
  <si>
    <t>Co-publishing payments</t>
  </si>
  <si>
    <t>Investment income, merch sales, misc.</t>
  </si>
  <si>
    <t>matching gifts, vehicle donations</t>
  </si>
  <si>
    <t>CPB, Missouri Public Broadcasting, Interest</t>
  </si>
  <si>
    <t>avg weekly cume</t>
  </si>
  <si>
    <t>Digital,Radio,Podcast</t>
  </si>
  <si>
    <t>production, facility rentals, school income</t>
  </si>
  <si>
    <t>TV HH Nielsen Data</t>
  </si>
  <si>
    <t>DMA share</t>
  </si>
  <si>
    <t>Books, PPP</t>
  </si>
  <si>
    <t>Fees paid for licensing some content</t>
  </si>
  <si>
    <t>Television,Podcast,Other, please specify.</t>
  </si>
  <si>
    <t>Newsletters (digital)</t>
  </si>
  <si>
    <t>Average HH impressions per airing of two different programs (Crosscut Now and Mossback's Northwest)</t>
  </si>
  <si>
    <t>Social Media: Facebook, Twitter</t>
  </si>
  <si>
    <t>Print newspaper,Print magazine</t>
  </si>
  <si>
    <t>Email Newsletter</t>
  </si>
  <si>
    <t>Events and video</t>
  </si>
  <si>
    <t>Print newspaper,Print magazine,Radio</t>
  </si>
  <si>
    <t xml:space="preserve">We occasionally distribute printed guides, like our election guide.  </t>
  </si>
  <si>
    <t>Outside of our specific digital platform, we share content or collaborate with partners in radio, but it is not our platform</t>
  </si>
  <si>
    <t>Tax credits, interst income</t>
  </si>
  <si>
    <t>annual print edition</t>
  </si>
  <si>
    <t>PPP loan forgiven</t>
  </si>
  <si>
    <t xml:space="preserve">KUVO JAZZ Avg Weekly Cume Persons (RRC, November 2020) - </t>
  </si>
  <si>
    <t>RMPBS has 564,000 average weekly viewers statewide (KRMA/KTSC/KRMJ combined) for ages 6+</t>
  </si>
  <si>
    <t>bequest</t>
  </si>
  <si>
    <t>list rentals, merchandise sales, dividends/interest, unrealized gains/losses</t>
  </si>
  <si>
    <t>Digital,Print magazine</t>
  </si>
  <si>
    <t>PPP loan forgiveness</t>
  </si>
  <si>
    <t>Paid training</t>
  </si>
  <si>
    <t>KSGU signal, donated member reward gift certs and online auction sales</t>
  </si>
  <si>
    <t>Digital,Print magazine,Podcast</t>
  </si>
  <si>
    <t>Nielsen‚Äôs estimate of total annual listeners</t>
  </si>
  <si>
    <t>Business</t>
  </si>
  <si>
    <t>$20,000 ‚Äì 1st place cash award for winning a contest $12,200 - PPP Loan $6,000 - misc $2,000 ‚Äì Speakers Income $1,000 - The Current - to use towards video production of award winning video</t>
  </si>
  <si>
    <t>8900 weekly cume spring '20</t>
  </si>
  <si>
    <t>NA</t>
  </si>
  <si>
    <t>One company; one electric cooperative</t>
  </si>
  <si>
    <t>500 (just launched Oct. 30)</t>
  </si>
  <si>
    <t>Google News Initiative</t>
  </si>
  <si>
    <t>Forgiven PPP loan</t>
  </si>
  <si>
    <t>EIDL Loan</t>
  </si>
  <si>
    <t>merch, speaker fee, interest</t>
  </si>
  <si>
    <t>79,000 from parnterships</t>
  </si>
  <si>
    <t>email newsletter</t>
  </si>
  <si>
    <t>Investment income</t>
  </si>
  <si>
    <t>Digital,Television,Radio</t>
  </si>
  <si>
    <t>WPRO estimates</t>
  </si>
  <si>
    <t>PBS estimates</t>
  </si>
  <si>
    <t>Investment income ($5,790) + E-commerce ($5,875)</t>
  </si>
  <si>
    <t>100,000 listeners</t>
  </si>
  <si>
    <t>video interviews YouTube channel</t>
  </si>
  <si>
    <t>Print newspaper,Print magazine,Television,Radio,Podcast,Other, please specify.</t>
  </si>
  <si>
    <t>We produce, along with 100+ partner media, on all platforms. But if we had to choose one, we'd chose digital because we share our content digitally with other media.</t>
  </si>
  <si>
    <t>Media Partner Content</t>
  </si>
  <si>
    <t xml:space="preserve">Video, Media Partnerships with traditional news media that share our work </t>
  </si>
  <si>
    <t>Business Support Acknowledgment (non taxable); in-kind (Google ad Grant)</t>
  </si>
  <si>
    <t>Television</t>
  </si>
  <si>
    <t>Corporate gifts</t>
  </si>
  <si>
    <t>Speaking Fees</t>
  </si>
  <si>
    <t>Newsletter, social, events, speaking appearances</t>
  </si>
  <si>
    <t>Corporate contributions from founding partner media</t>
  </si>
  <si>
    <t>Service Fee ($112,000) and Investment Income</t>
  </si>
  <si>
    <t>Digital,Print newspaper,Other, please specify.</t>
  </si>
  <si>
    <t>Partner Orgs.</t>
  </si>
  <si>
    <t>Statewide airing of weekly radio show</t>
  </si>
  <si>
    <t>Trainings, speaking honorariums, graphic design</t>
  </si>
  <si>
    <t xml:space="preserve">Sometimes we print zines </t>
  </si>
  <si>
    <t>nonprofit grants and donations</t>
  </si>
  <si>
    <t>consulting, contract services</t>
  </si>
  <si>
    <t>Radio,Podcast,Other, please specify.</t>
  </si>
  <si>
    <t>content sharing with other media outlets throughout the state</t>
  </si>
  <si>
    <t>Print newspaper,Television,Radio,Podcast</t>
  </si>
  <si>
    <t>We don't have this information.</t>
  </si>
  <si>
    <t>Reimbursement of prior year attorney fees. We won a lawsuit whereby the defendant had to reimburse the fees.</t>
  </si>
  <si>
    <t>We can only give you an estimate because we can't share the official Neilson numbers. We reach roughly 100,000 listeners per month (although we don't have a radio story every month)</t>
  </si>
  <si>
    <t>government grant</t>
  </si>
  <si>
    <t>Creative commons free republication</t>
  </si>
  <si>
    <t>Daily Newsletter</t>
  </si>
  <si>
    <t>Speaking fees</t>
  </si>
  <si>
    <t>Newsletter and whatsapp</t>
  </si>
  <si>
    <t>Print newspaper,Radio,Podcast</t>
  </si>
  <si>
    <t>Corporate and fundraising income (events)</t>
  </si>
  <si>
    <t>Print</t>
  </si>
  <si>
    <t>Live &amp; Replayable events</t>
  </si>
  <si>
    <t>Corporations, Business, Associations, etc.</t>
  </si>
  <si>
    <t>Email newsletter</t>
  </si>
  <si>
    <t>98 average listens per podcast</t>
  </si>
  <si>
    <t>Partnering with print, radio, and television outlets in Chicago and Illinois</t>
  </si>
  <si>
    <t>Media partners including Spanish language print publication.</t>
  </si>
  <si>
    <t>NeonID</t>
  </si>
  <si>
    <t>Spacer Column</t>
  </si>
  <si>
    <t>Earned Income - Other TOTAL</t>
  </si>
  <si>
    <t>Earned Income - Training Fees</t>
  </si>
  <si>
    <t>Earned Income - Fees</t>
  </si>
  <si>
    <t>Earned Income - Fees Desc.</t>
  </si>
  <si>
    <t>Earned Income - Investments</t>
  </si>
  <si>
    <t>Medium Other</t>
  </si>
  <si>
    <t>Broadcast Reach</t>
  </si>
  <si>
    <t>Broadcast Units</t>
  </si>
  <si>
    <t>85</t>
  </si>
  <si>
    <t/>
  </si>
  <si>
    <t>travel reimbursements</t>
  </si>
  <si>
    <t>322</t>
  </si>
  <si>
    <t>Books, Issue retail</t>
  </si>
  <si>
    <t>323</t>
  </si>
  <si>
    <t>327</t>
  </si>
  <si>
    <t>329</t>
  </si>
  <si>
    <t>Fee for stories</t>
  </si>
  <si>
    <t>We collaborate heavily with newspapers and radio. Our indirect audience, re below, much higher than our direct audience.</t>
  </si>
  <si>
    <t>330</t>
  </si>
  <si>
    <t>332</t>
  </si>
  <si>
    <t>Fundraising gala -- our tax consultant says it cannot be considered earned income</t>
  </si>
  <si>
    <t>Newsstand sales, sales of old print supplements</t>
  </si>
  <si>
    <t>333</t>
  </si>
  <si>
    <t>334</t>
  </si>
  <si>
    <t>Corporate</t>
  </si>
  <si>
    <t>337</t>
  </si>
  <si>
    <t>343</t>
  </si>
  <si>
    <t>345</t>
  </si>
  <si>
    <t>346</t>
  </si>
  <si>
    <t>Jobs Board</t>
  </si>
  <si>
    <t>Honoraria</t>
  </si>
  <si>
    <t>347</t>
  </si>
  <si>
    <t>348</t>
  </si>
  <si>
    <t>349</t>
  </si>
  <si>
    <t>Other nonprofits and corporate contributions</t>
  </si>
  <si>
    <t>Honorariums</t>
  </si>
  <si>
    <t>351</t>
  </si>
  <si>
    <t>Sponsorship (charitable foundation)</t>
  </si>
  <si>
    <t>Consulting and special project production</t>
  </si>
  <si>
    <t>Hub</t>
  </si>
  <si>
    <t>Trainings and events</t>
  </si>
  <si>
    <t>352</t>
  </si>
  <si>
    <t>board members</t>
  </si>
  <si>
    <t>job board</t>
  </si>
  <si>
    <t>353</t>
  </si>
  <si>
    <t>356</t>
  </si>
  <si>
    <t>357</t>
  </si>
  <si>
    <t>Media partnerships</t>
  </si>
  <si>
    <t>359</t>
  </si>
  <si>
    <t>361</t>
  </si>
  <si>
    <t>364</t>
  </si>
  <si>
    <t>365</t>
  </si>
  <si>
    <t>Contract Services</t>
  </si>
  <si>
    <t>Rent and Misc.</t>
  </si>
  <si>
    <t>366</t>
  </si>
  <si>
    <t>370</t>
  </si>
  <si>
    <t>373</t>
  </si>
  <si>
    <t>Fiscal sponsorship</t>
  </si>
  <si>
    <t>374</t>
  </si>
  <si>
    <t>377</t>
  </si>
  <si>
    <t>print, online, TV and radio</t>
  </si>
  <si>
    <t>378</t>
  </si>
  <si>
    <t>Merchandise Sales</t>
  </si>
  <si>
    <t>380</t>
  </si>
  <si>
    <t>Consulting</t>
  </si>
  <si>
    <t>381</t>
  </si>
  <si>
    <t>in kind</t>
  </si>
  <si>
    <t>merch sales and misc</t>
  </si>
  <si>
    <t>382</t>
  </si>
  <si>
    <t>384</t>
  </si>
  <si>
    <t>386</t>
  </si>
  <si>
    <t>matching gifts, corporate gifts</t>
  </si>
  <si>
    <t>Refunds/Rebates</t>
  </si>
  <si>
    <t>fees for services (editorial)</t>
  </si>
  <si>
    <t>387</t>
  </si>
  <si>
    <t>restricted funds for sponsored projects</t>
  </si>
  <si>
    <t>391</t>
  </si>
  <si>
    <t>393</t>
  </si>
  <si>
    <t>viewers/listeners</t>
  </si>
  <si>
    <t>394</t>
  </si>
  <si>
    <t>FRONTLINE</t>
  </si>
  <si>
    <t>395</t>
  </si>
  <si>
    <t>Corporate contributions</t>
  </si>
  <si>
    <t>396</t>
  </si>
  <si>
    <t>Carry-forward andUniversity support</t>
  </si>
  <si>
    <t>401</t>
  </si>
  <si>
    <t>406</t>
  </si>
  <si>
    <t>contract writing</t>
  </si>
  <si>
    <t>407</t>
  </si>
  <si>
    <t>management fee for conferenc</t>
  </si>
  <si>
    <t>fee from media company</t>
  </si>
  <si>
    <t>410</t>
  </si>
  <si>
    <t>411</t>
  </si>
  <si>
    <t>Founder</t>
  </si>
  <si>
    <t>412</t>
  </si>
  <si>
    <t>in-kind advertising</t>
  </si>
  <si>
    <t>Speaker fees</t>
  </si>
  <si>
    <t>413</t>
  </si>
  <si>
    <t>415</t>
  </si>
  <si>
    <t>Downloads/month</t>
  </si>
  <si>
    <t>418</t>
  </si>
  <si>
    <t>Consulting Services</t>
  </si>
  <si>
    <t>419</t>
  </si>
  <si>
    <t>423</t>
  </si>
  <si>
    <t>424</t>
  </si>
  <si>
    <t>426</t>
  </si>
  <si>
    <t>428</t>
  </si>
  <si>
    <t xml:space="preserve">Podcast downloads- however often NPR will schedule live reports on our podcast increasing audience. </t>
  </si>
  <si>
    <t>429</t>
  </si>
  <si>
    <t>speaking fees</t>
  </si>
  <si>
    <t>431</t>
  </si>
  <si>
    <t>434</t>
  </si>
  <si>
    <t>436</t>
  </si>
  <si>
    <t>Listeners in DMA</t>
  </si>
  <si>
    <t>438</t>
  </si>
  <si>
    <t>readers</t>
  </si>
  <si>
    <t>441</t>
  </si>
  <si>
    <t>443</t>
  </si>
  <si>
    <t>sources include matching gifts, earned income and small corporate donations</t>
  </si>
  <si>
    <t>content</t>
  </si>
  <si>
    <t>449</t>
  </si>
  <si>
    <t>Photo Sales &amp; Interest Income</t>
  </si>
  <si>
    <t>452</t>
  </si>
  <si>
    <t>fiscal sponsorship fees</t>
  </si>
  <si>
    <t>renting office desks to freelance journalists</t>
  </si>
  <si>
    <t>Our organization is truly multimedia. We publish online and produce a quarterly broadsheet newspaper. We also run a low-power FM radio station and produce daily podcasts.</t>
  </si>
  <si>
    <t>DMA</t>
  </si>
  <si>
    <t>457</t>
  </si>
  <si>
    <t>Combination of digital and republished with partner newspapers and television</t>
  </si>
  <si>
    <t>458</t>
  </si>
  <si>
    <t>edit services</t>
  </si>
  <si>
    <t>462</t>
  </si>
  <si>
    <t>468</t>
  </si>
  <si>
    <t>Crowdfunding</t>
  </si>
  <si>
    <t>470</t>
  </si>
  <si>
    <t>471</t>
  </si>
  <si>
    <t>472</t>
  </si>
  <si>
    <t>office and studio rentals, royalties, fiscal sponsorship revenue, legal fees and settlements</t>
  </si>
  <si>
    <t>Documentary production fees</t>
  </si>
  <si>
    <t>Listeners per week</t>
  </si>
  <si>
    <t>476</t>
  </si>
  <si>
    <t>services</t>
  </si>
  <si>
    <t>478</t>
  </si>
  <si>
    <t>Corporate donation</t>
  </si>
  <si>
    <t>484</t>
  </si>
  <si>
    <t>486</t>
  </si>
  <si>
    <t>We partner with a wide variety of outlets</t>
  </si>
  <si>
    <t>488</t>
  </si>
  <si>
    <t>Partner Payments</t>
  </si>
  <si>
    <t>489</t>
  </si>
  <si>
    <t>merch</t>
  </si>
  <si>
    <t>viewers/readers</t>
  </si>
  <si>
    <t>491</t>
  </si>
  <si>
    <t>495</t>
  </si>
  <si>
    <t>497</t>
  </si>
  <si>
    <t>502</t>
  </si>
  <si>
    <t>Refunds, Rent, Dividends, Chapman</t>
  </si>
  <si>
    <t>503</t>
  </si>
  <si>
    <t>podcast downloads per month</t>
  </si>
  <si>
    <t>504</t>
  </si>
  <si>
    <t>505</t>
  </si>
  <si>
    <t>All individual donations</t>
  </si>
  <si>
    <t>Misc. income</t>
  </si>
  <si>
    <t>10k average monthly podcast downloads,  32k average monthly YouTube views, 74k average monthly Facebook video views</t>
  </si>
  <si>
    <t>507</t>
  </si>
  <si>
    <t>511</t>
  </si>
  <si>
    <t xml:space="preserve">support of collaboration with UW-Madison School of Journalism and Mass Communication, $10k from Report for America </t>
  </si>
  <si>
    <t>515</t>
  </si>
  <si>
    <t>Business contributions</t>
  </si>
  <si>
    <t>518</t>
  </si>
  <si>
    <t>Governemtn</t>
  </si>
  <si>
    <t>$4,130 (Production services) $15,000 (Podcast) $2,000 (honorarium) $5,463 (Studio Rental)</t>
  </si>
  <si>
    <t>522</t>
  </si>
  <si>
    <t>2527</t>
  </si>
  <si>
    <t>11 from Amazon Smile</t>
  </si>
  <si>
    <t>We distribute through radio stations, digital, and podcast.</t>
  </si>
  <si>
    <t>2890</t>
  </si>
  <si>
    <t>2903</t>
  </si>
  <si>
    <t>2906</t>
  </si>
  <si>
    <t>2907</t>
  </si>
  <si>
    <t>2910</t>
  </si>
  <si>
    <t>2917</t>
  </si>
  <si>
    <t>2920</t>
  </si>
  <si>
    <t>2936</t>
  </si>
  <si>
    <t>2937</t>
  </si>
  <si>
    <t>2938</t>
  </si>
  <si>
    <t>2939</t>
  </si>
  <si>
    <t>2940</t>
  </si>
  <si>
    <t>2941</t>
  </si>
  <si>
    <t>2946</t>
  </si>
  <si>
    <t>We publish on our own site but our model is based off sharing our content with all news publishers and broadcasters in the state</t>
  </si>
  <si>
    <t>2983</t>
  </si>
  <si>
    <t>Story licensing</t>
  </si>
  <si>
    <t>2985</t>
  </si>
  <si>
    <t>2988</t>
  </si>
  <si>
    <t>misc</t>
  </si>
  <si>
    <t>Station</t>
  </si>
  <si>
    <t>City</t>
  </si>
  <si>
    <t>Budget Size</t>
  </si>
  <si>
    <t>Locality Pop.</t>
  </si>
  <si>
    <t>Local News Exp. Per Capita</t>
  </si>
  <si>
    <t>% Spent on Local News</t>
  </si>
  <si>
    <t>Total Operating Expenses</t>
  </si>
  <si>
    <t>Total Local News Expenses</t>
  </si>
  <si>
    <t>Local News Expenses - Programming &amp; Production</t>
  </si>
  <si>
    <t>Local News Expenses - Non-Editorial</t>
  </si>
  <si>
    <t>Local News Expenses - Management &amp; General</t>
  </si>
  <si>
    <t>Local News Expenses - Fundraising &amp; Development</t>
  </si>
  <si>
    <t>Local News Staff</t>
  </si>
  <si>
    <t>North Country Public Radio</t>
  </si>
  <si>
    <t>Canton, NY</t>
  </si>
  <si>
    <t>WBHM</t>
  </si>
  <si>
    <t>Birmingham, AL</t>
  </si>
  <si>
    <t>St. Louis Public Radio</t>
  </si>
  <si>
    <t>St. Louis, MO</t>
  </si>
  <si>
    <t>Vermont Public Radio</t>
  </si>
  <si>
    <t>Colchester, VT</t>
  </si>
  <si>
    <t>Capital Public Radio</t>
  </si>
  <si>
    <t>Sacramento, CA</t>
  </si>
  <si>
    <t>KUOW</t>
  </si>
  <si>
    <t>Seattle, WA</t>
  </si>
  <si>
    <t>WAMU</t>
  </si>
  <si>
    <t>Washington, DC</t>
  </si>
  <si>
    <t>KQED</t>
  </si>
  <si>
    <t>San Francisco, CA</t>
  </si>
  <si>
    <t>Organization</t>
  </si>
  <si>
    <t>Locality</t>
  </si>
  <si>
    <t>Type</t>
  </si>
  <si>
    <t>Total Annual Income</t>
  </si>
  <si>
    <t>Center for Cooperative Media</t>
  </si>
  <si>
    <t>Back Office/Shared Reporting</t>
  </si>
  <si>
    <t>Colorado Media Project</t>
  </si>
  <si>
    <t>Back Office</t>
  </si>
  <si>
    <t>COLab</t>
  </si>
  <si>
    <t>GEO_TTL</t>
  </si>
  <si>
    <t>AGG_DESC_TTL</t>
  </si>
  <si>
    <t>YEAR</t>
  </si>
  <si>
    <t>AMOUNT</t>
  </si>
  <si>
    <t>United States</t>
  </si>
  <si>
    <t>Total school systems</t>
  </si>
  <si>
    <t>2017</t>
  </si>
  <si>
    <t>Table 1. Annual Estimates of the Resident Population for the United States, Regions, States, and Puerto Rico: April 1, 2010 to July 1, 2019</t>
  </si>
  <si>
    <t>Geographic Area</t>
  </si>
  <si>
    <t>Population Estimate (as of July 1)</t>
  </si>
  <si>
    <t>Census</t>
  </si>
  <si>
    <t>Estimates Base</t>
  </si>
  <si>
    <t>Northeast</t>
  </si>
  <si>
    <t>Midwest</t>
  </si>
  <si>
    <t>South</t>
  </si>
  <si>
    <t>West</t>
  </si>
  <si>
    <t>Puerto Rico</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</si>
  <si>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2019 population estimates series except statistical area delineations are as of January 1, 2019.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</si>
  <si>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</si>
  <si>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2019 (NST-EST2019-01)</t>
  </si>
  <si>
    <t>Source: U.S. Census Bureau, Population Division</t>
  </si>
  <si>
    <t>Release Date: December 2019</t>
  </si>
  <si>
    <t>Government Unit Type</t>
  </si>
  <si>
    <t>Amount</t>
  </si>
  <si>
    <t>Census Year</t>
  </si>
  <si>
    <t>Total Local Government Units</t>
  </si>
  <si>
    <t>Special Purpose Governments</t>
  </si>
  <si>
    <t>General Purpose Governments</t>
  </si>
  <si>
    <t>Subcounty Governments</t>
  </si>
  <si>
    <t>Subcounty Governments - Municipal Governments</t>
  </si>
  <si>
    <t>Subcounty Governments - Township Governments</t>
  </si>
  <si>
    <t>Special Purpose Governments - Special District Governments</t>
  </si>
  <si>
    <t>Special Purpose Governments - Independent School District Governments</t>
  </si>
  <si>
    <t>Foundation Center Data - 2015</t>
  </si>
  <si>
    <t>Abbreviation</t>
  </si>
  <si>
    <t>Year</t>
  </si>
  <si>
    <t>Total Assets</t>
  </si>
  <si>
    <t>Assets (% of Total)</t>
  </si>
  <si>
    <t>Total Giving</t>
  </si>
  <si>
    <t>Giving (% of Total)</t>
  </si>
  <si>
    <t>Number of Foundations (% of Total)</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</si>
  <si>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</si>
  <si>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</si>
  <si>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</si>
  <si>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</si>
  <si>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</si>
  <si>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</si>
  <si>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</si>
  <si>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</si>
  <si>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</si>
  <si>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</si>
  <si>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</si>
  <si>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</si>
  <si>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</si>
  <si>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</si>
  <si>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</si>
  <si>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</si>
  <si>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</si>
  <si>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</si>
  <si>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</si>
  <si>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</si>
  <si>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</si>
  <si>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</si>
  <si>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</si>
  <si>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</si>
  <si>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</si>
  <si>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</si>
  <si>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</si>
  <si>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</si>
  <si>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</si>
  <si>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</si>
  <si>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</si>
  <si>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</si>
  <si>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</si>
  <si>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</si>
  <si>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</si>
  <si>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</si>
  <si>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</si>
  <si>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</si>
  <si>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</si>
  <si>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</si>
  <si>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</si>
  <si>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</si>
  <si>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</si>
  <si>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</si>
  <si>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</si>
  <si>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</si>
  <si>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</si>
  <si>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</si>
  <si>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</si>
  <si>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</si>
  <si>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</si>
  <si>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Copyright: Copyright  2021, The Foundation Center. All rights reserved. Permission to use, copy, and/or distribute this document in whole or in part for internal, noncommercial purposes without fee is hereby granted provided that this notice and appropriate credit to the Foundation Center is included in all copies. All references to data contained in this document must also credit the Foundation Center. No other reproduction, republishing, or dissemination in any manner of form is permitted without prior written consent from the Foundation Center. Requests for written consent should be submitted to the Foundation Center's Research Department.</t>
  </si>
  <si>
    <t># Title: Aggregate Fiscal Data of Foundations in the U.S. by Foundation Type, 2015</t>
  </si>
  <si>
    <t># Footnotes:</t>
  </si>
  <si>
    <t># 3: Only grantmaking operating foundations are included. For some operating foundations, total giving amount includes grants and program expenses; for others, total giving includes only grants. Most operating foundations' qualifying distributions are paid out of administration of operating programs and not for grants.</t>
  </si>
  <si>
    <t># Source: Foundation Center, 2021.</t>
  </si>
  <si>
    <t>name</t>
  </si>
  <si>
    <t>short_name</t>
  </si>
  <si>
    <t>year</t>
  </si>
  <si>
    <t>assets.amount</t>
  </si>
  <si>
    <t>assets.pct</t>
  </si>
  <si>
    <t>giving.amount</t>
  </si>
  <si>
    <t>giving.pct</t>
  </si>
  <si>
    <t>num_foundations.amount</t>
  </si>
  <si>
    <t>num_foundations.pct</t>
  </si>
  <si>
    <t>Community</t>
  </si>
  <si>
    <t>CM</t>
  </si>
  <si>
    <t>CS</t>
  </si>
  <si>
    <t>Independent</t>
  </si>
  <si>
    <t>Operating</t>
  </si>
  <si>
    <t>OP</t>
  </si>
  <si>
    <t>Coverage Units</t>
  </si>
  <si>
    <t>Content Priority</t>
  </si>
  <si>
    <t>Sub-Type</t>
  </si>
  <si>
    <t>Scope/Content</t>
  </si>
  <si>
    <t>Communities Served</t>
  </si>
  <si>
    <t>Ownership</t>
  </si>
  <si>
    <t>Nonprofit</t>
  </si>
  <si>
    <t>National w. Local Bureaus</t>
  </si>
  <si>
    <t>For-profit</t>
  </si>
  <si>
    <t>Hybrid</t>
  </si>
  <si>
    <t>Hub/Support</t>
  </si>
  <si>
    <t>Fiscally Sponsored</t>
  </si>
  <si>
    <t>LGBTQ+</t>
  </si>
  <si>
    <t>Coop</t>
  </si>
  <si>
    <t>Franchise</t>
  </si>
  <si>
    <t>Hyper-local: General</t>
  </si>
  <si>
    <t>Hyper-local: Multiple Related Topics</t>
  </si>
  <si>
    <t>Hyper-local: Single-Topic</t>
  </si>
  <si>
    <t>US Census of Governments 2017</t>
  </si>
  <si>
    <t>US Census Population Estimates 2019</t>
  </si>
  <si>
    <t>INN Index Data 2021 &amp; 2020</t>
  </si>
  <si>
    <t>Recategorized based on our taxonomy</t>
  </si>
  <si>
    <t>Removed global outlets</t>
  </si>
  <si>
    <t>Removed public media</t>
  </si>
  <si>
    <t>The Foundation Center: Aggregate Fiscal Data of Foundations in the U.S., 2015</t>
  </si>
  <si>
    <t>Project Oasis Research Report - March 2021</t>
  </si>
  <si>
    <t>Mark Fuerst Public Radio Data</t>
  </si>
  <si>
    <t>Referred to station websites for staff numbers</t>
  </si>
  <si>
    <t>Democracy Fund Journalism Modeling Project</t>
  </si>
  <si>
    <t>DRAFT - FOR DISCUSSION ONLY</t>
  </si>
  <si>
    <t>Model Outline</t>
  </si>
  <si>
    <t>February 2021</t>
  </si>
  <si>
    <t>BASELINE DATA</t>
  </si>
  <si>
    <t>Category</t>
  </si>
  <si>
    <t>Data</t>
  </si>
  <si>
    <t>Source(s)</t>
  </si>
  <si>
    <t xml:space="preserve">Journalism organization data </t>
  </si>
  <si>
    <t>Type of organization (see Taxonomy tab)</t>
  </si>
  <si>
    <t>INN Index, NewsMatch, numbers sourced from Tony Bowen/Chalkbeat</t>
  </si>
  <si>
    <t># of reporters/editorial staff</t>
  </si>
  <si>
    <t># of support/business staff</t>
  </si>
  <si>
    <t>Non-personnel expenses</t>
  </si>
  <si>
    <t>Annual total operating expenses</t>
  </si>
  <si>
    <t>Annual revenue</t>
  </si>
  <si>
    <t>Revenue split - audience/philanthropy/sponsorships</t>
  </si>
  <si>
    <t>Hub/support organization data</t>
  </si>
  <si>
    <t># of staff</t>
  </si>
  <si>
    <t>Annual operating expenses</t>
  </si>
  <si>
    <t>Coverage units</t>
  </si>
  <si>
    <t>School districts</t>
  </si>
  <si>
    <t>Census data, Abernathy news desert mapping</t>
  </si>
  <si>
    <t>Municipal/county/state governments</t>
  </si>
  <si>
    <t>Special districts</t>
  </si>
  <si>
    <t>Per capita</t>
  </si>
  <si>
    <t>Government funding areas (education, health care, infrastructure, etc.)</t>
  </si>
  <si>
    <t>Designated Market Areas</t>
  </si>
  <si>
    <t>Defined news deserts</t>
  </si>
  <si>
    <t>Per capita - demographic groups (Latinx, Black, LGBTQ+, etc.)</t>
  </si>
  <si>
    <t>Local philanthropy</t>
  </si>
  <si>
    <t>Community foundations by locality and assets</t>
  </si>
  <si>
    <t>Estimates</t>
  </si>
  <si>
    <t>Average salary for reporting/editorial/business staff positions</t>
  </si>
  <si>
    <t>Chalkbeat numbers</t>
  </si>
  <si>
    <t>Indirect rate</t>
  </si>
  <si>
    <t>Startup runway</t>
  </si>
  <si>
    <t>Per interviews</t>
  </si>
  <si>
    <t>Benefits rate</t>
  </si>
  <si>
    <t>INPUTS</t>
  </si>
  <si>
    <t>Assumption</t>
  </si>
  <si>
    <t>Calculation</t>
  </si>
  <si>
    <t># of each type of news org desired per coverage unit</t>
  </si>
  <si>
    <t># of each size (potentially including Chalkbeat/ProPublica bureaus, etc.)</t>
  </si>
  <si>
    <t># of reporters/editorial staff desired per coverage unit</t>
  </si>
  <si>
    <t>Calculate cost based on predetermined ratio of business staff to editorial</t>
  </si>
  <si>
    <t>Failure rate</t>
  </si>
  <si>
    <t>Acquisition &amp; replanting</t>
  </si>
  <si>
    <t>Yes or no, how many, length of time, cost of each, source of funding</t>
  </si>
  <si>
    <t>Local vs. national philanthropy</t>
  </si>
  <si>
    <t>Percentage or amount of philanthropy from each source</t>
  </si>
  <si>
    <t>Philanthropy - startup</t>
  </si>
  <si>
    <t>Years of startup funding at what % of operating budget, sustaining funding, growth/capacity building funding</t>
  </si>
  <si>
    <t>Philanthropy - sustaining</t>
  </si>
  <si>
    <t>Philanthropy - growth</t>
  </si>
  <si>
    <t>Report for America reporters per coverage unit</t>
  </si>
  <si>
    <t>Yes or no, calculate</t>
  </si>
  <si>
    <t>Revenue split</t>
  </si>
  <si>
    <t>Desired percentage of audience/philanthropy/sponsorship revenue</t>
  </si>
  <si>
    <t>OUTPUTS</t>
  </si>
  <si>
    <t>Philanthropic investment needed by year</t>
  </si>
  <si>
    <t>Total # of business staff</t>
  </si>
  <si>
    <t>Total # of reporters/editorial staff</t>
  </si>
  <si>
    <t>Total business/other personnel costs</t>
  </si>
  <si>
    <t>Based on # of staff plus assumed benefits rate</t>
  </si>
  <si>
    <t>Total cost</t>
  </si>
  <si>
    <t>Total non-personnel costs</t>
  </si>
  <si>
    <t>Based on # of orgs of each size using expense data</t>
  </si>
  <si>
    <t>Total philanthropic investment needed</t>
  </si>
  <si>
    <t>Total reporter/editorial personnel costs</t>
  </si>
  <si>
    <t>Taxonomy of Organizations &amp; Model Variables</t>
  </si>
  <si>
    <t>Example Organization(s)</t>
  </si>
  <si>
    <t>6amCity</t>
  </si>
  <si>
    <t>ProPublica</t>
  </si>
  <si>
    <t>Chalkbeat</t>
  </si>
  <si>
    <t>Regional/State</t>
  </si>
  <si>
    <t>VTDigger, Texas Tribune</t>
  </si>
  <si>
    <t>Bridge Michigan, CALMatters</t>
  </si>
  <si>
    <t>Daily Line (Chicago)</t>
  </si>
  <si>
    <t>The City</t>
  </si>
  <si>
    <t>Chicago Reader</t>
  </si>
  <si>
    <t>Windy City Times, The Triibe</t>
  </si>
  <si>
    <t>Devil Strip, South Side Weekly</t>
  </si>
  <si>
    <t>Block Club Chicago</t>
  </si>
  <si>
    <t>Capitol Fax (Chicago)</t>
  </si>
  <si>
    <t>News Revenue Hub, LION</t>
  </si>
  <si>
    <t>COLab, CoastAlaska</t>
  </si>
  <si>
    <t>Resolve Philadelphia, Chicago Independent Media Alliance</t>
  </si>
  <si>
    <t>Reader Media Group</t>
  </si>
  <si>
    <t>Variables</t>
  </si>
  <si>
    <t>Source</t>
  </si>
  <si>
    <t>Organizational Data</t>
  </si>
  <si>
    <t>Ratio of editorial costs to non-editorial costs</t>
  </si>
  <si>
    <t>Fully loaded cost per journalist</t>
  </si>
  <si>
    <t>Other assumptions</t>
  </si>
  <si>
    <t>Total startup financing</t>
  </si>
  <si>
    <t>% of startup financing from philanthropy</t>
  </si>
  <si>
    <t># of years to reach sustainability</t>
  </si>
  <si>
    <t>State Level Calculations</t>
  </si>
  <si>
    <t>Select Your State</t>
  </si>
  <si>
    <t>March 2022</t>
  </si>
  <si>
    <t>N</t>
  </si>
  <si>
    <t>Y</t>
  </si>
  <si>
    <t>Multiplier?</t>
  </si>
  <si>
    <t>STATE MULTIPLIERS</t>
  </si>
  <si>
    <t>STATE STATISTICS</t>
  </si>
  <si>
    <t>Editorial Staff Needed</t>
  </si>
  <si>
    <t>Non-Editorial Staff Needed</t>
  </si>
  <si>
    <t>Regional Calculations</t>
  </si>
  <si>
    <t>REGIONAL STATISTICS</t>
  </si>
  <si>
    <t>ANNUAL EDITORIAL EXPENSES: Calculates editorial expenses using Expense Per Editorial Staff amount in Assumptions tab.</t>
  </si>
  <si>
    <t>EDITORIAL STAFF NEEDED: Calculates number of editorial staff needed, using a state size multiplier to adjust certain coverage units. Coverage units that use the multiplier to calculate are noted with a Y in row 22.</t>
  </si>
  <si>
    <t>NON-EDITORIAL STAFF NEEDED: Calculates number of non-editorial staff using editorial/non-editorial ratio listed in the Assumptions tab (currently 60-40).</t>
  </si>
  <si>
    <t>ANNUAL NON-EDITORIAL EXPENSES: Calculates non-editorial expenses using editorial/non-editorial ratio listed in the Assumptions tab (currently 60-40).</t>
  </si>
  <si>
    <t>INSTRUCTIONS</t>
  </si>
  <si>
    <t>Desired Philanthropic Coverage (Cell B6)</t>
  </si>
  <si>
    <t>Minimum Desired Editorial Staff  (Cells B11:C18)</t>
  </si>
  <si>
    <t>Input minimum desired of each type of organization in the country</t>
  </si>
  <si>
    <t>Ratio of editorial to non-editorial expenses and staff - set at 60-40 based on interviews but can be adjusted as desired.</t>
  </si>
  <si>
    <t>Minimum of Each Org in USA (Cells B7:B20)</t>
  </si>
  <si>
    <t>Expense/Personnel Ratio (Cells B32 &amp; B33)</t>
  </si>
  <si>
    <t>List based on interviews but may be added/removed as desired.</t>
  </si>
  <si>
    <t>NUMBER OF EACH ORG TYPE PER COVERAGE UNIT</t>
  </si>
  <si>
    <t xml:space="preserve">NUMBER OF ORGS NEEDED: Calculates number of each type of organization required on a national basis using amounts input per coverage unit. </t>
  </si>
  <si>
    <t>ANNUAL EDITORIAL EXPENSES: Calculates editorial expenses using averages for each type of organization from INN data.</t>
  </si>
  <si>
    <t>ANNUAL NON-EDITORIAL EXPENSES: Calculates editorial expenses using averages for each type of organization from INN data.</t>
  </si>
  <si>
    <t>TOTAL ANNUAL EXPENSES: Adds editorial and non-editorial expenses calculated above.</t>
  </si>
  <si>
    <t>EDITORIAL STAFF NEEDED: Calculates number of editorial staff needed using averages for each type of organization from INN data.</t>
  </si>
  <si>
    <t>Enter number of each organization type desired per coverage unit</t>
  </si>
  <si>
    <t>State Estimate</t>
  </si>
  <si>
    <t>Select State (Cell B6)</t>
  </si>
  <si>
    <t>Choose the US state you would like to model</t>
  </si>
  <si>
    <t>STATE STATISTICS: Looks up state statistics from census data.</t>
  </si>
  <si>
    <t>STATE SIZE: Looks up state size category from State Data Rollup &amp; Size Tags</t>
  </si>
  <si>
    <t>MULTIPLIER: Looks up state size multiplier from Coverage Units by State Size</t>
  </si>
  <si>
    <t>NUMBER OF EDITORIAL STAFF</t>
  </si>
  <si>
    <t>Number of Editorial Staff (Cells B20:C27)</t>
  </si>
  <si>
    <t>Enter minimum editorial staff per coverage unit, per government focus area/demographic coverage area</t>
  </si>
  <si>
    <t>Enter desired number of editorial staff per coverage unit, per government focus area/demographic coverage area</t>
  </si>
  <si>
    <t>EDITORIAL STAFF NEEDED: Calculates number of editorial staff needed, using state size multiplier to adjust certain coverage units (refer to By Journalist tab to see which coverage units employ the multiplier)</t>
  </si>
  <si>
    <t>NON-EDITORIAL STAFF NEEDED: Calculates number of non-editorial staff using editorial/non-editorial ratio listed in the Assumptions tab.</t>
  </si>
  <si>
    <t>ANNUAL NON-EDITORIAL EXPENSES: Calculates non-editorial expenses using editorial/non-editorial ratio listed in the Assumptions tab.</t>
  </si>
  <si>
    <t>Region Estimate</t>
  </si>
  <si>
    <t>Number of Editorial Staff (Cells B17:C24)</t>
  </si>
  <si>
    <t>Regional Statistics (Cells F17:F24)</t>
  </si>
  <si>
    <t>Enter the coverage unit statistics for the region in question</t>
  </si>
  <si>
    <t>Input desired percentage of revenue for the national ecosystem to be funded by philanthropy</t>
  </si>
  <si>
    <t>Coverage by Types of Orgs - Regional, National, Hubs</t>
  </si>
  <si>
    <t>Number of Each Org Type Per Coverage Unit (Cells D8:K20)</t>
  </si>
  <si>
    <t>Per Government Focus Area</t>
  </si>
  <si>
    <t>Government focus and demographic coverage areas</t>
  </si>
  <si>
    <t>Government Focus Areas</t>
  </si>
  <si>
    <t>Government Funding Areas</t>
  </si>
  <si>
    <t>User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</si>
</sst>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quot;$&quot;#,##0.00"/>
    <numFmt numFmtId="166" formatCode="_(* #,##0_);_(* \(#,##0\);_(* &quot;-&quot;??_);_(@_)"/>
    <numFmt numFmtId="167" formatCode="mmmm\ d\,\ yyyy"/>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2"/>
      <color theme="1"/>
      <name val="Calibri"/>
      <family val="2"/>
      <scheme val="minor"/>
    </font>
    <font>
      <u/>
      <sz val="11"/>
      <color theme="10"/>
      <name val="Calibri"/>
      <family val="2"/>
      <scheme val="minor"/>
    </font>
    <font>
      <sz val="12"/>
      <color theme="1"/>
      <name val="Calibri"/>
      <family val="2"/>
      <scheme val="minor"/>
    </font>
    <font>
      <sz val="12"/>
      <color rgb="FF0070C0"/>
      <name val="Calibri"/>
      <family val="2"/>
      <scheme val="minor"/>
    </font>
    <font>
      <sz val="12"/>
      <name val="Calibri"/>
      <family val="2"/>
      <scheme val="minor"/>
    </font>
    <font>
      <i/>
      <sz val="11"/>
      <color theme="1"/>
      <name val="Calibri"/>
      <family val="2"/>
      <scheme val="minor"/>
    </font>
    <font>
      <sz val="11"/>
      <name val="Calibri"/>
      <family val="2"/>
      <scheme val="minor"/>
    </font>
    <font>
      <sz val="12"/>
      <color rgb="FFFF0000"/>
      <name val="Calibri"/>
      <family val="2"/>
      <scheme val="minor"/>
    </font>
    <font>
      <b/>
      <sz val="12"/>
      <color theme="0"/>
      <name val="Calibri"/>
      <family val="2"/>
      <scheme val="minor"/>
    </font>
    <font>
      <b/>
      <sz val="11"/>
      <color theme="1"/>
      <name val="Calibri"/>
      <family val="2"/>
    </font>
    <font>
      <b/>
      <sz val="11"/>
      <name val="Calibri"/>
      <family val="2"/>
    </font>
    <font>
      <sz val="11"/>
      <color theme="1"/>
      <name val="Calibri"/>
      <family val="2"/>
    </font>
    <font>
      <sz val="11"/>
      <name val="Calibri"/>
      <family val="2"/>
    </font>
    <font>
      <sz val="9"/>
      <color indexed="81"/>
      <name val="Tahoma"/>
      <family val="2"/>
    </font>
    <font>
      <b/>
      <sz val="9"/>
      <color indexed="81"/>
      <name val="Tahoma"/>
      <family val="2"/>
    </font>
    <font>
      <b/>
      <sz val="9"/>
      <color theme="1"/>
      <name val="Calibri"/>
      <family val="2"/>
      <scheme val="minor"/>
    </font>
    <font>
      <sz val="9"/>
      <color theme="1"/>
      <name val="Calibri"/>
      <family val="2"/>
      <scheme val="minor"/>
    </font>
    <font>
      <sz val="9"/>
      <color rgb="FF0070C0"/>
      <name val="Calibri"/>
      <family val="2"/>
      <scheme val="minor"/>
    </font>
    <font>
      <sz val="9"/>
      <color theme="0"/>
      <name val="Calibri"/>
      <family val="2"/>
      <scheme val="minor"/>
    </font>
    <font>
      <b/>
      <sz val="9"/>
      <name val="Calibri"/>
      <family val="2"/>
      <scheme val="minor"/>
    </font>
    <font>
      <sz val="9"/>
      <name val="Calibri"/>
      <family val="2"/>
      <scheme val="minor"/>
    </font>
    <font>
      <i/>
      <sz val="9"/>
      <color theme="1"/>
      <name val="Calibri"/>
      <family val="2"/>
      <scheme val="minor"/>
    </font>
    <font>
      <sz val="9"/>
      <color rgb="FF000000"/>
      <name val="Calibri"/>
      <family val="2"/>
      <scheme val="minor"/>
    </font>
    <font>
      <b/>
      <i/>
      <sz val="9"/>
      <color theme="0"/>
      <name val="Calibri"/>
      <family val="2"/>
      <scheme val="minor"/>
    </font>
    <font>
      <b/>
      <sz val="9"/>
      <color rgb="FF0070C0"/>
      <name val="Calibri"/>
      <family val="2"/>
      <scheme val="minor"/>
    </font>
    <font>
      <b/>
      <sz val="9"/>
      <color theme="4"/>
      <name val="Calibri"/>
      <family val="2"/>
      <scheme val="minor"/>
    </font>
    <font>
      <b/>
      <sz val="9"/>
      <color theme="5" tint="-0.249977111117893"/>
      <name val="Calibri"/>
      <family val="2"/>
      <scheme val="minor"/>
    </font>
    <font>
      <b/>
      <sz val="9"/>
      <color theme="7"/>
      <name val="Calibri"/>
      <family val="2"/>
      <scheme val="minor"/>
    </font>
    <font>
      <sz val="9"/>
      <color indexed="9"/>
      <name val="Calibri"/>
      <family val="2"/>
      <scheme val="minor"/>
    </font>
    <font>
      <sz val="9"/>
      <color rgb="FF000000"/>
      <name val="Arial"/>
      <family val="2"/>
    </font>
    <font>
      <b/>
      <i/>
      <sz val="9"/>
      <color theme="1"/>
      <name val="Calibri"/>
      <family val="2"/>
      <scheme val="minor"/>
    </font>
    <font>
      <b/>
      <sz val="8"/>
      <color theme="0" tint="-0.499984740745262"/>
      <name val="Calibri"/>
      <family val="2"/>
      <scheme val="minor"/>
    </font>
    <font>
      <sz val="8"/>
      <color theme="0" tint="-0.499984740745262"/>
      <name val="Calibri"/>
      <family val="2"/>
      <scheme val="minor"/>
    </font>
    <font>
      <b/>
      <i/>
      <sz val="8"/>
      <color theme="0" tint="-0.499984740745262"/>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
      <patternFill patternType="solid">
        <fgColor theme="4" tint="-0.249977111117893"/>
        <bgColor indexed="64"/>
      </patternFill>
    </fill>
  </fills>
  <borders count="7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34998626667073579"/>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34998626667073579"/>
      </bottom>
      <diagonal/>
    </border>
    <border>
      <left/>
      <right style="thin">
        <color indexed="64"/>
      </right>
      <top style="thin">
        <color theme="0" tint="-0.14996795556505021"/>
      </top>
      <bottom style="thin">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indexed="64"/>
      </left>
      <right/>
      <top style="thin">
        <color theme="0" tint="-0.34998626667073579"/>
      </top>
      <bottom style="thin">
        <color theme="0" tint="-0.14996795556505021"/>
      </bottom>
      <diagonal/>
    </border>
    <border>
      <left/>
      <right/>
      <top style="thin">
        <color theme="0" tint="-0.34998626667073579"/>
      </top>
      <bottom style="thin">
        <color theme="0" tint="-0.14996795556505021"/>
      </bottom>
      <diagonal/>
    </border>
    <border>
      <left/>
      <right style="thin">
        <color indexed="64"/>
      </right>
      <top style="thin">
        <color theme="0" tint="-0.34998626667073579"/>
      </top>
      <bottom style="thin">
        <color theme="0" tint="-0.14996795556505021"/>
      </bottom>
      <diagonal/>
    </border>
    <border>
      <left style="thin">
        <color indexed="64"/>
      </left>
      <right/>
      <top/>
      <bottom style="thin">
        <color theme="0" tint="-0.14996795556505021"/>
      </bottom>
      <diagonal/>
    </border>
    <border>
      <left/>
      <right/>
      <top/>
      <bottom style="thin">
        <color theme="0" tint="-0.14996795556505021"/>
      </bottom>
      <diagonal/>
    </border>
    <border>
      <left/>
      <right style="thin">
        <color indexed="64"/>
      </right>
      <top/>
      <bottom style="thin">
        <color theme="0" tint="-0.14996795556505021"/>
      </bottom>
      <diagonal/>
    </border>
    <border>
      <left/>
      <right/>
      <top style="thin">
        <color theme="1"/>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indexed="64"/>
      </bottom>
      <diagonal/>
    </border>
    <border>
      <left/>
      <right style="thin">
        <color theme="0" tint="-0.34998626667073579"/>
      </right>
      <top/>
      <bottom style="thin">
        <color indexed="64"/>
      </bottom>
      <diagonal/>
    </border>
    <border>
      <left/>
      <right/>
      <top/>
      <bottom style="medium">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thin">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theme="0" tint="-0.34998626667073579"/>
      </bottom>
      <diagonal/>
    </border>
    <border>
      <left style="thin">
        <color auto="1"/>
      </left>
      <right style="thin">
        <color auto="1"/>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style="thin">
        <color auto="1"/>
      </left>
      <right style="thin">
        <color auto="1"/>
      </right>
      <top style="thin">
        <color theme="0" tint="-0.34998626667073579"/>
      </top>
      <bottom style="thin">
        <color indexed="64"/>
      </bottom>
      <diagonal/>
    </border>
    <border>
      <left style="medium">
        <color indexed="64"/>
      </left>
      <right style="thin">
        <color auto="1"/>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s>
  <cellStyleXfs count="8">
    <xf numFmtId="0" fontId="0" fillId="0" borderId="0"/>
    <xf numFmtId="44"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7" fillId="0" borderId="0"/>
    <xf numFmtId="44"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cellStyleXfs>
  <cellXfs count="395">
    <xf numFmtId="0" fontId="0" fillId="0" borderId="0" xfId="0"/>
    <xf numFmtId="0" fontId="3" fillId="0" borderId="0" xfId="0" applyFont="1"/>
    <xf numFmtId="17" fontId="3" fillId="0" borderId="0" xfId="0" quotePrefix="1" applyNumberFormat="1" applyFont="1"/>
    <xf numFmtId="0" fontId="5" fillId="0" borderId="0" xfId="0" applyFont="1"/>
    <xf numFmtId="17" fontId="5" fillId="0" borderId="0" xfId="0" quotePrefix="1" applyNumberFormat="1" applyFont="1"/>
    <xf numFmtId="164" fontId="3" fillId="3" borderId="0" xfId="1" applyNumberFormat="1" applyFont="1" applyFill="1" applyBorder="1"/>
    <xf numFmtId="0" fontId="0" fillId="0" borderId="0" xfId="0" applyAlignment="1">
      <alignment horizontal="right"/>
    </xf>
    <xf numFmtId="164" fontId="2" fillId="2" borderId="1" xfId="1" applyNumberFormat="1" applyFont="1" applyFill="1" applyBorder="1"/>
    <xf numFmtId="164" fontId="4" fillId="2" borderId="2" xfId="1" applyNumberFormat="1" applyFont="1" applyFill="1" applyBorder="1"/>
    <xf numFmtId="164" fontId="4" fillId="2" borderId="3" xfId="1" applyNumberFormat="1" applyFont="1" applyFill="1" applyBorder="1"/>
    <xf numFmtId="164" fontId="3" fillId="3" borderId="4" xfId="1" applyNumberFormat="1" applyFont="1" applyFill="1" applyBorder="1"/>
    <xf numFmtId="164" fontId="3" fillId="3" borderId="5" xfId="1" applyNumberFormat="1" applyFont="1" applyFill="1" applyBorder="1"/>
    <xf numFmtId="0" fontId="0" fillId="0" borderId="9" xfId="0" applyBorder="1"/>
    <xf numFmtId="0" fontId="0" fillId="0" borderId="0" xfId="0" applyAlignment="1">
      <alignment wrapText="1"/>
    </xf>
    <xf numFmtId="0" fontId="0" fillId="0" borderId="4" xfId="0" applyBorder="1"/>
    <xf numFmtId="0" fontId="0" fillId="0" borderId="5" xfId="0" applyBorder="1"/>
    <xf numFmtId="0" fontId="0" fillId="0" borderId="10" xfId="0" applyBorder="1"/>
    <xf numFmtId="0" fontId="0" fillId="0" borderId="11" xfId="0" applyBorder="1"/>
    <xf numFmtId="0" fontId="6" fillId="0" borderId="5" xfId="2"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3" fillId="0" borderId="12" xfId="0" applyFont="1" applyBorder="1"/>
    <xf numFmtId="0" fontId="3" fillId="0" borderId="13" xfId="0" applyFont="1" applyBorder="1"/>
    <xf numFmtId="0" fontId="3"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applyAlignment="1">
      <alignment wrapText="1"/>
    </xf>
    <xf numFmtId="0" fontId="0" fillId="0" borderId="20" xfId="0" applyBorder="1"/>
    <xf numFmtId="0" fontId="0" fillId="0" borderId="21" xfId="0" applyBorder="1" applyAlignment="1">
      <alignment wrapText="1"/>
    </xf>
    <xf numFmtId="0" fontId="0" fillId="0" borderId="22" xfId="0" applyBorder="1"/>
    <xf numFmtId="0" fontId="0" fillId="0" borderId="23" xfId="0" applyBorder="1" applyAlignment="1">
      <alignment wrapText="1"/>
    </xf>
    <xf numFmtId="0" fontId="0" fillId="0" borderId="24" xfId="0" applyBorder="1"/>
    <xf numFmtId="0" fontId="0" fillId="0" borderId="25" xfId="0" applyBorder="1"/>
    <xf numFmtId="0" fontId="0" fillId="0" borderId="26" xfId="0" applyBorder="1" applyAlignment="1">
      <alignment wrapText="1"/>
    </xf>
    <xf numFmtId="0" fontId="0" fillId="0" borderId="18" xfId="0" applyBorder="1" applyAlignment="1">
      <alignment wrapText="1"/>
    </xf>
    <xf numFmtId="0" fontId="0" fillId="0" borderId="15" xfId="0" applyBorder="1" applyAlignment="1">
      <alignment wrapText="1"/>
    </xf>
    <xf numFmtId="0" fontId="0" fillId="0" borderId="20" xfId="0" applyBorder="1" applyAlignment="1">
      <alignment wrapText="1"/>
    </xf>
    <xf numFmtId="0" fontId="0" fillId="0" borderId="16" xfId="0" applyBorder="1" applyAlignment="1">
      <alignment wrapText="1"/>
    </xf>
    <xf numFmtId="0" fontId="0" fillId="0" borderId="22" xfId="0" applyBorder="1" applyAlignment="1">
      <alignment wrapText="1"/>
    </xf>
    <xf numFmtId="0" fontId="0" fillId="0" borderId="17"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7" fillId="0" borderId="0" xfId="4" applyAlignment="1">
      <alignment wrapText="1"/>
    </xf>
    <xf numFmtId="165" fontId="7" fillId="0" borderId="0" xfId="4" applyNumberFormat="1" applyAlignment="1">
      <alignment wrapText="1"/>
    </xf>
    <xf numFmtId="0" fontId="7" fillId="0" borderId="0" xfId="4"/>
    <xf numFmtId="165" fontId="7" fillId="0" borderId="0" xfId="4" applyNumberFormat="1"/>
    <xf numFmtId="165" fontId="8" fillId="0" borderId="0" xfId="4" applyNumberFormat="1" applyFont="1"/>
    <xf numFmtId="0" fontId="8" fillId="0" borderId="0" xfId="4" applyFont="1"/>
    <xf numFmtId="3" fontId="8" fillId="0" borderId="0" xfId="4" applyNumberFormat="1" applyFont="1"/>
    <xf numFmtId="2" fontId="9" fillId="0" borderId="0" xfId="4" applyNumberFormat="1" applyFont="1"/>
    <xf numFmtId="0" fontId="9" fillId="0" borderId="0" xfId="4" applyFont="1"/>
    <xf numFmtId="44" fontId="0" fillId="0" borderId="0" xfId="0" applyNumberFormat="1"/>
    <xf numFmtId="9" fontId="0" fillId="0" borderId="0" xfId="3" applyFont="1"/>
    <xf numFmtId="9" fontId="0" fillId="0" borderId="0" xfId="0" applyNumberFormat="1"/>
    <xf numFmtId="9" fontId="0" fillId="0" borderId="7" xfId="3" applyFont="1" applyBorder="1"/>
    <xf numFmtId="9" fontId="10" fillId="0" borderId="0" xfId="3" applyFont="1"/>
    <xf numFmtId="9" fontId="10" fillId="0" borderId="7" xfId="3" applyFont="1" applyBorder="1"/>
    <xf numFmtId="9" fontId="10" fillId="0" borderId="0" xfId="0" applyNumberFormat="1" applyFont="1"/>
    <xf numFmtId="0" fontId="0" fillId="0" borderId="0" xfId="0" applyAlignment="1">
      <alignment horizontal="center"/>
    </xf>
    <xf numFmtId="2" fontId="0" fillId="0" borderId="0" xfId="0" applyNumberFormat="1"/>
    <xf numFmtId="2" fontId="0" fillId="0" borderId="7" xfId="0" applyNumberFormat="1" applyBorder="1"/>
    <xf numFmtId="165" fontId="9" fillId="0" borderId="0" xfId="4" applyNumberFormat="1" applyFont="1"/>
    <xf numFmtId="0" fontId="11" fillId="0" borderId="0" xfId="4" applyFont="1"/>
    <xf numFmtId="44" fontId="0" fillId="0" borderId="0" xfId="5" applyFont="1" applyFill="1"/>
    <xf numFmtId="44" fontId="8" fillId="0" borderId="0" xfId="5" applyFont="1" applyFill="1"/>
    <xf numFmtId="2" fontId="9" fillId="0" borderId="0" xfId="5" applyNumberFormat="1" applyFont="1" applyFill="1"/>
    <xf numFmtId="43" fontId="8" fillId="0" borderId="0" xfId="6" applyFont="1" applyFill="1"/>
    <xf numFmtId="1" fontId="0" fillId="0" borderId="0" xfId="6" applyNumberFormat="1" applyFont="1" applyFill="1"/>
    <xf numFmtId="1" fontId="7" fillId="0" borderId="0" xfId="4" applyNumberFormat="1"/>
    <xf numFmtId="49" fontId="8" fillId="0" borderId="0" xfId="4" applyNumberFormat="1" applyFont="1"/>
    <xf numFmtId="44" fontId="7" fillId="0" borderId="0" xfId="5" applyFont="1" applyFill="1" applyAlignment="1">
      <alignment wrapText="1"/>
    </xf>
    <xf numFmtId="1" fontId="7" fillId="0" borderId="0" xfId="6" applyNumberFormat="1" applyFont="1" applyFill="1" applyAlignment="1">
      <alignment wrapText="1"/>
    </xf>
    <xf numFmtId="1" fontId="7" fillId="0" borderId="0" xfId="4" applyNumberFormat="1" applyAlignment="1">
      <alignment wrapText="1"/>
    </xf>
    <xf numFmtId="49" fontId="9" fillId="0" borderId="0" xfId="4" applyNumberFormat="1" applyFont="1"/>
    <xf numFmtId="44" fontId="9" fillId="0" borderId="0" xfId="1" applyFont="1"/>
    <xf numFmtId="44" fontId="9" fillId="0" borderId="0" xfId="5" applyFont="1" applyFill="1"/>
    <xf numFmtId="49" fontId="7" fillId="0" borderId="0" xfId="4" applyNumberFormat="1"/>
    <xf numFmtId="44" fontId="7" fillId="0" borderId="0" xfId="4" applyNumberFormat="1"/>
    <xf numFmtId="44" fontId="7" fillId="0" borderId="0" xfId="5" applyFont="1" applyFill="1"/>
    <xf numFmtId="44" fontId="9" fillId="0" borderId="0" xfId="4" applyNumberFormat="1" applyFont="1"/>
    <xf numFmtId="44" fontId="12" fillId="0" borderId="0" xfId="5" applyFont="1" applyFill="1"/>
    <xf numFmtId="0" fontId="7" fillId="0" borderId="0" xfId="0" applyFont="1"/>
    <xf numFmtId="0" fontId="13" fillId="4" borderId="0" xfId="4" applyFont="1" applyFill="1" applyAlignment="1">
      <alignment wrapText="1"/>
    </xf>
    <xf numFmtId="0" fontId="13" fillId="4" borderId="0" xfId="0" applyFont="1" applyFill="1" applyAlignment="1">
      <alignment horizontal="centerContinuous" wrapText="1"/>
    </xf>
    <xf numFmtId="0" fontId="13" fillId="4" borderId="0" xfId="0" applyFont="1" applyFill="1" applyAlignment="1">
      <alignment horizontal="center" wrapText="1"/>
    </xf>
    <xf numFmtId="0" fontId="13" fillId="4" borderId="0" xfId="0" applyFont="1" applyFill="1" applyAlignment="1">
      <alignment horizontal="centerContinuous" vertical="top" wrapText="1"/>
    </xf>
    <xf numFmtId="0" fontId="13" fillId="4" borderId="0" xfId="0" applyFont="1" applyFill="1" applyAlignment="1">
      <alignment horizontal="center" vertical="top" wrapText="1"/>
    </xf>
    <xf numFmtId="0" fontId="13" fillId="4" borderId="33" xfId="4" applyFont="1" applyFill="1" applyBorder="1" applyAlignment="1">
      <alignment wrapText="1"/>
    </xf>
    <xf numFmtId="0" fontId="7" fillId="0" borderId="1" xfId="0" applyFont="1" applyBorder="1"/>
    <xf numFmtId="0" fontId="7" fillId="0" borderId="6" xfId="0" applyFont="1" applyBorder="1"/>
    <xf numFmtId="0" fontId="7" fillId="0" borderId="4" xfId="0" applyFont="1" applyBorder="1"/>
    <xf numFmtId="9" fontId="0" fillId="0" borderId="2" xfId="0" applyNumberFormat="1" applyBorder="1" applyAlignment="1">
      <alignment horizontal="center"/>
    </xf>
    <xf numFmtId="2" fontId="0" fillId="0" borderId="3" xfId="0" applyNumberFormat="1" applyBorder="1" applyAlignment="1">
      <alignment horizontal="center"/>
    </xf>
    <xf numFmtId="9" fontId="0" fillId="0" borderId="7" xfId="0" applyNumberFormat="1" applyBorder="1" applyAlignment="1">
      <alignment horizontal="center"/>
    </xf>
    <xf numFmtId="2" fontId="0" fillId="0" borderId="8" xfId="0" applyNumberForma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9" fontId="0" fillId="0" borderId="0" xfId="0" applyNumberFormat="1" applyAlignment="1">
      <alignment horizontal="center"/>
    </xf>
    <xf numFmtId="2" fontId="0" fillId="0" borderId="5" xfId="0" applyNumberFormat="1" applyBorder="1" applyAlignment="1">
      <alignment horizontal="center"/>
    </xf>
    <xf numFmtId="0" fontId="7" fillId="5" borderId="4" xfId="0" applyFont="1" applyFill="1" applyBorder="1"/>
    <xf numFmtId="9" fontId="0" fillId="5" borderId="0" xfId="0" applyNumberFormat="1" applyFill="1" applyAlignment="1">
      <alignment horizontal="center"/>
    </xf>
    <xf numFmtId="2" fontId="0" fillId="5" borderId="5" xfId="0" applyNumberFormat="1" applyFill="1" applyBorder="1" applyAlignment="1">
      <alignment horizontal="center"/>
    </xf>
    <xf numFmtId="44" fontId="0" fillId="0" borderId="34" xfId="0" applyNumberFormat="1" applyBorder="1" applyAlignment="1">
      <alignment horizontal="center"/>
    </xf>
    <xf numFmtId="44" fontId="0" fillId="0" borderId="35" xfId="0" applyNumberFormat="1" applyBorder="1" applyAlignment="1">
      <alignment horizontal="center"/>
    </xf>
    <xf numFmtId="44" fontId="0" fillId="0" borderId="36" xfId="0" applyNumberFormat="1" applyBorder="1" applyAlignment="1">
      <alignment horizontal="center"/>
    </xf>
    <xf numFmtId="44" fontId="0" fillId="0" borderId="37" xfId="0" applyNumberFormat="1" applyBorder="1" applyAlignment="1">
      <alignment horizontal="center"/>
    </xf>
    <xf numFmtId="44" fontId="0" fillId="5" borderId="36" xfId="0" applyNumberFormat="1" applyFill="1" applyBorder="1" applyAlignment="1">
      <alignment horizontal="center"/>
    </xf>
    <xf numFmtId="44" fontId="0" fillId="5" borderId="37" xfId="0" applyNumberFormat="1" applyFill="1" applyBorder="1" applyAlignment="1">
      <alignment horizontal="center"/>
    </xf>
    <xf numFmtId="2" fontId="0" fillId="0" borderId="34" xfId="0" applyNumberFormat="1" applyBorder="1" applyAlignment="1">
      <alignment horizontal="center"/>
    </xf>
    <xf numFmtId="2" fontId="0" fillId="0" borderId="36" xfId="0" applyNumberFormat="1" applyBorder="1" applyAlignment="1">
      <alignment horizontal="center"/>
    </xf>
    <xf numFmtId="2" fontId="0" fillId="5" borderId="36" xfId="0" applyNumberFormat="1" applyFill="1" applyBorder="1" applyAlignment="1">
      <alignment horizontal="center"/>
    </xf>
    <xf numFmtId="0" fontId="0" fillId="5" borderId="0" xfId="0" applyFill="1" applyAlignment="1">
      <alignment horizontal="center"/>
    </xf>
    <xf numFmtId="0" fontId="13" fillId="4" borderId="0" xfId="4" applyFont="1" applyFill="1" applyAlignment="1">
      <alignment horizontal="center" wrapText="1"/>
    </xf>
    <xf numFmtId="44" fontId="0" fillId="0" borderId="38" xfId="0" applyNumberFormat="1" applyBorder="1" applyAlignment="1">
      <alignment horizontal="center"/>
    </xf>
    <xf numFmtId="44" fontId="0" fillId="0" borderId="39" xfId="0" applyNumberFormat="1" applyBorder="1" applyAlignment="1">
      <alignment horizontal="center"/>
    </xf>
    <xf numFmtId="9" fontId="0" fillId="0" borderId="0" xfId="3" applyFont="1" applyBorder="1" applyAlignment="1">
      <alignment horizontal="center"/>
    </xf>
    <xf numFmtId="2" fontId="0" fillId="0" borderId="38" xfId="0" applyNumberFormat="1" applyBorder="1" applyAlignment="1">
      <alignment horizontal="center"/>
    </xf>
    <xf numFmtId="49" fontId="14" fillId="0" borderId="0" xfId="0" applyNumberFormat="1" applyFont="1"/>
    <xf numFmtId="49" fontId="15" fillId="0" borderId="0" xfId="0" applyNumberFormat="1" applyFont="1" applyAlignment="1">
      <alignment horizontal="left"/>
    </xf>
    <xf numFmtId="49" fontId="16" fillId="0" borderId="0" xfId="0" applyNumberFormat="1" applyFont="1"/>
    <xf numFmtId="3" fontId="17" fillId="0" borderId="0" xfId="0" applyNumberFormat="1" applyFont="1" applyAlignment="1">
      <alignment horizontal="left"/>
    </xf>
    <xf numFmtId="164" fontId="0" fillId="0" borderId="0" xfId="1" applyNumberFormat="1" applyFont="1"/>
    <xf numFmtId="164" fontId="0" fillId="0" borderId="7" xfId="1" applyNumberFormat="1" applyFont="1" applyBorder="1"/>
    <xf numFmtId="164" fontId="0" fillId="0" borderId="0" xfId="0" applyNumberFormat="1"/>
    <xf numFmtId="164" fontId="0" fillId="0" borderId="7" xfId="0" applyNumberFormat="1" applyBorder="1"/>
    <xf numFmtId="166" fontId="0" fillId="0" borderId="0" xfId="0" applyNumberFormat="1"/>
    <xf numFmtId="0" fontId="20" fillId="0" borderId="0" xfId="0" applyFont="1"/>
    <xf numFmtId="0" fontId="21" fillId="0" borderId="0" xfId="0" applyFont="1"/>
    <xf numFmtId="17" fontId="20" fillId="0" borderId="0" xfId="0" quotePrefix="1" applyNumberFormat="1" applyFont="1"/>
    <xf numFmtId="166" fontId="21" fillId="0" borderId="0" xfId="7" applyNumberFormat="1" applyFont="1"/>
    <xf numFmtId="0" fontId="21" fillId="0" borderId="7" xfId="0" applyFont="1" applyBorder="1"/>
    <xf numFmtId="166" fontId="21" fillId="0" borderId="7" xfId="7" applyNumberFormat="1" applyFont="1" applyBorder="1"/>
    <xf numFmtId="0" fontId="25" fillId="0" borderId="0" xfId="0" applyFont="1"/>
    <xf numFmtId="0" fontId="4" fillId="8" borderId="45" xfId="0" applyFont="1" applyFill="1" applyBorder="1" applyAlignment="1">
      <alignment horizontal="centerContinuous"/>
    </xf>
    <xf numFmtId="0" fontId="23" fillId="8" borderId="45" xfId="0" applyFont="1" applyFill="1" applyBorder="1" applyAlignment="1">
      <alignment horizontal="centerContinuous"/>
    </xf>
    <xf numFmtId="0" fontId="22" fillId="0" borderId="0" xfId="0" applyFont="1" applyAlignment="1">
      <alignment horizontal="center"/>
    </xf>
    <xf numFmtId="0" fontId="4" fillId="8" borderId="0" xfId="0" applyFont="1" applyFill="1" applyAlignment="1">
      <alignment horizontal="center"/>
    </xf>
    <xf numFmtId="0" fontId="21" fillId="0" borderId="0" xfId="0" applyFont="1" applyAlignment="1">
      <alignment horizontal="left"/>
    </xf>
    <xf numFmtId="0" fontId="4" fillId="8" borderId="0" xfId="0" applyFont="1" applyFill="1" applyAlignment="1">
      <alignment horizontal="left"/>
    </xf>
    <xf numFmtId="0" fontId="4" fillId="8" borderId="0" xfId="0" applyFont="1" applyFill="1" applyAlignment="1">
      <alignment horizontal="left" wrapText="1"/>
    </xf>
    <xf numFmtId="0" fontId="4" fillId="8" borderId="0" xfId="0" applyFont="1" applyFill="1" applyAlignment="1">
      <alignment horizontal="center" wrapText="1"/>
    </xf>
    <xf numFmtId="166" fontId="21" fillId="0" borderId="0" xfId="7" applyNumberFormat="1" applyFont="1" applyAlignment="1">
      <alignment horizontal="center"/>
    </xf>
    <xf numFmtId="166" fontId="21" fillId="0" borderId="7" xfId="7" applyNumberFormat="1" applyFont="1" applyBorder="1" applyAlignment="1">
      <alignment horizontal="center"/>
    </xf>
    <xf numFmtId="166" fontId="20" fillId="0" borderId="0" xfId="0" applyNumberFormat="1" applyFont="1" applyAlignment="1">
      <alignment horizontal="center"/>
    </xf>
    <xf numFmtId="166" fontId="21" fillId="0" borderId="0" xfId="7" applyNumberFormat="1" applyFont="1" applyAlignment="1"/>
    <xf numFmtId="166" fontId="21" fillId="0" borderId="7" xfId="7" applyNumberFormat="1" applyFont="1" applyBorder="1" applyAlignment="1"/>
    <xf numFmtId="166" fontId="20" fillId="0" borderId="0" xfId="0" applyNumberFormat="1" applyFont="1"/>
    <xf numFmtId="17" fontId="20" fillId="0" borderId="0" xfId="0" applyNumberFormat="1" applyFont="1"/>
    <xf numFmtId="166" fontId="20" fillId="0" borderId="0" xfId="7" applyNumberFormat="1" applyFont="1"/>
    <xf numFmtId="0" fontId="21" fillId="0" borderId="40" xfId="0" applyFont="1" applyBorder="1"/>
    <xf numFmtId="0" fontId="4" fillId="8" borderId="0" xfId="0" applyFont="1" applyFill="1" applyAlignment="1">
      <alignment horizontal="centerContinuous" wrapText="1"/>
    </xf>
    <xf numFmtId="0" fontId="20" fillId="0" borderId="46" xfId="0" applyFont="1" applyBorder="1" applyAlignment="1">
      <alignment horizontal="center"/>
    </xf>
    <xf numFmtId="0" fontId="20" fillId="0" borderId="0" xfId="0" applyFont="1" applyAlignment="1">
      <alignment wrapText="1"/>
    </xf>
    <xf numFmtId="0" fontId="22" fillId="0" borderId="47"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2" fillId="0" borderId="49" xfId="0" applyFont="1" applyBorder="1" applyAlignment="1">
      <alignment horizontal="center"/>
    </xf>
    <xf numFmtId="9" fontId="21" fillId="0" borderId="0" xfId="3" applyFont="1"/>
    <xf numFmtId="9" fontId="20" fillId="0" borderId="0" xfId="3" applyFont="1"/>
    <xf numFmtId="0" fontId="4" fillId="8" borderId="0" xfId="0" applyFont="1" applyFill="1" applyAlignment="1">
      <alignment horizontal="centerContinuous" vertical="top" wrapText="1"/>
    </xf>
    <xf numFmtId="0" fontId="24" fillId="0" borderId="0" xfId="0" applyFont="1" applyAlignment="1">
      <alignment horizontal="left"/>
    </xf>
    <xf numFmtId="0" fontId="24" fillId="0" borderId="0" xfId="0" applyFont="1" applyAlignment="1">
      <alignment horizontal="left" wrapText="1"/>
    </xf>
    <xf numFmtId="0" fontId="21" fillId="0" borderId="4" xfId="0" applyFont="1" applyBorder="1"/>
    <xf numFmtId="164" fontId="21" fillId="0" borderId="0" xfId="1" applyNumberFormat="1" applyFont="1"/>
    <xf numFmtId="0" fontId="24" fillId="0" borderId="0" xfId="0" applyFont="1" applyAlignment="1">
      <alignment horizontal="left" vertical="top" wrapText="1"/>
    </xf>
    <xf numFmtId="0" fontId="24" fillId="0" borderId="0" xfId="0" applyFont="1" applyAlignment="1">
      <alignment horizontal="left" vertical="top"/>
    </xf>
    <xf numFmtId="9" fontId="26" fillId="0" borderId="0" xfId="3" applyFont="1"/>
    <xf numFmtId="164" fontId="21" fillId="0" borderId="4" xfId="1" applyNumberFormat="1" applyFont="1" applyBorder="1"/>
    <xf numFmtId="9" fontId="26" fillId="0" borderId="0" xfId="3" applyFont="1" applyBorder="1"/>
    <xf numFmtId="9" fontId="21" fillId="0" borderId="0" xfId="3" applyFont="1" applyBorder="1"/>
    <xf numFmtId="164" fontId="21" fillId="0" borderId="0" xfId="1" applyNumberFormat="1" applyFont="1" applyAlignment="1">
      <alignment horizontal="right"/>
    </xf>
    <xf numFmtId="0" fontId="20" fillId="0" borderId="7" xfId="0" applyFont="1" applyBorder="1"/>
    <xf numFmtId="164" fontId="21" fillId="0" borderId="6" xfId="1" applyNumberFormat="1" applyFont="1" applyBorder="1"/>
    <xf numFmtId="9" fontId="26" fillId="0" borderId="7" xfId="3" applyFont="1" applyBorder="1"/>
    <xf numFmtId="164" fontId="21" fillId="0" borderId="7" xfId="1" applyNumberFormat="1" applyFont="1" applyBorder="1"/>
    <xf numFmtId="9" fontId="21" fillId="0" borderId="7" xfId="3" applyFont="1" applyBorder="1"/>
    <xf numFmtId="164" fontId="21" fillId="0" borderId="7" xfId="1" applyNumberFormat="1" applyFont="1" applyBorder="1" applyAlignment="1">
      <alignment horizontal="right"/>
    </xf>
    <xf numFmtId="164" fontId="21" fillId="0" borderId="4" xfId="0" applyNumberFormat="1" applyFont="1" applyBorder="1"/>
    <xf numFmtId="9" fontId="26" fillId="0" borderId="0" xfId="0" applyNumberFormat="1" applyFont="1"/>
    <xf numFmtId="9" fontId="21" fillId="0" borderId="0" xfId="0" applyNumberFormat="1" applyFont="1"/>
    <xf numFmtId="9" fontId="21" fillId="0" borderId="0" xfId="3" applyFont="1" applyFill="1" applyBorder="1"/>
    <xf numFmtId="9" fontId="26" fillId="0" borderId="0" xfId="3" applyFont="1" applyFill="1" applyBorder="1"/>
    <xf numFmtId="0" fontId="26" fillId="0" borderId="0" xfId="0" applyFont="1"/>
    <xf numFmtId="0" fontId="25" fillId="0" borderId="0" xfId="0" applyFont="1" applyAlignment="1">
      <alignment horizontal="left"/>
    </xf>
    <xf numFmtId="164" fontId="21" fillId="0" borderId="0" xfId="0" applyNumberFormat="1" applyFont="1"/>
    <xf numFmtId="0" fontId="21" fillId="0" borderId="8" xfId="0" applyFont="1" applyBorder="1"/>
    <xf numFmtId="0" fontId="21" fillId="0" borderId="5" xfId="0" applyFont="1" applyBorder="1"/>
    <xf numFmtId="164" fontId="22" fillId="0" borderId="0" xfId="1" applyNumberFormat="1" applyFont="1"/>
    <xf numFmtId="2" fontId="21" fillId="0" borderId="4" xfId="0" applyNumberFormat="1" applyFont="1" applyBorder="1"/>
    <xf numFmtId="2" fontId="21" fillId="0" borderId="0" xfId="0" applyNumberFormat="1" applyFont="1"/>
    <xf numFmtId="2" fontId="21" fillId="0" borderId="6" xfId="0" applyNumberFormat="1" applyFont="1" applyBorder="1"/>
    <xf numFmtId="2" fontId="21" fillId="0" borderId="7" xfId="0" applyNumberFormat="1" applyFont="1" applyBorder="1"/>
    <xf numFmtId="164" fontId="21" fillId="0" borderId="0" xfId="3" applyNumberFormat="1" applyFont="1"/>
    <xf numFmtId="43" fontId="21" fillId="0" borderId="0" xfId="0" applyNumberFormat="1" applyFont="1"/>
    <xf numFmtId="164" fontId="20" fillId="0" borderId="0" xfId="0" applyNumberFormat="1" applyFont="1"/>
    <xf numFmtId="0" fontId="21" fillId="0" borderId="0" xfId="0" applyFont="1" applyAlignment="1">
      <alignment wrapText="1"/>
    </xf>
    <xf numFmtId="44" fontId="21" fillId="0" borderId="0" xfId="1" applyFont="1"/>
    <xf numFmtId="0" fontId="21" fillId="0" borderId="0" xfId="0" applyFont="1" applyAlignment="1">
      <alignment horizontal="centerContinuous" wrapText="1"/>
    </xf>
    <xf numFmtId="166" fontId="21" fillId="0" borderId="0" xfId="7" applyNumberFormat="1" applyFont="1" applyBorder="1" applyAlignment="1"/>
    <xf numFmtId="164" fontId="21" fillId="0" borderId="0" xfId="1" applyNumberFormat="1" applyFont="1" applyBorder="1" applyAlignment="1"/>
    <xf numFmtId="164" fontId="21" fillId="0" borderId="7" xfId="1" applyNumberFormat="1" applyFont="1" applyBorder="1" applyAlignment="1"/>
    <xf numFmtId="164" fontId="20" fillId="0" borderId="0" xfId="1" applyNumberFormat="1" applyFont="1" applyAlignment="1"/>
    <xf numFmtId="164" fontId="20" fillId="0" borderId="0" xfId="1" applyNumberFormat="1" applyFont="1" applyAlignment="1">
      <alignment horizontal="center"/>
    </xf>
    <xf numFmtId="0" fontId="20" fillId="0" borderId="0" xfId="0" applyFont="1" applyAlignment="1">
      <alignment horizontal="right"/>
    </xf>
    <xf numFmtId="0" fontId="21" fillId="0" borderId="50" xfId="0" applyFont="1" applyBorder="1"/>
    <xf numFmtId="164" fontId="21" fillId="0" borderId="50" xfId="0" applyNumberFormat="1" applyFont="1" applyBorder="1"/>
    <xf numFmtId="9" fontId="21" fillId="0" borderId="50" xfId="3" applyFont="1" applyBorder="1"/>
    <xf numFmtId="9" fontId="21" fillId="0" borderId="50" xfId="0" applyNumberFormat="1" applyFont="1" applyBorder="1"/>
    <xf numFmtId="9" fontId="20" fillId="0" borderId="0" xfId="0" applyNumberFormat="1" applyFont="1"/>
    <xf numFmtId="0" fontId="4" fillId="8" borderId="0" xfId="0" applyFont="1" applyFill="1"/>
    <xf numFmtId="0" fontId="4" fillId="8" borderId="45" xfId="0" applyFont="1" applyFill="1" applyBorder="1"/>
    <xf numFmtId="0" fontId="23" fillId="8" borderId="45" xfId="0" applyFont="1" applyFill="1" applyBorder="1"/>
    <xf numFmtId="0" fontId="22" fillId="0" borderId="41" xfId="0" applyFont="1" applyBorder="1" applyAlignment="1">
      <alignment horizontal="center"/>
    </xf>
    <xf numFmtId="164" fontId="22" fillId="0" borderId="41" xfId="1" applyNumberFormat="1" applyFont="1" applyBorder="1" applyAlignment="1">
      <alignment horizontal="center"/>
    </xf>
    <xf numFmtId="17" fontId="21" fillId="0" borderId="0" xfId="0" applyNumberFormat="1" applyFont="1"/>
    <xf numFmtId="9" fontId="22" fillId="0" borderId="0" xfId="3" applyFont="1" applyAlignment="1">
      <alignment horizontal="center"/>
    </xf>
    <xf numFmtId="9" fontId="22" fillId="0" borderId="1" xfId="3" applyFont="1" applyBorder="1" applyAlignment="1">
      <alignment horizontal="center"/>
    </xf>
    <xf numFmtId="9" fontId="22" fillId="0" borderId="4" xfId="3" applyFont="1" applyBorder="1" applyAlignment="1">
      <alignment horizontal="center"/>
    </xf>
    <xf numFmtId="9" fontId="22" fillId="0" borderId="6" xfId="3" applyFont="1" applyBorder="1" applyAlignment="1">
      <alignment horizontal="center"/>
    </xf>
    <xf numFmtId="9" fontId="22" fillId="0" borderId="42" xfId="3" applyFont="1" applyBorder="1" applyAlignment="1">
      <alignment horizontal="center"/>
    </xf>
    <xf numFmtId="9" fontId="22" fillId="0" borderId="44" xfId="3" applyFont="1" applyBorder="1" applyAlignment="1">
      <alignment horizontal="center"/>
    </xf>
    <xf numFmtId="9" fontId="22" fillId="0" borderId="43" xfId="3" applyFont="1" applyBorder="1" applyAlignment="1">
      <alignment horizontal="center"/>
    </xf>
    <xf numFmtId="9" fontId="21" fillId="0" borderId="51" xfId="3" applyFont="1" applyBorder="1"/>
    <xf numFmtId="9" fontId="22" fillId="0" borderId="7" xfId="3" applyFont="1" applyBorder="1" applyAlignment="1">
      <alignment horizontal="center"/>
    </xf>
    <xf numFmtId="9" fontId="20" fillId="0" borderId="0" xfId="3" applyFont="1" applyAlignment="1">
      <alignment horizontal="center"/>
    </xf>
    <xf numFmtId="9" fontId="21" fillId="0" borderId="0" xfId="3" applyFont="1" applyAlignment="1">
      <alignment horizontal="center"/>
    </xf>
    <xf numFmtId="9" fontId="21" fillId="0" borderId="7" xfId="3" applyFont="1" applyBorder="1" applyAlignment="1">
      <alignment horizontal="center"/>
    </xf>
    <xf numFmtId="0" fontId="21" fillId="0" borderId="0" xfId="3" applyNumberFormat="1" applyFont="1" applyAlignment="1">
      <alignment horizontal="center"/>
    </xf>
    <xf numFmtId="0" fontId="21" fillId="0" borderId="7" xfId="3" applyNumberFormat="1" applyFont="1" applyBorder="1" applyAlignment="1">
      <alignment horizontal="center"/>
    </xf>
    <xf numFmtId="9" fontId="22" fillId="0" borderId="41" xfId="3" applyFont="1" applyBorder="1" applyAlignment="1">
      <alignment horizontal="center"/>
    </xf>
    <xf numFmtId="0" fontId="22" fillId="0" borderId="43" xfId="0" applyFont="1" applyBorder="1" applyAlignment="1">
      <alignment horizontal="center"/>
    </xf>
    <xf numFmtId="0" fontId="22" fillId="0" borderId="42" xfId="0" applyFont="1" applyBorder="1" applyAlignment="1">
      <alignment horizontal="center"/>
    </xf>
    <xf numFmtId="0" fontId="22" fillId="0" borderId="44" xfId="0" applyFont="1" applyBorder="1" applyAlignment="1">
      <alignment horizontal="center"/>
    </xf>
    <xf numFmtId="166" fontId="21" fillId="0" borderId="0" xfId="7" applyNumberFormat="1" applyFont="1" applyBorder="1"/>
    <xf numFmtId="44" fontId="21" fillId="0" borderId="0" xfId="0" applyNumberFormat="1" applyFont="1"/>
    <xf numFmtId="0" fontId="4" fillId="8" borderId="0" xfId="0" applyFont="1" applyFill="1" applyAlignment="1">
      <alignment horizontal="centerContinuous"/>
    </xf>
    <xf numFmtId="166" fontId="21" fillId="0" borderId="0" xfId="0" applyNumberFormat="1" applyFont="1"/>
    <xf numFmtId="43" fontId="21" fillId="0" borderId="0" xfId="7" applyFont="1" applyAlignment="1"/>
    <xf numFmtId="43" fontId="21" fillId="0" borderId="7" xfId="7" applyFont="1" applyBorder="1" applyAlignment="1"/>
    <xf numFmtId="43" fontId="20" fillId="0" borderId="0" xfId="0" applyNumberFormat="1" applyFont="1"/>
    <xf numFmtId="164" fontId="21" fillId="0" borderId="0" xfId="1" applyNumberFormat="1" applyFont="1" applyAlignment="1">
      <alignment horizontal="center"/>
    </xf>
    <xf numFmtId="164" fontId="20" fillId="0" borderId="0" xfId="1" applyNumberFormat="1" applyFont="1"/>
    <xf numFmtId="166" fontId="21" fillId="0" borderId="7" xfId="0" applyNumberFormat="1" applyFont="1" applyBorder="1"/>
    <xf numFmtId="164" fontId="21" fillId="0" borderId="7" xfId="0" applyNumberFormat="1" applyFont="1" applyBorder="1"/>
    <xf numFmtId="166" fontId="20" fillId="0" borderId="7" xfId="0" applyNumberFormat="1" applyFont="1" applyBorder="1"/>
    <xf numFmtId="164" fontId="20" fillId="0" borderId="7" xfId="1" applyNumberFormat="1" applyFont="1" applyBorder="1"/>
    <xf numFmtId="164" fontId="21" fillId="0" borderId="0" xfId="1" applyNumberFormat="1" applyFont="1" applyBorder="1"/>
    <xf numFmtId="166" fontId="20" fillId="0" borderId="7" xfId="7" applyNumberFormat="1" applyFont="1" applyBorder="1"/>
    <xf numFmtId="166" fontId="20" fillId="0" borderId="0" xfId="7" applyNumberFormat="1" applyFont="1" applyAlignment="1">
      <alignment horizontal="center"/>
    </xf>
    <xf numFmtId="164" fontId="20" fillId="0" borderId="2" xfId="1" applyNumberFormat="1" applyFont="1" applyBorder="1"/>
    <xf numFmtId="166" fontId="20" fillId="0" borderId="2" xfId="7" applyNumberFormat="1" applyFont="1" applyBorder="1"/>
    <xf numFmtId="0" fontId="4" fillId="8" borderId="1" xfId="0" applyFont="1" applyFill="1" applyBorder="1" applyAlignment="1">
      <alignment horizontal="centerContinuous" wrapText="1"/>
    </xf>
    <xf numFmtId="0" fontId="4" fillId="8" borderId="3" xfId="0" applyFont="1" applyFill="1" applyBorder="1" applyAlignment="1">
      <alignment horizontal="centerContinuous" wrapText="1"/>
    </xf>
    <xf numFmtId="164" fontId="21" fillId="0" borderId="5" xfId="1" applyNumberFormat="1" applyFont="1" applyBorder="1"/>
    <xf numFmtId="0" fontId="21" fillId="0" borderId="6" xfId="0" applyFont="1" applyBorder="1"/>
    <xf numFmtId="164" fontId="21" fillId="0" borderId="8" xfId="1" applyNumberFormat="1" applyFont="1" applyBorder="1"/>
    <xf numFmtId="0" fontId="20" fillId="0" borderId="52" xfId="0" applyFont="1" applyBorder="1" applyAlignment="1">
      <alignment horizontal="right"/>
    </xf>
    <xf numFmtId="164" fontId="20" fillId="0" borderId="53" xfId="1" applyNumberFormat="1" applyFont="1" applyBorder="1"/>
    <xf numFmtId="166" fontId="21" fillId="0" borderId="5" xfId="7" applyNumberFormat="1" applyFont="1" applyBorder="1"/>
    <xf numFmtId="166" fontId="21" fillId="0" borderId="8" xfId="7" applyNumberFormat="1" applyFont="1" applyBorder="1"/>
    <xf numFmtId="0" fontId="20" fillId="0" borderId="6" xfId="0" applyFont="1" applyBorder="1" applyAlignment="1">
      <alignment horizontal="right"/>
    </xf>
    <xf numFmtId="164" fontId="20" fillId="0" borderId="8" xfId="0" applyNumberFormat="1" applyFont="1" applyBorder="1"/>
    <xf numFmtId="166" fontId="20" fillId="0" borderId="53" xfId="7" applyNumberFormat="1" applyFont="1" applyBorder="1"/>
    <xf numFmtId="0" fontId="20" fillId="0" borderId="0" xfId="0" applyFont="1" applyAlignment="1">
      <alignment horizontal="center" wrapText="1"/>
    </xf>
    <xf numFmtId="0" fontId="27" fillId="0" borderId="0" xfId="0" applyFont="1" applyAlignment="1">
      <alignment vertical="center"/>
    </xf>
    <xf numFmtId="164" fontId="27" fillId="0" borderId="0" xfId="1" applyNumberFormat="1" applyFont="1" applyAlignment="1">
      <alignment vertical="center"/>
    </xf>
    <xf numFmtId="10" fontId="21" fillId="0" borderId="0" xfId="3" applyNumberFormat="1" applyFont="1"/>
    <xf numFmtId="0" fontId="20" fillId="0" borderId="0" xfId="0" applyFont="1" applyAlignment="1">
      <alignment horizontal="center"/>
    </xf>
    <xf numFmtId="164" fontId="25" fillId="0" borderId="0" xfId="1" applyNumberFormat="1" applyFont="1"/>
    <xf numFmtId="0" fontId="28" fillId="8" borderId="0" xfId="0" applyFont="1" applyFill="1" applyAlignment="1">
      <alignment horizontal="centerContinuous" wrapText="1"/>
    </xf>
    <xf numFmtId="0" fontId="20" fillId="0" borderId="13" xfId="0" applyFont="1" applyBorder="1"/>
    <xf numFmtId="0" fontId="4" fillId="8" borderId="54" xfId="0" applyFont="1" applyFill="1" applyBorder="1" applyAlignment="1">
      <alignment horizontal="centerContinuous"/>
    </xf>
    <xf numFmtId="0" fontId="20" fillId="0" borderId="14" xfId="0" applyFont="1" applyBorder="1" applyAlignment="1">
      <alignment horizontal="center"/>
    </xf>
    <xf numFmtId="0" fontId="22" fillId="0" borderId="0" xfId="0" applyFont="1"/>
    <xf numFmtId="0" fontId="22" fillId="0" borderId="40" xfId="0" applyFont="1" applyBorder="1"/>
    <xf numFmtId="166" fontId="21" fillId="0" borderId="40" xfId="7" applyNumberFormat="1" applyFont="1" applyBorder="1"/>
    <xf numFmtId="166" fontId="21" fillId="0" borderId="40" xfId="7" applyNumberFormat="1" applyFont="1" applyBorder="1" applyAlignment="1"/>
    <xf numFmtId="164" fontId="21" fillId="0" borderId="40" xfId="1" applyNumberFormat="1" applyFont="1" applyBorder="1"/>
    <xf numFmtId="0" fontId="21" fillId="0" borderId="0" xfId="0" applyFont="1" applyAlignment="1">
      <alignment horizontal="center"/>
    </xf>
    <xf numFmtId="0" fontId="20" fillId="0" borderId="41" xfId="0" applyFont="1" applyBorder="1" applyAlignment="1" applyProtection="1">
      <alignment horizontal="left" indent="1"/>
      <protection locked="0"/>
    </xf>
    <xf numFmtId="3" fontId="21" fillId="0" borderId="41" xfId="0" applyNumberFormat="1" applyFont="1" applyBorder="1" applyAlignment="1" applyProtection="1">
      <alignment horizontal="right"/>
      <protection locked="0"/>
    </xf>
    <xf numFmtId="0" fontId="20" fillId="0" borderId="44" xfId="0" applyFont="1" applyBorder="1" applyAlignment="1" applyProtection="1">
      <alignment horizontal="left" indent="1"/>
      <protection locked="0"/>
    </xf>
    <xf numFmtId="3" fontId="21" fillId="0" borderId="44" xfId="0" applyNumberFormat="1" applyFont="1" applyBorder="1" applyAlignment="1" applyProtection="1">
      <alignment horizontal="right"/>
      <protection locked="0"/>
    </xf>
    <xf numFmtId="0" fontId="20" fillId="0" borderId="43" xfId="0" applyFont="1" applyBorder="1" applyAlignment="1" applyProtection="1">
      <alignment horizontal="left" indent="1"/>
      <protection locked="0"/>
    </xf>
    <xf numFmtId="3" fontId="21" fillId="0" borderId="43" xfId="0" applyNumberFormat="1" applyFont="1" applyBorder="1" applyAlignment="1" applyProtection="1">
      <alignment horizontal="right"/>
      <protection locked="0"/>
    </xf>
    <xf numFmtId="0" fontId="21" fillId="0" borderId="44" xfId="0" applyFont="1" applyBorder="1" applyProtection="1">
      <protection locked="0"/>
    </xf>
    <xf numFmtId="0" fontId="25" fillId="0" borderId="44" xfId="0" applyFont="1" applyBorder="1" applyProtection="1">
      <protection locked="0"/>
    </xf>
    <xf numFmtId="0" fontId="33" fillId="0" borderId="44" xfId="0" applyFont="1" applyBorder="1" applyProtection="1">
      <protection locked="0"/>
    </xf>
    <xf numFmtId="0" fontId="20" fillId="0" borderId="44" xfId="0" applyFont="1" applyBorder="1" applyProtection="1">
      <protection locked="0"/>
    </xf>
    <xf numFmtId="164" fontId="29" fillId="0" borderId="4" xfId="0" applyNumberFormat="1" applyFont="1" applyBorder="1"/>
    <xf numFmtId="0" fontId="35" fillId="0" borderId="0" xfId="0" applyFont="1"/>
    <xf numFmtId="9" fontId="35" fillId="0" borderId="0" xfId="3" applyFont="1"/>
    <xf numFmtId="0" fontId="24" fillId="0" borderId="13" xfId="0" applyFont="1" applyBorder="1" applyAlignment="1">
      <alignment horizontal="left"/>
    </xf>
    <xf numFmtId="164" fontId="21" fillId="0" borderId="12" xfId="0" applyNumberFormat="1" applyFont="1" applyBorder="1"/>
    <xf numFmtId="9" fontId="26" fillId="0" borderId="13" xfId="0" applyNumberFormat="1" applyFont="1" applyBorder="1"/>
    <xf numFmtId="9" fontId="20" fillId="0" borderId="0" xfId="3" applyFont="1" applyBorder="1"/>
    <xf numFmtId="164" fontId="21" fillId="0" borderId="13" xfId="0" applyNumberFormat="1" applyFont="1" applyBorder="1"/>
    <xf numFmtId="0" fontId="20" fillId="0" borderId="5" xfId="0" applyFont="1" applyBorder="1"/>
    <xf numFmtId="164" fontId="20" fillId="0" borderId="4" xfId="0" applyNumberFormat="1" applyFont="1" applyBorder="1"/>
    <xf numFmtId="9" fontId="35" fillId="0" borderId="0" xfId="0" applyNumberFormat="1" applyFont="1"/>
    <xf numFmtId="164" fontId="20" fillId="0" borderId="0" xfId="1" applyNumberFormat="1" applyFont="1" applyBorder="1"/>
    <xf numFmtId="164" fontId="24" fillId="0" borderId="0" xfId="1" applyNumberFormat="1" applyFont="1"/>
    <xf numFmtId="9" fontId="26" fillId="0" borderId="13" xfId="3" applyFont="1" applyBorder="1"/>
    <xf numFmtId="9" fontId="21" fillId="0" borderId="13" xfId="3" applyFont="1" applyFill="1" applyBorder="1"/>
    <xf numFmtId="9" fontId="26" fillId="0" borderId="13" xfId="3" applyFont="1" applyFill="1" applyBorder="1"/>
    <xf numFmtId="2" fontId="29" fillId="0" borderId="4" xfId="0" applyNumberFormat="1" applyFont="1" applyBorder="1"/>
    <xf numFmtId="2" fontId="20" fillId="0" borderId="0" xfId="0" applyNumberFormat="1" applyFont="1"/>
    <xf numFmtId="166" fontId="20" fillId="0" borderId="0" xfId="7" applyNumberFormat="1" applyFont="1" applyBorder="1"/>
    <xf numFmtId="0" fontId="20" fillId="0" borderId="4" xfId="0" applyFont="1" applyBorder="1" applyAlignment="1">
      <alignment horizontal="right"/>
    </xf>
    <xf numFmtId="0" fontId="25" fillId="0" borderId="0" xfId="0" applyFont="1" applyAlignment="1">
      <alignment horizontal="left" vertical="top" wrapText="1"/>
    </xf>
    <xf numFmtId="2" fontId="21" fillId="0" borderId="0" xfId="0" applyNumberFormat="1" applyFont="1" applyAlignment="1">
      <alignment horizontal="right"/>
    </xf>
    <xf numFmtId="0" fontId="21" fillId="0" borderId="56" xfId="0" applyFont="1" applyBorder="1" applyAlignment="1">
      <alignment horizontal="left"/>
    </xf>
    <xf numFmtId="0" fontId="21" fillId="0" borderId="58" xfId="0" applyFont="1" applyBorder="1"/>
    <xf numFmtId="0" fontId="20" fillId="0" borderId="59" xfId="0" applyFont="1" applyBorder="1"/>
    <xf numFmtId="0" fontId="21" fillId="0" borderId="60" xfId="0" applyFont="1" applyBorder="1"/>
    <xf numFmtId="0" fontId="20" fillId="0" borderId="61" xfId="0" applyFont="1" applyBorder="1"/>
    <xf numFmtId="0" fontId="21" fillId="0" borderId="62" xfId="0" applyFont="1" applyBorder="1"/>
    <xf numFmtId="166" fontId="21" fillId="0" borderId="0" xfId="7" applyNumberFormat="1" applyFont="1" applyBorder="1" applyAlignment="1">
      <alignment horizontal="center"/>
    </xf>
    <xf numFmtId="0" fontId="21" fillId="0" borderId="55" xfId="0" applyFont="1" applyBorder="1"/>
    <xf numFmtId="0" fontId="21" fillId="0" borderId="57" xfId="0" applyFont="1" applyBorder="1"/>
    <xf numFmtId="0" fontId="21" fillId="0" borderId="59" xfId="0" applyFont="1" applyBorder="1"/>
    <xf numFmtId="0" fontId="21" fillId="0" borderId="61" xfId="0" applyFont="1" applyBorder="1"/>
    <xf numFmtId="166" fontId="21" fillId="0" borderId="2" xfId="7" applyNumberFormat="1" applyFont="1" applyBorder="1" applyAlignment="1">
      <alignment horizontal="center"/>
    </xf>
    <xf numFmtId="164" fontId="21" fillId="0" borderId="7" xfId="1" applyNumberFormat="1" applyFont="1" applyBorder="1" applyAlignment="1">
      <alignment horizontal="center"/>
    </xf>
    <xf numFmtId="0" fontId="21" fillId="0" borderId="0" xfId="7" applyNumberFormat="1" applyFont="1" applyBorder="1" applyAlignment="1">
      <alignment horizontal="right"/>
    </xf>
    <xf numFmtId="0" fontId="20" fillId="0" borderId="41" xfId="0" applyFont="1" applyBorder="1" applyAlignment="1" applyProtection="1">
      <alignment horizontal="center" vertical="center" wrapText="1"/>
      <protection locked="0"/>
    </xf>
    <xf numFmtId="0" fontId="36" fillId="0" borderId="0" xfId="0" applyFont="1" applyAlignment="1">
      <alignment horizontal="center" wrapText="1"/>
    </xf>
    <xf numFmtId="0" fontId="37" fillId="0" borderId="0" xfId="0" applyFont="1"/>
    <xf numFmtId="0" fontId="38" fillId="0" borderId="0" xfId="0" applyFont="1" applyAlignment="1">
      <alignment horizontal="center" wrapText="1"/>
    </xf>
    <xf numFmtId="0" fontId="25" fillId="0" borderId="0" xfId="0" applyFont="1" applyAlignment="1">
      <alignment horizontal="center"/>
    </xf>
    <xf numFmtId="0" fontId="21" fillId="0" borderId="41" xfId="0" applyFont="1" applyBorder="1" applyAlignment="1">
      <alignment horizontal="center"/>
    </xf>
    <xf numFmtId="0" fontId="21" fillId="0" borderId="63" xfId="0" applyFont="1" applyBorder="1" applyAlignment="1">
      <alignment horizontal="left" wrapText="1"/>
    </xf>
    <xf numFmtId="166" fontId="21" fillId="0" borderId="64" xfId="7" applyNumberFormat="1" applyFont="1" applyBorder="1"/>
    <xf numFmtId="0" fontId="21" fillId="0" borderId="65" xfId="0" applyFont="1" applyBorder="1" applyAlignment="1">
      <alignment horizontal="left" wrapText="1"/>
    </xf>
    <xf numFmtId="166" fontId="21" fillId="0" borderId="66" xfId="7" applyNumberFormat="1" applyFont="1" applyBorder="1"/>
    <xf numFmtId="0" fontId="21" fillId="0" borderId="67" xfId="0" applyFont="1" applyBorder="1" applyAlignment="1">
      <alignment horizontal="left" wrapText="1"/>
    </xf>
    <xf numFmtId="166" fontId="21" fillId="0" borderId="68" xfId="7" applyNumberFormat="1" applyFont="1" applyBorder="1"/>
    <xf numFmtId="0" fontId="21" fillId="0" borderId="43" xfId="0" applyFont="1" applyBorder="1" applyAlignment="1">
      <alignment horizontal="center"/>
    </xf>
    <xf numFmtId="0" fontId="22" fillId="0" borderId="69" xfId="0" applyFont="1" applyBorder="1" applyAlignment="1">
      <alignment horizontal="center"/>
    </xf>
    <xf numFmtId="0" fontId="22" fillId="0" borderId="70" xfId="0" applyFont="1" applyBorder="1" applyAlignment="1">
      <alignment horizontal="center"/>
    </xf>
    <xf numFmtId="0" fontId="22" fillId="0" borderId="71" xfId="0" applyFont="1" applyBorder="1" applyAlignment="1">
      <alignment horizontal="center"/>
    </xf>
    <xf numFmtId="0" fontId="22" fillId="0" borderId="72" xfId="0" applyFont="1" applyBorder="1" applyAlignment="1">
      <alignment horizontal="center"/>
    </xf>
    <xf numFmtId="0" fontId="22" fillId="0" borderId="73" xfId="0" applyFont="1" applyBorder="1" applyAlignment="1">
      <alignment horizontal="center"/>
    </xf>
    <xf numFmtId="0" fontId="22" fillId="0" borderId="74" xfId="0" applyFont="1" applyBorder="1" applyAlignment="1">
      <alignment horizontal="center"/>
    </xf>
    <xf numFmtId="166" fontId="22" fillId="0" borderId="75" xfId="7" applyNumberFormat="1" applyFont="1" applyBorder="1"/>
    <xf numFmtId="166" fontId="22" fillId="0" borderId="76" xfId="7" applyNumberFormat="1" applyFont="1" applyBorder="1"/>
    <xf numFmtId="166" fontId="22" fillId="0" borderId="77" xfId="7" applyNumberFormat="1" applyFont="1" applyBorder="1"/>
    <xf numFmtId="0" fontId="21" fillId="0" borderId="1" xfId="0" applyFont="1" applyBorder="1"/>
    <xf numFmtId="0" fontId="20" fillId="0" borderId="50" xfId="0" applyFont="1" applyBorder="1"/>
    <xf numFmtId="166" fontId="20" fillId="0" borderId="50" xfId="0" applyNumberFormat="1" applyFont="1" applyBorder="1"/>
    <xf numFmtId="164" fontId="20" fillId="0" borderId="50" xfId="0" applyNumberFormat="1" applyFont="1" applyBorder="1"/>
    <xf numFmtId="0" fontId="21" fillId="0" borderId="0" xfId="0" applyFont="1" applyAlignment="1">
      <alignment vertical="top"/>
    </xf>
    <xf numFmtId="0" fontId="21" fillId="0" borderId="0" xfId="0" applyFont="1" applyAlignment="1">
      <alignment vertical="top" wrapText="1"/>
    </xf>
    <xf numFmtId="0" fontId="21" fillId="0" borderId="4" xfId="0" applyFont="1" applyBorder="1" applyAlignment="1">
      <alignment vertical="top"/>
    </xf>
    <xf numFmtId="0" fontId="21" fillId="0" borderId="6" xfId="0" applyFont="1" applyBorder="1" applyAlignment="1">
      <alignment vertical="top"/>
    </xf>
    <xf numFmtId="0" fontId="21" fillId="0" borderId="7" xfId="0" applyFont="1" applyBorder="1" applyAlignment="1">
      <alignment vertical="top" wrapText="1"/>
    </xf>
    <xf numFmtId="0" fontId="21" fillId="0" borderId="5" xfId="0" applyFont="1" applyBorder="1" applyAlignment="1">
      <alignment vertical="top" wrapText="1"/>
    </xf>
    <xf numFmtId="0" fontId="21" fillId="0" borderId="5" xfId="0" applyFont="1" applyBorder="1" applyAlignment="1">
      <alignment vertical="top"/>
    </xf>
    <xf numFmtId="0" fontId="4" fillId="8" borderId="12" xfId="0" applyFont="1" applyFill="1" applyBorder="1" applyAlignment="1">
      <alignment horizontal="left" wrapText="1"/>
    </xf>
    <xf numFmtId="0" fontId="4" fillId="8" borderId="13" xfId="0" applyFont="1" applyFill="1" applyBorder="1" applyAlignment="1">
      <alignment horizontal="left" wrapText="1"/>
    </xf>
    <xf numFmtId="0" fontId="4" fillId="8" borderId="14" xfId="0" applyFont="1" applyFill="1" applyBorder="1" applyAlignment="1">
      <alignment horizontal="left" wrapText="1"/>
    </xf>
    <xf numFmtId="0" fontId="20" fillId="0" borderId="4" xfId="0" applyFont="1" applyBorder="1" applyAlignment="1">
      <alignment vertical="top"/>
    </xf>
    <xf numFmtId="0" fontId="21" fillId="3" borderId="0" xfId="0" applyFont="1" applyFill="1" applyAlignment="1">
      <alignment vertical="top"/>
    </xf>
    <xf numFmtId="0" fontId="21" fillId="3" borderId="4" xfId="0" applyFont="1" applyFill="1" applyBorder="1" applyAlignment="1">
      <alignment vertical="top"/>
    </xf>
    <xf numFmtId="0" fontId="21" fillId="3" borderId="5" xfId="0" applyFont="1" applyFill="1" applyBorder="1" applyAlignment="1">
      <alignment vertical="top"/>
    </xf>
    <xf numFmtId="0" fontId="34" fillId="0" borderId="0" xfId="0" applyFont="1" applyAlignment="1">
      <alignment horizontal="center" vertical="center"/>
    </xf>
    <xf numFmtId="0" fontId="20" fillId="7" borderId="1" xfId="0" applyFont="1" applyFill="1" applyBorder="1" applyProtection="1">
      <protection locked="0"/>
    </xf>
    <xf numFmtId="0" fontId="20" fillId="7" borderId="2" xfId="0" applyFont="1" applyFill="1" applyBorder="1"/>
    <xf numFmtId="0" fontId="20" fillId="7" borderId="3" xfId="0" applyFont="1" applyFill="1" applyBorder="1"/>
    <xf numFmtId="0" fontId="20" fillId="7" borderId="4" xfId="0" applyFont="1" applyFill="1" applyBorder="1" applyAlignment="1" applyProtection="1">
      <alignment wrapText="1"/>
      <protection locked="0"/>
    </xf>
    <xf numFmtId="0" fontId="20" fillId="7" borderId="0" xfId="0" applyFont="1" applyFill="1"/>
    <xf numFmtId="0" fontId="20" fillId="7" borderId="5" xfId="0" applyFont="1" applyFill="1" applyBorder="1"/>
    <xf numFmtId="0" fontId="20" fillId="7" borderId="6" xfId="0" applyFont="1" applyFill="1" applyBorder="1" applyProtection="1">
      <protection locked="0"/>
    </xf>
    <xf numFmtId="0" fontId="20" fillId="7" borderId="7" xfId="0" applyFont="1" applyFill="1" applyBorder="1"/>
    <xf numFmtId="0" fontId="20" fillId="7" borderId="8" xfId="0" applyFont="1" applyFill="1" applyBorder="1"/>
    <xf numFmtId="0" fontId="24" fillId="6" borderId="41" xfId="0" applyFont="1" applyFill="1" applyBorder="1" applyAlignment="1" applyProtection="1">
      <alignment horizontal="left" vertical="center" wrapText="1"/>
      <protection locked="0"/>
    </xf>
    <xf numFmtId="0" fontId="21" fillId="0" borderId="41" xfId="0" applyFont="1" applyBorder="1" applyAlignment="1" applyProtection="1">
      <alignment horizontal="left" vertical="center" wrapText="1"/>
      <protection locked="0"/>
    </xf>
    <xf numFmtId="0" fontId="20" fillId="0" borderId="42" xfId="0" applyFont="1" applyBorder="1" applyAlignment="1" applyProtection="1">
      <alignment horizontal="center" vertical="center"/>
      <protection locked="0"/>
    </xf>
    <xf numFmtId="0" fontId="21" fillId="0" borderId="43" xfId="0" applyFont="1" applyBorder="1" applyAlignment="1" applyProtection="1">
      <alignment vertical="center"/>
      <protection locked="0"/>
    </xf>
    <xf numFmtId="0" fontId="20" fillId="6" borderId="41" xfId="0" applyFont="1" applyFill="1" applyBorder="1" applyAlignment="1" applyProtection="1">
      <alignment horizontal="center" vertical="center" wrapText="1"/>
      <protection locked="0"/>
    </xf>
    <xf numFmtId="0" fontId="20" fillId="0" borderId="41" xfId="0" applyFont="1" applyBorder="1" applyAlignment="1" applyProtection="1">
      <alignment horizontal="center" vertical="center" wrapText="1"/>
      <protection locked="0"/>
    </xf>
    <xf numFmtId="167" fontId="20" fillId="6" borderId="41" xfId="0" applyNumberFormat="1" applyFont="1" applyFill="1" applyBorder="1" applyAlignment="1" applyProtection="1">
      <alignment horizontal="center" vertical="center" wrapText="1"/>
      <protection locked="0"/>
    </xf>
    <xf numFmtId="0" fontId="25" fillId="0" borderId="12" xfId="0" applyFont="1" applyBorder="1" applyAlignment="1" applyProtection="1">
      <alignment wrapText="1"/>
      <protection locked="0"/>
    </xf>
    <xf numFmtId="0" fontId="25" fillId="0" borderId="13" xfId="0" applyFont="1" applyBorder="1" applyAlignment="1">
      <alignment wrapText="1"/>
    </xf>
    <xf numFmtId="0" fontId="25" fillId="0" borderId="14" xfId="0" applyFont="1" applyBorder="1" applyAlignment="1">
      <alignment wrapText="1"/>
    </xf>
  </cellXfs>
  <cellStyles count="8">
    <cellStyle name="Comma" xfId="7" builtinId="3"/>
    <cellStyle name="Comma 2" xfId="6" xr:uid="{7053CED0-0D61-4477-B2B5-F162F958B35D}"/>
    <cellStyle name="Currency" xfId="1" builtinId="4"/>
    <cellStyle name="Currency 2" xfId="5" xr:uid="{4BF9A637-9584-4CE8-AE68-AFD901EC3FFC}"/>
    <cellStyle name="Hyperlink" xfId="2" builtinId="8"/>
    <cellStyle name="Normal" xfId="0" builtinId="0"/>
    <cellStyle name="Normal 2" xfId="4" xr:uid="{7B157439-D079-4844-8EF9-49D5AF65CB90}"/>
    <cellStyle name="Percent" xfId="3" builtinId="5"/>
  </cellStyles>
  <dxfs count="104">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name val="Calibri"/>
        <family val="2"/>
        <scheme val="minor"/>
      </font>
      <numFmt numFmtId="34" formatCode="_(&quot;$&quot;* #,##0.00_);_(&quot;$&quot;* \(#,##0.00\);_(&quot;$&quot;* &quot;-&quot;??_);_(@_)"/>
    </dxf>
    <dxf>
      <font>
        <strike val="0"/>
        <outline val="0"/>
        <shadow val="0"/>
        <u val="none"/>
        <vertAlign val="baseline"/>
        <sz val="12"/>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name val="Calibri"/>
        <family val="2"/>
        <scheme val="minor"/>
      </font>
      <numFmt numFmtId="165" formatCode="&quot;$&quot;#,##0.00"/>
      <fill>
        <patternFill patternType="none">
          <fgColor indexed="64"/>
          <bgColor indexed="65"/>
        </patternFill>
      </fill>
    </dxf>
    <dxf>
      <font>
        <strike val="0"/>
        <outline val="0"/>
        <shadow val="0"/>
        <u val="none"/>
        <vertAlign val="baseline"/>
        <sz val="12"/>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0" formatCode="Genera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strike val="0"/>
        <outline val="0"/>
        <shadow val="0"/>
        <u val="none"/>
        <vertAlign val="baseline"/>
        <sz val="12"/>
        <color rgb="FF0070C0"/>
        <name val="Calibri"/>
        <family val="2"/>
        <scheme val="minor"/>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165" formatCode="&quot;$&quot;#,##0.00"/>
    </dxf>
    <dxf>
      <font>
        <strike val="0"/>
        <outline val="0"/>
        <shadow val="0"/>
        <u val="none"/>
        <vertAlign val="baseline"/>
        <sz val="12"/>
        <color rgb="FF0070C0"/>
        <name val="Calibri"/>
        <family val="2"/>
        <scheme val="minor"/>
      </font>
      <fill>
        <patternFill patternType="none">
          <fgColor indexed="64"/>
          <bgColor auto="1"/>
        </patternFill>
      </fill>
    </dxf>
    <dxf>
      <numFmt numFmtId="165" formatCode="&quot;$&quot;#,##0.00"/>
    </dxf>
    <dxf>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165" formatCode="&quot;$&quot;#,##0.00"/>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font>
        <strike val="0"/>
        <outline val="0"/>
        <shadow val="0"/>
        <u val="none"/>
        <vertAlign val="baseline"/>
        <sz val="12"/>
        <color rgb="FF0070C0"/>
        <name val="Calibri"/>
        <family val="2"/>
        <scheme val="minor"/>
      </font>
      <numFmt numFmtId="165" formatCode="&quot;$&quot;#,##0.00"/>
      <fill>
        <patternFill patternType="none">
          <fgColor indexed="64"/>
          <bgColor auto="1"/>
        </patternFill>
      </fill>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05284-1B77-4796-BCB6-F9558E372F67}" name="Table13" displayName="Table13" ref="A1:AY235" totalsRowShown="0" headerRowDxfId="101" dataDxfId="100">
  <autoFilter ref="A1:AY235" xr:uid="{00000000-0009-0000-0100-000001000000}"/>
  <sortState xmlns:xlrd2="http://schemas.microsoft.com/office/spreadsheetml/2017/richdata2" ref="A2:AY235">
    <sortCondition ref="H1:H235"/>
  </sortState>
  <tableColumns count="51">
    <tableColumn id="123" xr3:uid="{848D6A18-3A9A-4038-8221-8F93C369CECF}" name="Neon ID" dataDxfId="99" dataCellStyle="Normal 2"/>
    <tableColumn id="9" xr3:uid="{0413C15A-6401-4024-A0D0-8FAAA0D07A2B}" name="Launch Year" dataDxfId="98"/>
    <tableColumn id="14" xr3:uid="{7DD83789-4233-447B-8F1E-B4EC232D1EBA}" name="Content Type" dataCellStyle="Normal 2"/>
    <tableColumn id="10" xr3:uid="{033DC22B-C351-4F11-B79B-0C26993B319A}" name="Geographic Scope" dataDxfId="97"/>
    <tableColumn id="11" xr3:uid="{19823F9D-070A-496E-9E61-EA5C6DA9EB16}" name="Sub-Type/Focus" dataDxfId="96"/>
    <tableColumn id="1" xr3:uid="{78BBB3B0-98E3-4EF8-88C1-16D6082F042F}" name="Scope/Sub-Type" dataDxfId="95" dataCellStyle="Normal 2">
      <calculatedColumnFormula>_xlfn.CONCAT(Table13[[#This Row],[Geographic Scope]],": ",Table13[[#This Row],[Sub-Type/Focus]])</calculatedColumnFormula>
    </tableColumn>
    <tableColumn id="30" xr3:uid="{8690D0FB-EEEE-4C52-AB09-690FA0FAF608}" name="Scope/Sub-Type/Content Type" dataDxfId="94" dataCellStyle="Normal 2">
      <calculatedColumnFormula>_xlfn.CONCAT(Table13[[#This Row],[Geographic Scope]],": ",Table13[[#This Row],[Sub-Type/Focus]],": ",Table13[[#This Row],[Content Type]])</calculatedColumnFormula>
    </tableColumn>
    <tableColumn id="15" xr3:uid="{3978E0AC-E9C1-4675-B308-2FC033272AFB}" name="Scope/Content Type" dataDxfId="93" dataCellStyle="Normal 2">
      <calculatedColumnFormula>_xlfn.CONCAT(Table13[[#This Row],[Geographic Scope]],": ",Table13[[#This Row],[Content Type]])</calculatedColumnFormula>
    </tableColumn>
    <tableColumn id="2" xr3:uid="{7194357C-B099-4448-BBB5-51D0004241E6}" name="TOTAL INCOME" dataDxfId="92" dataCellStyle="Normal 2">
      <calculatedColumnFormula>Table13[[#This Row],[Total Contributed Income]]+Table13[[#This Row],[Total Earned Income]]</calculatedColumnFormula>
    </tableColumn>
    <tableColumn id="3" xr3:uid="{95754B19-0F31-4A44-91D1-06DFFBAEDAA0}" name="Total Contributed Income" dataDxfId="91" dataCellStyle="Normal 2">
      <calculatedColumnFormula>Table13[[#This Row],[Cont. Income - Foundation]]+Table13[[#This Row],[Cont. Income - Membership]]+Table13[[#This Row],[Cont. Income - Small Donors]]+Table13[[#This Row],[Cont. Income - Med. Donors]]+Table13[[#This Row],[Cont. Income - Major Donors]]+Table13[[#This Row],[Cont. Income - Other]]</calculatedColumnFormula>
    </tableColumn>
    <tableColumn id="4" xr3:uid="{B016CDE7-0CED-48D7-A34C-4FE5CA5B61A7}" name="Total Earned Income" dataDxfId="90" dataCellStyle="Normal 2">
      <calculatedColumnFormula>Table13[[#This Row],[Earned Income - Advertising]]+Table13[[#This Row],[Earned Income - Sponsorships/Underwriting]]+Table13[[#This Row],[Earned Income - Events]]+Table13[[#This Row],[Earned Income - Subscriptions]]+Table13[[#This Row],[Earned Income - Syndication]]+Table13[[#This Row],[Earned Income - Other]]</calculatedColumnFormula>
    </tableColumn>
    <tableColumn id="16" xr3:uid="{AA712AA9-8D77-4C70-96D7-5E42FD7E0102}" name="Cont. Income - Foundation" dataDxfId="89"/>
    <tableColumn id="17" xr3:uid="{1A773B7F-F47D-47F0-8EDE-B037A4C9B46A}" name="Cont. Income - Membership" dataDxfId="88"/>
    <tableColumn id="13" xr3:uid="{0B8658D6-7FE2-4F64-86C2-8D66368E76AE}" name="Total Individual Donations" dataDxfId="87" dataCellStyle="Normal 2">
      <calculatedColumnFormula>SUM(Table13[[#This Row],[Cont. Income - Small Donors]:[Cont. Income - Major Donors]])</calculatedColumnFormula>
    </tableColumn>
    <tableColumn id="18" xr3:uid="{9B51F4BE-BD41-4B02-B3AC-A23B227C9B57}" name="Cont. Income - Small Donors" dataDxfId="86"/>
    <tableColumn id="19" xr3:uid="{9F784BF7-7B2A-4953-9AC0-2FFA977C01F0}" name="Cont. Income - Med. Donors" dataDxfId="85"/>
    <tableColumn id="20" xr3:uid="{9D879367-DC7F-4125-85F0-3E205552D03C}" name="Cont. Income - Major Donors" dataDxfId="84"/>
    <tableColumn id="21" xr3:uid="{D62F47CC-C6A3-4CA7-88D0-6B414014B442}" name="Cont. Income - Other" dataDxfId="83"/>
    <tableColumn id="22" xr3:uid="{2A3E9972-11DB-4A52-AA00-4BC71F501CC5}" name="Cont. Income - Other Desc." dataDxfId="82"/>
    <tableColumn id="23" xr3:uid="{DAB702DB-8645-4065-90BC-B10667D60EE6}" name="Earned Income - Advertising" dataDxfId="81"/>
    <tableColumn id="24" xr3:uid="{F3126CDF-EDB7-4718-9571-62C9DFAD8E4C}" name="Earned Income - Sponsorships/Underwriting" dataDxfId="80"/>
    <tableColumn id="25" xr3:uid="{7671AB32-DFFB-4825-8402-D2BE242F4F59}" name="Earned Income - Events" dataDxfId="79"/>
    <tableColumn id="26" xr3:uid="{CA595129-2850-4CFE-8A54-1219E3CFEDF2}" name="Earned Income - Subscriptions" dataDxfId="78"/>
    <tableColumn id="27" xr3:uid="{82406370-FFA9-46BE-B4DA-A2415F011EC9}" name="Earned Income - Syndication" dataDxfId="77"/>
    <tableColumn id="28" xr3:uid="{79CA441B-3922-4E2A-8F1B-AFB672655B26}" name="Earned Income - Other" dataDxfId="76"/>
    <tableColumn id="29" xr3:uid="{CCB03F3A-8B31-489D-AAB2-2808D6611016}" name="Earned Income - Other Desc." dataDxfId="75"/>
    <tableColumn id="5" xr3:uid="{6C2F4FAA-1DE5-4874-B3F0-E8B5D44BB2E3}" name="TOTAL EXPENSES" dataDxfId="74" dataCellStyle="Normal 2">
      <calculatedColumnFormula>Table13[[#This Row],[Expenses - Editorial]]+Table13[[#This Row],[Expenses - Revenue Generation]]+Table13[[#This Row],[Expenses - Tech]]+Table13[[#This Row],[Expenses - Admin]]</calculatedColumnFormula>
    </tableColumn>
    <tableColumn id="41" xr3:uid="{867D8EEA-67DA-473F-8BE2-DCA7789CC303}" name="Expenses - Editorial" dataDxfId="73"/>
    <tableColumn id="8" xr3:uid="{D467D593-DC11-4733-85E2-6738B4C4DAEE}" name="Expenses - Non-Editorial" dataDxfId="72" dataCellStyle="Normal 2">
      <calculatedColumnFormula>SUM(Table13[[#This Row],[Expenses - Revenue Generation]:[Expenses - Admin]])</calculatedColumnFormula>
    </tableColumn>
    <tableColumn id="42" xr3:uid="{4B1A1498-B799-419A-B761-74DA021DFD7E}" name="Expenses - Revenue Generation" dataDxfId="71"/>
    <tableColumn id="43" xr3:uid="{9C96634A-0711-4C46-81EF-331AE2694F9F}" name="Expenses - Tech" dataDxfId="70"/>
    <tableColumn id="44" xr3:uid="{DF989D11-36E0-48DE-8672-2B8371B85133}" name="Expenses - Admin" dataDxfId="69"/>
    <tableColumn id="12" xr3:uid="{59321635-EE76-4F1C-BD8A-053D01D720FE}" name="Total FTE" dataDxfId="68" dataCellStyle="Normal 2">
      <calculatedColumnFormula>Table13[[#This Row],[Total FTE - Editorial]]+Table13[[#This Row],[Total FTE - Non-Editorial]]</calculatedColumnFormula>
    </tableColumn>
    <tableColumn id="6" xr3:uid="{52A74594-3893-4A2B-A5B8-59BA51D4E51F}" name="Total FTE - Editorial" dataDxfId="67" dataCellStyle="Normal 2">
      <calculatedColumnFormula>Table13[[#This Row],[FTE Salaried - Editorial]]+Table13[[#This Row],[FTE Contractors - Editorial]]</calculatedColumnFormula>
    </tableColumn>
    <tableColumn id="89" xr3:uid="{A08CF887-544B-46BF-A749-959DACA78719}" name="FTE Salaried - Editorial" dataDxfId="66"/>
    <tableColumn id="90" xr3:uid="{A1BC91AE-D4B1-4975-8DCE-9FA0E98FD591}" name="FTE Contractors - Editorial" dataDxfId="65"/>
    <tableColumn id="7" xr3:uid="{FCF50F43-99EF-42BE-B83D-9E71F3813331}" name="Total FTE - Non-Editorial" dataDxfId="64" dataCellStyle="Normal 2">
      <calculatedColumnFormula>Table13[[#This Row],[FTE Salaried - Non-Editorial]]+Table13[[#This Row],[FTE Contractors - Non-Editorial]]</calculatedColumnFormula>
    </tableColumn>
    <tableColumn id="91" xr3:uid="{DE8D457D-ABA6-4C0D-B92B-98EE18AD9AC0}" name="FTE Salaried - Non-Editorial" dataDxfId="63"/>
    <tableColumn id="92" xr3:uid="{2FA335ED-59AA-4723-B30B-5C8D8EE2E74D}" name="FTE Contractors - Non-Editorial" dataDxfId="62"/>
    <tableColumn id="100" xr3:uid="{746C7480-ABC9-4265-B17D-D9B27557D391}" name="Primary Medium" dataDxfId="61"/>
    <tableColumn id="102" xr3:uid="{3871082B-7A2A-43E1-B96D-87F6B5B53C0F}" name="Medium 2" dataDxfId="60"/>
    <tableColumn id="103" xr3:uid="{93B7BE92-4AB8-4F09-A9CF-673166C6D539}" name="Medium 3" dataDxfId="59"/>
    <tableColumn id="114" xr3:uid="{B6159939-A7DB-4370-B5CE-5E0384344A41}" name="Avg. Monthly Uniques" dataDxfId="58"/>
    <tableColumn id="115" xr3:uid="{3D8371FF-C0B2-4925-94EF-C28B6FDFE076}" name="Newsletter Subs" dataDxfId="57"/>
    <tableColumn id="116" xr3:uid="{B808FE3A-74E8-4898-A6B7-BB39A95E34EF}" name="Total Print Run" dataDxfId="56"/>
    <tableColumn id="117" xr3:uid="{A00CF274-E239-44A3-81B5-80F1F78DE87A}" name="Print Publications" dataDxfId="55"/>
    <tableColumn id="118" xr3:uid="{0C3DB393-46C0-473A-BEFC-A33B87EBBF8F}" name="Radio Reach" dataDxfId="54"/>
    <tableColumn id="119" xr3:uid="{1A82DD84-2D9C-4F9C-99D4-0042659C4A04}" name="TV Reach" dataDxfId="53"/>
    <tableColumn id="120" xr3:uid="{B43DC3D8-94A7-443F-ABDC-7D98C513636F}" name="Podcast Downloads Monthly" dataDxfId="52"/>
    <tableColumn id="121" xr3:uid="{2C1582C2-7A5D-45DC-9A24-0368AA79BB5E}" name="Other Reach Data" dataDxfId="51"/>
    <tableColumn id="122" xr3:uid="{F3B4A33E-F37C-4D65-A9D8-4A75D0F3C53A}" name="Other Reach" dataDxfId="5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BFECFF-9DBF-439B-88E5-763D353328C6}" name="Table1" displayName="Table1" ref="A1:AV109" totalsRowShown="0" headerRowDxfId="49" dataDxfId="48">
  <autoFilter ref="A1:AV109" xr:uid="{5944C477-4D76-B449-ACD0-DCF595AB3A15}"/>
  <sortState xmlns:xlrd2="http://schemas.microsoft.com/office/spreadsheetml/2017/richdata2" ref="A2:AV109">
    <sortCondition ref="A1:A109"/>
  </sortState>
  <tableColumns count="48">
    <tableColumn id="310" xr3:uid="{31384115-7A67-4836-A9DA-4BD530E59116}" name="NeonID" dataDxfId="47"/>
    <tableColumn id="11" xr3:uid="{76B5E1E2-0ABE-422A-8E4A-F725E27FF02D}" name="Spacer Column" dataDxfId="46" dataCellStyle="Normal 2"/>
    <tableColumn id="265" xr3:uid="{A8993B92-EA63-48EE-ACDD-D57A8F08A3EB}" name="Geographic Scope" dataDxfId="45"/>
    <tableColumn id="266" xr3:uid="{5CD3B885-35CB-44A1-B06A-F457BE6F9184}" name="Sub-Type/Focus" dataDxfId="44"/>
    <tableColumn id="1" xr3:uid="{2E3EC6DB-B43F-4A7B-A414-B858E268AD07}" name="Scope/Sub-Type" dataDxfId="43">
      <calculatedColumnFormula>_xlfn.CONCAT(Table1[[#This Row],[Geographic Scope]],": ",Table1[[#This Row],[Sub-Type/Focus]])</calculatedColumnFormula>
    </tableColumn>
    <tableColumn id="2" xr3:uid="{905C7AAA-B556-4A6A-8424-EDF15A81D6B0}" name="Total Income" dataDxfId="42">
      <calculatedColumnFormula>Table1[[#This Row],[Total Contributed Income]]+Table1[[#This Row],[Total Earned Income]]</calculatedColumnFormula>
    </tableColumn>
    <tableColumn id="3" xr3:uid="{DBE763E4-5113-447F-AD94-B4265BD14D08}" name="Total Contributed Income" dataDxfId="41">
      <calculatedColumnFormula>IFERROR((Table1[[#This Row],[Cont. Income - Foundation]]+Table1[[#This Row],[Cont. Income - Membership]]+Table1[[#This Row],[Cont. Income - Small Donors]]+Table1[[#This Row],[Cont. Income - Med. Donors]]+Table1[[#This Row],[Cont. Income - Major Donors]]+Table1[[#This Row],[Cont. Income - Other]]),0)</calculatedColumnFormula>
    </tableColumn>
    <tableColumn id="10" xr3:uid="{1D7DB75C-1219-40A1-889E-86517D022D94}" name="Total Earned Income" dataDxfId="40" dataCellStyle="Normal 2">
      <calculatedColumnFormula>IFERROR((Table1[[#This Row],[Earned Income - Advertising]]+Table1[[#This Row],[Earned Income - Sponsorships/Underwriting]]+Table1[[#This Row],[Earned Income - Events]]+Table1[[#This Row],[Earned Income - Subscriptions]]+Table1[[#This Row],[Earned Income - Syndication]]+Table1[[#This Row],[Earned Income - Other TOTAL]]),0)</calculatedColumnFormula>
    </tableColumn>
    <tableColumn id="269" xr3:uid="{B689D1B5-E413-4CCC-B154-1A715DDAAC89}" name="Cont. Income - Foundation" dataDxfId="39" dataCellStyle="Currency"/>
    <tableColumn id="270" xr3:uid="{34A46F49-9CFE-4B83-A691-CAAA3FDEE35A}" name="Cont. Income - Membership" dataDxfId="38" dataCellStyle="Currency"/>
    <tableColumn id="271" xr3:uid="{BB0F09B5-70B2-4388-8258-F1B4BD8427E0}" name="Cont. Income - Small Donors" dataDxfId="37" dataCellStyle="Currency"/>
    <tableColumn id="272" xr3:uid="{4197B487-4373-42F1-9E4C-17E5DB7E09FE}" name="Cont. Income - Med. Donors" dataDxfId="36" dataCellStyle="Currency"/>
    <tableColumn id="273" xr3:uid="{D11CF799-A7A0-432D-A27C-B9CD0FE101DD}" name="Cont. Income - Major Donors" dataDxfId="35" dataCellStyle="Currency"/>
    <tableColumn id="274" xr3:uid="{3BE4DFC8-AA1E-47E6-8F7A-47E5D1DDF4DE}" name="Cont. Income - Other" dataDxfId="34" dataCellStyle="Currency"/>
    <tableColumn id="275" xr3:uid="{367CCCDD-CA39-4B88-8FD5-9C68E7D6CD4C}" name="Cont. Income - Other Desc." dataDxfId="33"/>
    <tableColumn id="276" xr3:uid="{42D2DFC2-4527-493E-BAF5-42A71539EF3E}" name="Earned Income - Advertising" dataDxfId="32" dataCellStyle="Currency"/>
    <tableColumn id="277" xr3:uid="{F49AC3F5-B414-441B-AB27-F4B5546D55AD}" name="Earned Income - Sponsorships/Underwriting" dataDxfId="31" dataCellStyle="Currency"/>
    <tableColumn id="278" xr3:uid="{4B3A7071-3AC3-4912-86D1-E3AB0D4A6CB6}" name="Earned Income - Events" dataDxfId="30" dataCellStyle="Currency"/>
    <tableColumn id="279" xr3:uid="{C48A1881-7A6E-4926-ADFD-A711675284E4}" name="Earned Income - Subscriptions" dataDxfId="29" dataCellStyle="Currency"/>
    <tableColumn id="280" xr3:uid="{F0BAE6E1-F2FB-4299-9DC2-2E6D08DA4F86}" name="Earned Income - Syndication" dataDxfId="28" dataCellStyle="Currency"/>
    <tableColumn id="4" xr3:uid="{A035A2BA-5A6E-43AE-B6EE-3F9DCB5D91D1}" name="Earned Income - Other TOTAL" dataDxfId="27" dataCellStyle="Currency">
      <calculatedColumnFormula>IFERROR(Table1[[#This Row],[Earned Income - Training Fees]]+Table1[[#This Row],[Earned Income - Fees]]+Table1[[#This Row],[Earned Income - Investments]]+Table1[[#This Row],[Earned Income - Other]],0)</calculatedColumnFormula>
    </tableColumn>
    <tableColumn id="281" xr3:uid="{762BFBD0-2A6E-4967-A99E-2912C662B0D0}" name="Earned Income - Training Fees" dataDxfId="26" dataCellStyle="Currency"/>
    <tableColumn id="282" xr3:uid="{D8B226F0-B20A-4492-8C6B-D7C2D570D4B8}" name="Earned Income - Fees" dataDxfId="25" dataCellStyle="Currency"/>
    <tableColumn id="283" xr3:uid="{5CCC5683-4123-4744-81B8-DD295B8B7B59}" name="Earned Income - Fees Desc." dataDxfId="24"/>
    <tableColumn id="286" xr3:uid="{0A314E16-95A9-4E29-8502-A15B41EB92A6}" name="Earned Income - Investments" dataDxfId="23" dataCellStyle="Currency"/>
    <tableColumn id="284" xr3:uid="{41519E43-F7EA-4308-847B-33B3894392FC}" name="Earned Income - Other" dataDxfId="22" dataCellStyle="Currency"/>
    <tableColumn id="285" xr3:uid="{945E7800-6D42-42C6-BF24-61026906517B}" name="Earned Income - Other Desc." dataDxfId="21"/>
    <tableColumn id="311" xr3:uid="{24073255-F301-4028-A502-C769F2A8084C}" name="TOTAL EXPENSES" dataDxfId="20" dataCellStyle="Currency">
      <calculatedColumnFormula>SUM(AC2:AD2)</calculatedColumnFormula>
    </tableColumn>
    <tableColumn id="292" xr3:uid="{EF2C3030-7514-4A1D-A815-83AEAE83C0FE}" name="Expenses - Editorial" dataDxfId="19" dataCellStyle="Currency"/>
    <tableColumn id="5" xr3:uid="{1C257339-F5C7-4EFF-857D-554405D442D8}" name="Expenses - Non-Editorial" dataDxfId="18" dataCellStyle="Currency">
      <calculatedColumnFormula>SUM(Table1[[#This Row],[Expenses - Revenue Generation]:[Expenses - Admin]])</calculatedColumnFormula>
    </tableColumn>
    <tableColumn id="293" xr3:uid="{FC2232B6-A8E9-4D24-AAA8-252B6167CA5D}" name="Expenses - Revenue Generation" dataDxfId="17" dataCellStyle="Currency"/>
    <tableColumn id="294" xr3:uid="{4CFDF4C0-DB23-455A-82FD-2E2317406529}" name="Expenses - Tech" dataDxfId="16" dataCellStyle="Currency"/>
    <tableColumn id="295" xr3:uid="{1B878B47-AAB1-4234-A51F-C601544D3F58}" name="Expenses - Admin" dataDxfId="15" dataCellStyle="Currency"/>
    <tableColumn id="8" xr3:uid="{0EC6129D-A54F-46FD-B6B6-D49BC4B9911B}" name="Total FTE" dataDxfId="14" dataCellStyle="Currency">
      <calculatedColumnFormula>Table1[[#This Row],[Total FTE - Editorial]]+Table1[[#This Row],[Total FTE - Non-Editorial]]</calculatedColumnFormula>
    </tableColumn>
    <tableColumn id="6" xr3:uid="{46D5EB1B-1C2A-4550-A582-BB775CB0067B}" name="Total FTE - Editorial" dataDxfId="13" dataCellStyle="Currency">
      <calculatedColumnFormula>Table1[[#This Row],[FTE Salaried - Editorial]]+Table1[[#This Row],[FTE Contractors - Editorial]]</calculatedColumnFormula>
    </tableColumn>
    <tableColumn id="221" xr3:uid="{5A6EFA0A-1E7E-4FAC-ADFE-A624C9F4C873}" name="FTE Salaried - Editorial" dataDxfId="12"/>
    <tableColumn id="222" xr3:uid="{5777D873-04AB-403B-ABF6-1A7E586449E6}" name="FTE Contractors - Editorial" dataDxfId="11"/>
    <tableColumn id="7" xr3:uid="{592D9DCF-1000-4F4A-814E-A90994D9B85E}" name="Total FTE - Non-Editorial" dataDxfId="10">
      <calculatedColumnFormula>Table1[[#This Row],[FTE Salaried - Non-Editorial]]+Table1[[#This Row],[FTE Contractors - Non-Editorial]]</calculatedColumnFormula>
    </tableColumn>
    <tableColumn id="223" xr3:uid="{CB31666F-F1AC-464E-B1F2-44A038CD67A4}" name="FTE Salaried - Non-Editorial" dataDxfId="9"/>
    <tableColumn id="224" xr3:uid="{A69D5AB5-C010-4186-B031-7377FA1C1D37}" name="FTE Contractors - Non-Editorial" dataDxfId="8"/>
    <tableColumn id="298" xr3:uid="{BFF7EEF6-64E0-42A2-B58A-FC955905E3C1}" name="Primary Medium" dataDxfId="7"/>
    <tableColumn id="299" xr3:uid="{B1CDFDF6-EBB1-4A4C-82A1-971B3A1221A7}" name="Medium Other" dataDxfId="6"/>
    <tableColumn id="302" xr3:uid="{1F1AD40F-8ACA-414F-8F9B-4E2ED85A0F3E}" name="Avg. Monthly Uniques" dataDxfId="5"/>
    <tableColumn id="303" xr3:uid="{4E252B78-DBA6-42C1-80C0-9DD981537433}" name="Newsletter Subs" dataDxfId="4"/>
    <tableColumn id="304" xr3:uid="{29BB329B-3201-47ED-902F-6538CB05F403}" name="Total Print Run" dataDxfId="3"/>
    <tableColumn id="305" xr3:uid="{EE4AADAF-1C41-449A-9487-E1BAE1BFF7C7}" name="Print Publications" dataDxfId="2"/>
    <tableColumn id="306" xr3:uid="{BD04BE57-5002-4753-95B7-6E796EC4E89F}" name="Broadcast Reach" dataDxfId="1"/>
    <tableColumn id="307" xr3:uid="{9603C66E-CE1E-49BA-8D98-BE618D7B5A4E}" name="Broadcast Uni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036-5C37-4C9B-9476-1D06C547E60F}">
  <sheetPr>
    <tabColor theme="8" tint="0.39997558519241921"/>
  </sheetPr>
  <dimension ref="A1:F17"/>
  <sheetViews>
    <sheetView view="pageBreakPreview" zoomScale="160" zoomScaleNormal="145" zoomScaleSheetLayoutView="160" workbookViewId="0">
      <selection activeCell="A14" sqref="A14"/>
    </sheetView>
  </sheetViews>
  <sheetFormatPr baseColWidth="10" defaultColWidth="9.1640625" defaultRowHeight="12" x14ac:dyDescent="0.15"/>
  <cols>
    <col min="1" max="1" width="17.6640625" style="137" customWidth="1"/>
    <col min="2" max="2" width="14.5" style="137" customWidth="1"/>
    <col min="3" max="3" width="10.83203125" style="137" customWidth="1"/>
    <col min="4" max="16384" width="9.1640625" style="137"/>
  </cols>
  <sheetData>
    <row r="1" spans="1:6" x14ac:dyDescent="0.15">
      <c r="A1" s="136" t="s">
        <v>0</v>
      </c>
      <c r="F1" s="213" t="s">
        <v>1</v>
      </c>
    </row>
    <row r="2" spans="1:6" x14ac:dyDescent="0.15">
      <c r="A2" s="136" t="s">
        <v>2</v>
      </c>
    </row>
    <row r="3" spans="1:6" x14ac:dyDescent="0.15">
      <c r="A3" s="138" t="s">
        <v>3</v>
      </c>
    </row>
    <row r="4" spans="1:6" x14ac:dyDescent="0.15">
      <c r="A4" s="157" t="s">
        <v>4</v>
      </c>
    </row>
    <row r="5" spans="1:6" x14ac:dyDescent="0.15">
      <c r="A5" s="157"/>
    </row>
    <row r="6" spans="1:6" x14ac:dyDescent="0.15">
      <c r="A6" s="143" t="s">
        <v>5</v>
      </c>
      <c r="B6" s="143"/>
      <c r="C6" s="143"/>
    </row>
    <row r="7" spans="1:6" ht="13" x14ac:dyDescent="0.15">
      <c r="A7" s="150"/>
      <c r="B7" s="150" t="s">
        <v>6</v>
      </c>
      <c r="C7" s="150" t="s">
        <v>7</v>
      </c>
    </row>
    <row r="8" spans="1:6" x14ac:dyDescent="0.15">
      <c r="A8" s="224" t="s">
        <v>8</v>
      </c>
      <c r="B8" s="226">
        <v>0.8</v>
      </c>
      <c r="C8" s="229">
        <v>0.2</v>
      </c>
    </row>
    <row r="9" spans="1:6" x14ac:dyDescent="0.15">
      <c r="A9" s="224" t="s">
        <v>9</v>
      </c>
      <c r="B9" s="227">
        <v>0.6</v>
      </c>
      <c r="C9" s="230">
        <v>0.4</v>
      </c>
    </row>
    <row r="10" spans="1:6" x14ac:dyDescent="0.15">
      <c r="A10" s="224" t="s">
        <v>10</v>
      </c>
      <c r="B10" s="227">
        <v>0.4</v>
      </c>
      <c r="C10" s="230">
        <v>0.6</v>
      </c>
    </row>
    <row r="11" spans="1:6" x14ac:dyDescent="0.15">
      <c r="A11" s="224" t="s">
        <v>11</v>
      </c>
      <c r="B11" s="227">
        <v>0.2</v>
      </c>
      <c r="C11" s="230">
        <v>0.8</v>
      </c>
    </row>
    <row r="12" spans="1:6" x14ac:dyDescent="0.15">
      <c r="A12" s="224" t="s">
        <v>12</v>
      </c>
      <c r="B12" s="228">
        <v>0.5</v>
      </c>
      <c r="C12" s="231">
        <v>0.5</v>
      </c>
    </row>
    <row r="13" spans="1:6" x14ac:dyDescent="0.15">
      <c r="A13" s="157"/>
    </row>
    <row r="14" spans="1:6" x14ac:dyDescent="0.15">
      <c r="A14" s="143" t="s">
        <v>13</v>
      </c>
      <c r="B14" s="143"/>
      <c r="C14" s="143"/>
      <c r="D14" s="143"/>
      <c r="E14" s="143"/>
      <c r="F14" s="143"/>
    </row>
    <row r="15" spans="1:6" ht="13" x14ac:dyDescent="0.15">
      <c r="A15" s="150"/>
      <c r="B15" s="150" t="s">
        <v>14</v>
      </c>
      <c r="C15" s="150" t="s">
        <v>15</v>
      </c>
      <c r="D15" s="150" t="s">
        <v>16</v>
      </c>
      <c r="E15" s="150" t="s">
        <v>17</v>
      </c>
      <c r="F15" s="150" t="s">
        <v>18</v>
      </c>
    </row>
    <row r="16" spans="1:6" x14ac:dyDescent="0.15">
      <c r="A16" s="137" t="s">
        <v>19</v>
      </c>
    </row>
    <row r="17" spans="1:1" x14ac:dyDescent="0.15">
      <c r="A17" s="137" t="s">
        <v>20</v>
      </c>
    </row>
  </sheetData>
  <pageMargins left="0.7" right="0.7" top="0.75" bottom="0.75" header="0.3" footer="0.3"/>
  <pageSetup scale="71" orientation="portrait" horizontalDpi="1200"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97AF4-41DA-4BD9-816C-32BEF1C6FF9F}">
  <sheetPr>
    <tabColor theme="7" tint="0.39997558519241921"/>
  </sheetPr>
  <dimension ref="A1:K31"/>
  <sheetViews>
    <sheetView view="pageBreakPreview" zoomScale="130" zoomScaleNormal="100" zoomScaleSheetLayoutView="130" workbookViewId="0">
      <selection activeCell="D17" sqref="D17"/>
    </sheetView>
  </sheetViews>
  <sheetFormatPr baseColWidth="10" defaultColWidth="9.1640625" defaultRowHeight="12" x14ac:dyDescent="0.15"/>
  <cols>
    <col min="1" max="1" width="1.83203125" style="137" bestFit="1" customWidth="1"/>
    <col min="2" max="2" width="16.6640625" style="137" customWidth="1"/>
    <col min="3" max="3" width="16.5" style="137" bestFit="1" customWidth="1"/>
    <col min="4" max="11" width="15.5" style="137" customWidth="1"/>
    <col min="12" max="16384" width="9.1640625" style="137"/>
  </cols>
  <sheetData>
    <row r="1" spans="1:11" x14ac:dyDescent="0.15">
      <c r="B1" s="136" t="s">
        <v>0</v>
      </c>
      <c r="J1" s="213"/>
    </row>
    <row r="2" spans="1:11" x14ac:dyDescent="0.15">
      <c r="B2" s="136" t="s">
        <v>2</v>
      </c>
    </row>
    <row r="3" spans="1:11" x14ac:dyDescent="0.15">
      <c r="B3" s="138" t="str">
        <f>INSTRUCTIONS!A3</f>
        <v>March 2022</v>
      </c>
    </row>
    <row r="4" spans="1:11" x14ac:dyDescent="0.15">
      <c r="B4" s="138" t="s">
        <v>90</v>
      </c>
    </row>
    <row r="5" spans="1:11" x14ac:dyDescent="0.15">
      <c r="B5" s="136"/>
    </row>
    <row r="6" spans="1:11" x14ac:dyDescent="0.15">
      <c r="B6" s="143" t="s">
        <v>146</v>
      </c>
      <c r="C6" s="144"/>
      <c r="D6" s="144"/>
      <c r="E6" s="142"/>
    </row>
    <row r="7" spans="1:11" x14ac:dyDescent="0.15">
      <c r="B7" s="148" t="s">
        <v>147</v>
      </c>
      <c r="C7" s="148" t="s">
        <v>148</v>
      </c>
      <c r="D7" s="146" t="s">
        <v>149</v>
      </c>
    </row>
    <row r="8" spans="1:11" x14ac:dyDescent="0.15">
      <c r="B8" s="137" t="s">
        <v>61</v>
      </c>
      <c r="C8" s="147" t="s">
        <v>150</v>
      </c>
      <c r="D8" s="145">
        <v>0.5</v>
      </c>
    </row>
    <row r="9" spans="1:11" x14ac:dyDescent="0.15">
      <c r="B9" s="137" t="s">
        <v>62</v>
      </c>
      <c r="C9" s="147" t="s">
        <v>151</v>
      </c>
      <c r="D9" s="145">
        <v>1</v>
      </c>
    </row>
    <row r="10" spans="1:11" x14ac:dyDescent="0.15">
      <c r="B10" s="137" t="s">
        <v>63</v>
      </c>
      <c r="C10" s="147" t="s">
        <v>152</v>
      </c>
      <c r="D10" s="145">
        <v>2</v>
      </c>
    </row>
    <row r="11" spans="1:11" x14ac:dyDescent="0.15">
      <c r="B11" s="137" t="s">
        <v>64</v>
      </c>
      <c r="C11" s="147" t="s">
        <v>153</v>
      </c>
      <c r="D11" s="145">
        <v>3</v>
      </c>
    </row>
    <row r="12" spans="1:11" x14ac:dyDescent="0.15">
      <c r="B12" s="137" t="s">
        <v>65</v>
      </c>
      <c r="C12" s="147" t="s">
        <v>154</v>
      </c>
      <c r="D12" s="145">
        <v>4</v>
      </c>
    </row>
    <row r="14" spans="1:11" x14ac:dyDescent="0.15">
      <c r="B14" s="143" t="s">
        <v>155</v>
      </c>
      <c r="C14" s="143"/>
      <c r="D14" s="143"/>
      <c r="E14" s="143"/>
      <c r="F14" s="143"/>
      <c r="G14" s="143"/>
      <c r="H14" s="143"/>
      <c r="I14" s="143"/>
      <c r="J14" s="143"/>
      <c r="K14" s="143"/>
    </row>
    <row r="15" spans="1:11" ht="26" x14ac:dyDescent="0.15">
      <c r="A15" s="137">
        <v>1</v>
      </c>
      <c r="B15" s="149" t="s">
        <v>58</v>
      </c>
      <c r="C15" s="150" t="s">
        <v>156</v>
      </c>
      <c r="D15" s="150" t="s">
        <v>59</v>
      </c>
      <c r="E15" s="150" t="s">
        <v>50</v>
      </c>
      <c r="F15" s="150" t="s">
        <v>51</v>
      </c>
      <c r="G15" s="150" t="s">
        <v>52</v>
      </c>
      <c r="H15" s="150" t="s">
        <v>53</v>
      </c>
      <c r="I15" s="150" t="s">
        <v>54</v>
      </c>
      <c r="J15" s="150" t="s">
        <v>55</v>
      </c>
      <c r="K15" s="150" t="s">
        <v>56</v>
      </c>
    </row>
    <row r="16" spans="1:11" x14ac:dyDescent="0.15">
      <c r="A16" s="137">
        <v>2</v>
      </c>
      <c r="B16" s="137" t="s">
        <v>61</v>
      </c>
      <c r="C16" s="154">
        <f>SUMIF('State Data Rollup &amp; Size Tags'!$B$7:$B$57,'Coverage Units by State Size'!$B16,'State Data Rollup &amp; Size Tags'!$C$7:$C$57)</f>
        <v>5260527</v>
      </c>
      <c r="D16" s="247">
        <f>C16/100000</f>
        <v>52.605269999999997</v>
      </c>
      <c r="E16" s="151">
        <f>SUMIF('State Data Rollup &amp; Size Tags'!$B$7:$B$57,'Coverage Units by State Size'!$B16,'State Data Rollup &amp; Size Tags'!$D$7:$D$57)</f>
        <v>6</v>
      </c>
      <c r="F16" s="151">
        <f>SUMIF('State Data Rollup &amp; Size Tags'!$B$7:$B$57,'Coverage Units by State Size'!$B16,'State Data Rollup &amp; Size Tags'!$E$7:$E$57)</f>
        <v>737</v>
      </c>
      <c r="G16" s="151">
        <f>SUMIF('State Data Rollup &amp; Size Tags'!$B$7:$B$57,'Coverage Units by State Size'!$B16,'State Data Rollup &amp; Size Tags'!$F$7:$F$57)</f>
        <v>2301</v>
      </c>
      <c r="H16" s="151">
        <f>SUMIF('State Data Rollup &amp; Size Tags'!$B$7:$B$57,'Coverage Units by State Size'!$B16,'State Data Rollup &amp; Size Tags'!$G$7:$G$57)</f>
        <v>2447</v>
      </c>
      <c r="I16" s="151">
        <f>SUMIF('State Data Rollup &amp; Size Tags'!$B$7:$B$57,'Coverage Units by State Size'!$B16,'State Data Rollup &amp; Size Tags'!$H$7:$H$57)</f>
        <v>1016</v>
      </c>
      <c r="J16" s="151">
        <f>SUMIF('State Data Rollup &amp; Size Tags'!$B$7:$B$57,'Coverage Units by State Size'!$B16,'State Data Rollup &amp; Size Tags'!$I$7:$I$57)</f>
        <v>174</v>
      </c>
      <c r="K16" s="151">
        <f>SUMIF('State Data Rollup &amp; Size Tags'!$B$7:$B$57,'Coverage Units by State Size'!$B16,'State Data Rollup &amp; Size Tags'!$J$7:$J$57)</f>
        <v>6</v>
      </c>
    </row>
    <row r="17" spans="1:11" x14ac:dyDescent="0.15">
      <c r="A17" s="137">
        <f>A16+1</f>
        <v>3</v>
      </c>
      <c r="B17" s="137" t="s">
        <v>62</v>
      </c>
      <c r="C17" s="154">
        <f>SUMIF('State Data Rollup &amp; Size Tags'!$B$7:$B$57,'Coverage Units by State Size'!$B17,'State Data Rollup &amp; Size Tags'!$C$7:$C$57)</f>
        <v>57966481</v>
      </c>
      <c r="D17" s="247">
        <f t="shared" ref="D17:D20" si="0">C17/100000</f>
        <v>579.66480999999999</v>
      </c>
      <c r="E17" s="151">
        <f>SUMIF('State Data Rollup &amp; Size Tags'!$B$7:$B$57,'Coverage Units by State Size'!$B17,'State Data Rollup &amp; Size Tags'!$D$7:$D$57)</f>
        <v>78</v>
      </c>
      <c r="F17" s="151">
        <f>SUMIF('State Data Rollup &amp; Size Tags'!$B$7:$B$57,'Coverage Units by State Size'!$B17,'State Data Rollup &amp; Size Tags'!$E$7:$E$57)</f>
        <v>3749</v>
      </c>
      <c r="G17" s="151">
        <f>SUMIF('State Data Rollup &amp; Size Tags'!$B$7:$B$57,'Coverage Units by State Size'!$B17,'State Data Rollup &amp; Size Tags'!$F$7:$F$57)</f>
        <v>11294</v>
      </c>
      <c r="H17" s="151">
        <f>SUMIF('State Data Rollup &amp; Size Tags'!$B$7:$B$57,'Coverage Units by State Size'!$B17,'State Data Rollup &amp; Size Tags'!$G$7:$G$57)</f>
        <v>2497</v>
      </c>
      <c r="I17" s="151">
        <f>SUMIF('State Data Rollup &amp; Size Tags'!$B$7:$B$57,'Coverage Units by State Size'!$B17,'State Data Rollup &amp; Size Tags'!$H$7:$H$57)</f>
        <v>5918</v>
      </c>
      <c r="J17" s="151">
        <f>SUMIF('State Data Rollup &amp; Size Tags'!$B$7:$B$57,'Coverage Units by State Size'!$B17,'State Data Rollup &amp; Size Tags'!$I$7:$I$57)</f>
        <v>1070</v>
      </c>
      <c r="K17" s="151">
        <f>SUMIF('State Data Rollup &amp; Size Tags'!$B$7:$B$57,'Coverage Units by State Size'!$B17,'State Data Rollup &amp; Size Tags'!$J$7:$J$57)</f>
        <v>21</v>
      </c>
    </row>
    <row r="18" spans="1:11" x14ac:dyDescent="0.15">
      <c r="A18" s="137">
        <f t="shared" ref="A18:A20" si="1">A17+1</f>
        <v>4</v>
      </c>
      <c r="B18" s="137" t="s">
        <v>63</v>
      </c>
      <c r="C18" s="154">
        <f>SUMIF('State Data Rollup &amp; Size Tags'!$B$7:$B$57,'Coverage Units by State Size'!$B18,'State Data Rollup &amp; Size Tags'!$C$7:$C$57)</f>
        <v>97304696</v>
      </c>
      <c r="D18" s="247">
        <f t="shared" si="0"/>
        <v>973.04696000000001</v>
      </c>
      <c r="E18" s="151">
        <f>SUMIF('State Data Rollup &amp; Size Tags'!$B$7:$B$57,'Coverage Units by State Size'!$B18,'State Data Rollup &amp; Size Tags'!$D$7:$D$57)</f>
        <v>129</v>
      </c>
      <c r="F18" s="151">
        <f>SUMIF('State Data Rollup &amp; Size Tags'!$B$7:$B$57,'Coverage Units by State Size'!$B18,'State Data Rollup &amp; Size Tags'!$E$7:$E$57)</f>
        <v>4203</v>
      </c>
      <c r="G18" s="151">
        <f>SUMIF('State Data Rollup &amp; Size Tags'!$B$7:$B$57,'Coverage Units by State Size'!$B18,'State Data Rollup &amp; Size Tags'!$F$7:$F$57)</f>
        <v>10303</v>
      </c>
      <c r="H18" s="151">
        <f>SUMIF('State Data Rollup &amp; Size Tags'!$B$7:$B$57,'Coverage Units by State Size'!$B18,'State Data Rollup &amp; Size Tags'!$G$7:$G$57)</f>
        <v>6097</v>
      </c>
      <c r="I18" s="151">
        <f>SUMIF('State Data Rollup &amp; Size Tags'!$B$7:$B$57,'Coverage Units by State Size'!$B18,'State Data Rollup &amp; Size Tags'!$H$7:$H$57)</f>
        <v>5518</v>
      </c>
      <c r="J18" s="151">
        <f>SUMIF('State Data Rollup &amp; Size Tags'!$B$7:$B$57,'Coverage Units by State Size'!$B18,'State Data Rollup &amp; Size Tags'!$I$7:$I$57)</f>
        <v>845</v>
      </c>
      <c r="K18" s="151">
        <f>SUMIF('State Data Rollup &amp; Size Tags'!$B$7:$B$57,'Coverage Units by State Size'!$B18,'State Data Rollup &amp; Size Tags'!$J$7:$J$57)</f>
        <v>14</v>
      </c>
    </row>
    <row r="19" spans="1:11" x14ac:dyDescent="0.15">
      <c r="A19" s="137">
        <f t="shared" si="1"/>
        <v>5</v>
      </c>
      <c r="B19" s="137" t="s">
        <v>64</v>
      </c>
      <c r="C19" s="154">
        <f>SUMIF('State Data Rollup &amp; Size Tags'!$B$7:$B$57,'Coverage Units by State Size'!$B19,'State Data Rollup &amp; Size Tags'!$C$7:$C$57)</f>
        <v>58268417</v>
      </c>
      <c r="D19" s="247">
        <f t="shared" si="0"/>
        <v>582.68416999999999</v>
      </c>
      <c r="E19" s="151">
        <f>SUMIF('State Data Rollup &amp; Size Tags'!$B$7:$B$57,'Coverage Units by State Size'!$B19,'State Data Rollup &amp; Size Tags'!$D$7:$D$57)</f>
        <v>79</v>
      </c>
      <c r="F19" s="151">
        <f>SUMIF('State Data Rollup &amp; Size Tags'!$B$7:$B$57,'Coverage Units by State Size'!$B19,'State Data Rollup &amp; Size Tags'!$E$7:$E$57)</f>
        <v>2420</v>
      </c>
      <c r="G19" s="151">
        <f>SUMIF('State Data Rollup &amp; Size Tags'!$B$7:$B$57,'Coverage Units by State Size'!$B19,'State Data Rollup &amp; Size Tags'!$F$7:$F$57)</f>
        <v>6628</v>
      </c>
      <c r="H19" s="151">
        <f>SUMIF('State Data Rollup &amp; Size Tags'!$B$7:$B$57,'Coverage Units by State Size'!$B19,'State Data Rollup &amp; Size Tags'!$G$7:$G$57)</f>
        <v>4283</v>
      </c>
      <c r="I19" s="151">
        <f>SUMIF('State Data Rollup &amp; Size Tags'!$B$7:$B$57,'Coverage Units by State Size'!$B19,'State Data Rollup &amp; Size Tags'!$H$7:$H$57)</f>
        <v>4330</v>
      </c>
      <c r="J19" s="151">
        <f>SUMIF('State Data Rollup &amp; Size Tags'!$B$7:$B$57,'Coverage Units by State Size'!$B19,'State Data Rollup &amp; Size Tags'!$I$7:$I$57)</f>
        <v>508</v>
      </c>
      <c r="K19" s="151">
        <f>SUMIF('State Data Rollup &amp; Size Tags'!$B$7:$B$57,'Coverage Units by State Size'!$B19,'State Data Rollup &amp; Size Tags'!$J$7:$J$57)</f>
        <v>5</v>
      </c>
    </row>
    <row r="20" spans="1:11" x14ac:dyDescent="0.15">
      <c r="A20" s="137">
        <f t="shared" si="1"/>
        <v>6</v>
      </c>
      <c r="B20" s="140" t="s">
        <v>65</v>
      </c>
      <c r="C20" s="155">
        <f>SUMIF('State Data Rollup &amp; Size Tags'!$B$7:$B$57,'Coverage Units by State Size'!$B20,'State Data Rollup &amp; Size Tags'!$C$7:$C$57)</f>
        <v>109439402</v>
      </c>
      <c r="D20" s="248">
        <f t="shared" si="0"/>
        <v>1094.39402</v>
      </c>
      <c r="E20" s="152">
        <f>SUMIF('State Data Rollup &amp; Size Tags'!$B$7:$B$57,'Coverage Units by State Size'!$B20,'State Data Rollup &amp; Size Tags'!$D$7:$D$57)</f>
        <v>143</v>
      </c>
      <c r="F20" s="152">
        <f>SUMIF('State Data Rollup &amp; Size Tags'!$B$7:$B$57,'Coverage Units by State Size'!$B20,'State Data Rollup &amp; Size Tags'!$E$7:$E$57)</f>
        <v>2952</v>
      </c>
      <c r="G20" s="152">
        <f>SUMIF('State Data Rollup &amp; Size Tags'!$B$7:$B$57,'Coverage Units by State Size'!$B20,'State Data Rollup &amp; Size Tags'!$F$7:$F$57)</f>
        <v>8016</v>
      </c>
      <c r="H20" s="152">
        <f>SUMIF('State Data Rollup &amp; Size Tags'!$B$7:$B$57,'Coverage Units by State Size'!$B20,'State Data Rollup &amp; Size Tags'!$G$7:$G$57)</f>
        <v>929</v>
      </c>
      <c r="I20" s="152">
        <f>SUMIF('State Data Rollup &amp; Size Tags'!$B$7:$B$57,'Coverage Units by State Size'!$B20,'State Data Rollup &amp; Size Tags'!$H$7:$H$57)</f>
        <v>2713</v>
      </c>
      <c r="J20" s="152">
        <f>SUMIF('State Data Rollup &amp; Size Tags'!$B$7:$B$57,'Coverage Units by State Size'!$B20,'State Data Rollup &amp; Size Tags'!$I$7:$I$57)</f>
        <v>434</v>
      </c>
      <c r="K20" s="152">
        <f>SUMIF('State Data Rollup &amp; Size Tags'!$B$7:$B$57,'Coverage Units by State Size'!$B20,'State Data Rollup &amp; Size Tags'!$J$7:$J$57)</f>
        <v>4</v>
      </c>
    </row>
    <row r="21" spans="1:11" x14ac:dyDescent="0.15">
      <c r="B21" s="136" t="s">
        <v>60</v>
      </c>
      <c r="C21" s="156">
        <f t="shared" ref="C21:K21" si="2">SUM(C16:C20)</f>
        <v>328239523</v>
      </c>
      <c r="D21" s="249">
        <f t="shared" si="2"/>
        <v>3282.3952300000001</v>
      </c>
      <c r="E21" s="153">
        <f t="shared" si="2"/>
        <v>435</v>
      </c>
      <c r="F21" s="153">
        <f>SUM(F16:F20)</f>
        <v>14061</v>
      </c>
      <c r="G21" s="153">
        <f>SUM(G16:G20)</f>
        <v>38542</v>
      </c>
      <c r="H21" s="153">
        <f>SUM(H16:H20)</f>
        <v>16253</v>
      </c>
      <c r="I21" s="153">
        <f t="shared" si="2"/>
        <v>19495</v>
      </c>
      <c r="J21" s="153">
        <f t="shared" si="2"/>
        <v>3031</v>
      </c>
      <c r="K21" s="153">
        <f t="shared" si="2"/>
        <v>50</v>
      </c>
    </row>
    <row r="24" spans="1:11" x14ac:dyDescent="0.15">
      <c r="B24" s="143" t="s">
        <v>157</v>
      </c>
      <c r="C24" s="143"/>
      <c r="D24" s="143"/>
      <c r="E24" s="143"/>
      <c r="G24" s="246"/>
    </row>
    <row r="25" spans="1:11" ht="26" x14ac:dyDescent="0.15">
      <c r="B25" s="149" t="s">
        <v>58</v>
      </c>
      <c r="C25" s="150" t="s">
        <v>158</v>
      </c>
      <c r="D25" s="150" t="s">
        <v>159</v>
      </c>
      <c r="E25" s="150" t="s">
        <v>160</v>
      </c>
    </row>
    <row r="26" spans="1:11" x14ac:dyDescent="0.15">
      <c r="B26" s="137" t="s">
        <v>61</v>
      </c>
      <c r="C26" s="209">
        <f>SUMIF('State Data Rollup &amp; Size Tags'!$B$7:$B$57,'Coverage Units by State Size'!$B26,'State Data Rollup &amp; Size Tags'!$K$7:$K$57)</f>
        <v>1613052668</v>
      </c>
      <c r="D26" s="209">
        <f>SUMIF('State Data Rollup &amp; Size Tags'!$B$7:$B$57,'Coverage Units by State Size'!$B26,'State Data Rollup &amp; Size Tags'!$L$7:$L$57)</f>
        <v>25270958584</v>
      </c>
      <c r="E26" s="208">
        <f>SUMIF('State Data Rollup &amp; Size Tags'!$B$7:$B$57,'Coverage Units by State Size'!$B26,'State Data Rollup &amp; Size Tags'!$M$7:$M$57)</f>
        <v>2466</v>
      </c>
    </row>
    <row r="27" spans="1:11" x14ac:dyDescent="0.15">
      <c r="B27" s="137" t="s">
        <v>62</v>
      </c>
      <c r="C27" s="209">
        <f>SUMIF('State Data Rollup &amp; Size Tags'!$B$7:$B$57,'Coverage Units by State Size'!$B27,'State Data Rollup &amp; Size Tags'!$K$7:$K$57)</f>
        <v>6727083381</v>
      </c>
      <c r="D27" s="209">
        <f>SUMIF('State Data Rollup &amp; Size Tags'!$B$7:$B$57,'Coverage Units by State Size'!$B27,'State Data Rollup &amp; Size Tags'!$L$7:$L$57)</f>
        <v>96369688839</v>
      </c>
      <c r="E27" s="208">
        <f>SUMIF('State Data Rollup &amp; Size Tags'!$B$7:$B$57,'Coverage Units by State Size'!$B27,'State Data Rollup &amp; Size Tags'!$M$7:$M$57)</f>
        <v>14119</v>
      </c>
    </row>
    <row r="28" spans="1:11" x14ac:dyDescent="0.15">
      <c r="B28" s="137" t="s">
        <v>63</v>
      </c>
      <c r="C28" s="209">
        <f>SUMIF('State Data Rollup &amp; Size Tags'!$B$7:$B$57,'Coverage Units by State Size'!$B28,'State Data Rollup &amp; Size Tags'!$K$7:$K$57)</f>
        <v>20266185382</v>
      </c>
      <c r="D28" s="209">
        <f>SUMIF('State Data Rollup &amp; Size Tags'!$B$7:$B$57,'Coverage Units by State Size'!$B28,'State Data Rollup &amp; Size Tags'!$L$7:$L$57)</f>
        <v>253463725900</v>
      </c>
      <c r="E28" s="208">
        <f>SUMIF('State Data Rollup &amp; Size Tags'!$B$7:$B$57,'Coverage Units by State Size'!$B28,'State Data Rollup &amp; Size Tags'!$M$7:$M$57)</f>
        <v>21738</v>
      </c>
    </row>
    <row r="29" spans="1:11" x14ac:dyDescent="0.15">
      <c r="B29" s="137" t="s">
        <v>64</v>
      </c>
      <c r="C29" s="209">
        <f>SUMIF('State Data Rollup &amp; Size Tags'!$B$7:$B$57,'Coverage Units by State Size'!$B29,'State Data Rollup &amp; Size Tags'!$K$7:$K$57)</f>
        <v>10359175051</v>
      </c>
      <c r="D29" s="209">
        <f>SUMIF('State Data Rollup &amp; Size Tags'!$B$7:$B$57,'Coverage Units by State Size'!$B29,'State Data Rollup &amp; Size Tags'!$L$7:$L$57)</f>
        <v>134317696212</v>
      </c>
      <c r="E29" s="208">
        <f>SUMIF('State Data Rollup &amp; Size Tags'!$B$7:$B$57,'Coverage Units by State Size'!$B29,'State Data Rollup &amp; Size Tags'!$M$7:$M$57)</f>
        <v>20543</v>
      </c>
      <c r="I29" s="246"/>
    </row>
    <row r="30" spans="1:11" x14ac:dyDescent="0.15">
      <c r="B30" s="140" t="s">
        <v>65</v>
      </c>
      <c r="C30" s="210">
        <f>SUMIF('State Data Rollup &amp; Size Tags'!$B$7:$B$57,'Coverage Units by State Size'!$B30,'State Data Rollup &amp; Size Tags'!$K$7:$K$57)</f>
        <v>23828112362</v>
      </c>
      <c r="D30" s="210">
        <f>SUMIF('State Data Rollup &amp; Size Tags'!$B$7:$B$57,'Coverage Units by State Size'!$B30,'State Data Rollup &amp; Size Tags'!$L$7:$L$57)</f>
        <v>358567309612</v>
      </c>
      <c r="E30" s="155">
        <f>SUMIF('State Data Rollup &amp; Size Tags'!$B$7:$B$57,'Coverage Units by State Size'!$B30,'State Data Rollup &amp; Size Tags'!$M$7:$M$57)</f>
        <v>27337</v>
      </c>
    </row>
    <row r="31" spans="1:11" x14ac:dyDescent="0.15">
      <c r="B31" s="136" t="s">
        <v>60</v>
      </c>
      <c r="C31" s="211">
        <f t="shared" ref="C31" si="3">SUM(C26:C30)</f>
        <v>62793608844</v>
      </c>
      <c r="D31" s="212">
        <f t="shared" ref="D31" si="4">SUM(D26:D30)</f>
        <v>867989379147</v>
      </c>
      <c r="E31" s="153">
        <f t="shared" ref="E31" si="5">SUM(E26:E30)</f>
        <v>86203</v>
      </c>
    </row>
  </sheetData>
  <pageMargins left="0.7" right="0.7" top="0.75" bottom="0.75" header="0.3" footer="0.3"/>
  <pageSetup scale="55" orientation="portrait" horizontalDpi="1200" verticalDpi="12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28E8-4499-4E4C-9AFB-61722A5E0F41}">
  <sheetPr>
    <tabColor theme="7" tint="0.39997558519241921"/>
  </sheetPr>
  <dimension ref="A1:M59"/>
  <sheetViews>
    <sheetView view="pageBreakPreview" topLeftCell="A3" zoomScale="115" zoomScaleNormal="100" zoomScaleSheetLayoutView="115" workbookViewId="0">
      <selection activeCell="J12" sqref="J12"/>
    </sheetView>
  </sheetViews>
  <sheetFormatPr baseColWidth="10" defaultColWidth="9.1640625" defaultRowHeight="15" outlineLevelRow="1" x14ac:dyDescent="0.2"/>
  <cols>
    <col min="1" max="1" width="13.6640625" customWidth="1"/>
    <col min="2" max="2" width="18.6640625" bestFit="1" customWidth="1"/>
    <col min="3" max="10" width="13.6640625" customWidth="1"/>
    <col min="11" max="11" width="17.33203125" bestFit="1" customWidth="1"/>
    <col min="12" max="12" width="18.5" bestFit="1" customWidth="1"/>
    <col min="13" max="13" width="13.6640625" customWidth="1"/>
  </cols>
  <sheetData>
    <row r="1" spans="1:13" hidden="1" outlineLevel="1" x14ac:dyDescent="0.2"/>
    <row r="2" spans="1:13" ht="15" hidden="1" customHeight="1" outlineLevel="1" x14ac:dyDescent="0.2">
      <c r="A2" s="137"/>
      <c r="B2" s="137"/>
      <c r="C2" s="137"/>
      <c r="D2" s="137"/>
      <c r="E2" s="137"/>
      <c r="F2" s="205" t="str">
        <f>'Census of Govts Data'!C10</f>
        <v>Special Purpose Governments - Special District Governments</v>
      </c>
      <c r="G2" s="205" t="str">
        <f>'Census of Govts Data'!C9</f>
        <v>Subcounty Governments - Township Governments</v>
      </c>
      <c r="H2" s="205" t="str">
        <f>'Census of Govts Data'!C8</f>
        <v>Subcounty Governments - Municipal Governments</v>
      </c>
      <c r="I2" s="205" t="str">
        <f>'Census of Govts Data'!C6</f>
        <v>County Governments</v>
      </c>
      <c r="J2" s="137"/>
      <c r="K2" s="137"/>
      <c r="L2" s="137"/>
      <c r="M2" s="137"/>
    </row>
    <row r="3" spans="1:13" collapsed="1" x14ac:dyDescent="0.2">
      <c r="A3" s="136" t="s">
        <v>0</v>
      </c>
      <c r="B3" s="137"/>
      <c r="C3" s="137"/>
      <c r="D3" s="137"/>
      <c r="E3" s="137"/>
      <c r="F3" s="137"/>
      <c r="G3" s="137"/>
      <c r="H3" s="137"/>
      <c r="I3" s="137"/>
      <c r="J3" s="137"/>
      <c r="K3" s="137"/>
      <c r="L3" s="137"/>
      <c r="M3" s="213"/>
    </row>
    <row r="4" spans="1:13" x14ac:dyDescent="0.2">
      <c r="A4" s="136" t="s">
        <v>2</v>
      </c>
      <c r="B4" s="137"/>
      <c r="C4" s="137"/>
      <c r="D4" s="137"/>
      <c r="E4" s="137"/>
      <c r="F4" s="137"/>
      <c r="G4" s="137"/>
      <c r="H4" s="137"/>
      <c r="I4" s="137"/>
      <c r="J4" s="137"/>
      <c r="K4" s="137"/>
      <c r="L4" s="137"/>
      <c r="M4" s="137"/>
    </row>
    <row r="5" spans="1:13" ht="15.75" customHeight="1" x14ac:dyDescent="0.2">
      <c r="A5" s="136" t="s">
        <v>161</v>
      </c>
      <c r="B5" s="137"/>
      <c r="C5" s="137"/>
      <c r="D5" s="137"/>
      <c r="E5" s="137"/>
      <c r="F5" s="137"/>
      <c r="G5" s="137"/>
      <c r="H5" s="137"/>
      <c r="I5" s="137"/>
      <c r="J5" s="137"/>
      <c r="K5" s="137"/>
      <c r="L5" s="137"/>
      <c r="M5" s="137"/>
    </row>
    <row r="6" spans="1:13" s="1" customFormat="1" ht="27" x14ac:dyDescent="0.2">
      <c r="A6" s="136" t="s">
        <v>83</v>
      </c>
      <c r="B6" s="136" t="s">
        <v>162</v>
      </c>
      <c r="C6" s="273" t="s">
        <v>156</v>
      </c>
      <c r="D6" s="273" t="s">
        <v>169</v>
      </c>
      <c r="E6" s="273" t="s">
        <v>163</v>
      </c>
      <c r="F6" s="273" t="s">
        <v>166</v>
      </c>
      <c r="G6" s="273" t="s">
        <v>167</v>
      </c>
      <c r="H6" s="273" t="s">
        <v>164</v>
      </c>
      <c r="I6" s="273" t="s">
        <v>165</v>
      </c>
      <c r="J6" s="273" t="s">
        <v>168</v>
      </c>
      <c r="K6" s="273" t="s">
        <v>170</v>
      </c>
      <c r="L6" s="273" t="s">
        <v>171</v>
      </c>
      <c r="M6" s="273" t="s">
        <v>172</v>
      </c>
    </row>
    <row r="7" spans="1:13" x14ac:dyDescent="0.2">
      <c r="A7" s="137" t="s">
        <v>173</v>
      </c>
      <c r="B7" s="283" t="s">
        <v>62</v>
      </c>
      <c r="C7" s="139">
        <f>VLOOKUP(A7,'Pop. Data'!$A$10:$M$60,13,FALSE)</f>
        <v>4903185</v>
      </c>
      <c r="D7" s="137">
        <v>7</v>
      </c>
      <c r="E7" s="154">
        <f>VLOOKUP(A7,'School Districts'!$A$4:$D$54,4,FALSE)</f>
        <v>137</v>
      </c>
      <c r="F7" s="154">
        <f>VLOOKUP((_xlfn.CONCAT(A7," - ",'State Data Rollup &amp; Size Tags'!F$2)),'Census of Govts Data'!$A$3:$D$470,4,FALSE)</f>
        <v>530</v>
      </c>
      <c r="G7" s="154">
        <f>VLOOKUP((_xlfn.CONCAT(A7," - ",'State Data Rollup &amp; Size Tags'!G$2)),'Census of Govts Data'!$A$3:$D$470,4,FALSE)</f>
        <v>0</v>
      </c>
      <c r="H7" s="154">
        <f>VLOOKUP((_xlfn.CONCAT(A7," - ",'State Data Rollup &amp; Size Tags'!H$2)),'Census of Govts Data'!$A$3:$D$470,4,FALSE)</f>
        <v>461</v>
      </c>
      <c r="I7" s="154">
        <f>VLOOKUP((_xlfn.CONCAT(A7," - ",'State Data Rollup &amp; Size Tags'!I$2)),'Census of Govts Data'!$A$3:$D$470,4,FALSE)</f>
        <v>67</v>
      </c>
      <c r="J7" s="137">
        <v>1</v>
      </c>
      <c r="K7" s="256">
        <f>VLOOKUP(A7,'Phil. Data'!$A$6:$I$57,6,FALSE)</f>
        <v>229406215</v>
      </c>
      <c r="L7" s="256">
        <f>VLOOKUP(A7,'Phil. Data'!$A$6:$I$57,4,FALSE)</f>
        <v>3132542605</v>
      </c>
      <c r="M7" s="243">
        <f>VLOOKUP(A7,'Phil. Data'!$A$6:$I$57,8,FALSE)</f>
        <v>963</v>
      </c>
    </row>
    <row r="8" spans="1:13" x14ac:dyDescent="0.2">
      <c r="A8" s="137" t="s">
        <v>174</v>
      </c>
      <c r="B8" s="283" t="s">
        <v>61</v>
      </c>
      <c r="C8" s="139">
        <f>VLOOKUP(A8,'Pop. Data'!$A$10:$M$60,13,FALSE)</f>
        <v>731545</v>
      </c>
      <c r="D8" s="137">
        <v>1</v>
      </c>
      <c r="E8" s="154">
        <f>VLOOKUP(A8,'School Districts'!$A$4:$D$54,4,FALSE)</f>
        <v>55</v>
      </c>
      <c r="F8" s="154">
        <f>VLOOKUP((_xlfn.CONCAT(A8," - ",'State Data Rollup &amp; Size Tags'!F$2)),'Census of Govts Data'!$A$3:$D$470,4,FALSE)</f>
        <v>15</v>
      </c>
      <c r="G8" s="154">
        <f>VLOOKUP((_xlfn.CONCAT(A8," - ",'State Data Rollup &amp; Size Tags'!G$2)),'Census of Govts Data'!$A$3:$D$470,4,FALSE)</f>
        <v>0</v>
      </c>
      <c r="H8" s="154">
        <f>VLOOKUP((_xlfn.CONCAT(A8," - ",'State Data Rollup &amp; Size Tags'!H$2)),'Census of Govts Data'!$A$3:$D$470,4,FALSE)</f>
        <v>149</v>
      </c>
      <c r="I8" s="154">
        <f>VLOOKUP((_xlfn.CONCAT(A8," - ",'State Data Rollup &amp; Size Tags'!I$2)),'Census of Govts Data'!$A$3:$D$470,4,FALSE)</f>
        <v>15</v>
      </c>
      <c r="J8" s="137">
        <v>1</v>
      </c>
      <c r="K8" s="256">
        <f>VLOOKUP(A8,'Phil. Data'!$A$6:$I$57,6,FALSE)</f>
        <v>42426591</v>
      </c>
      <c r="L8" s="256">
        <f>VLOOKUP(A8,'Phil. Data'!$A$6:$I$57,4,FALSE)</f>
        <v>1048508349</v>
      </c>
      <c r="M8" s="243">
        <f>VLOOKUP(A8,'Phil. Data'!$A$6:$I$57,8,FALSE)</f>
        <v>85</v>
      </c>
    </row>
    <row r="9" spans="1:13" x14ac:dyDescent="0.2">
      <c r="A9" s="137" t="s">
        <v>175</v>
      </c>
      <c r="B9" s="283" t="s">
        <v>63</v>
      </c>
      <c r="C9" s="139">
        <f>VLOOKUP(A9,'Pop. Data'!$A$10:$M$60,13,FALSE)</f>
        <v>7278717</v>
      </c>
      <c r="D9" s="137">
        <v>9</v>
      </c>
      <c r="E9" s="154">
        <f>VLOOKUP(A9,'School Districts'!$A$4:$D$54,4,FALSE)</f>
        <v>254</v>
      </c>
      <c r="F9" s="154">
        <f>VLOOKUP((_xlfn.CONCAT(A9," - ",'State Data Rollup &amp; Size Tags'!F$2)),'Census of Govts Data'!$A$3:$D$470,4,FALSE)</f>
        <v>310</v>
      </c>
      <c r="G9" s="154">
        <f>VLOOKUP((_xlfn.CONCAT(A9," - ",'State Data Rollup &amp; Size Tags'!G$2)),'Census of Govts Data'!$A$3:$D$470,4,FALSE)</f>
        <v>0</v>
      </c>
      <c r="H9" s="154">
        <f>VLOOKUP((_xlfn.CONCAT(A9," - ",'State Data Rollup &amp; Size Tags'!H$2)),'Census of Govts Data'!$A$3:$D$470,4,FALSE)</f>
        <v>91</v>
      </c>
      <c r="I9" s="154">
        <f>VLOOKUP((_xlfn.CONCAT(A9," - ",'State Data Rollup &amp; Size Tags'!I$2)),'Census of Govts Data'!$A$3:$D$470,4,FALSE)</f>
        <v>15</v>
      </c>
      <c r="J9" s="137">
        <v>1</v>
      </c>
      <c r="K9" s="256">
        <f>VLOOKUP(A9,'Phil. Data'!$A$6:$I$57,6,FALSE)</f>
        <v>344965290</v>
      </c>
      <c r="L9" s="256">
        <f>VLOOKUP(A9,'Phil. Data'!$A$6:$I$57,4,FALSE)</f>
        <v>5397864427</v>
      </c>
      <c r="M9" s="243">
        <f>VLOOKUP(A9,'Phil. Data'!$A$6:$I$57,8,FALSE)</f>
        <v>834</v>
      </c>
    </row>
    <row r="10" spans="1:13" x14ac:dyDescent="0.2">
      <c r="A10" s="137" t="s">
        <v>176</v>
      </c>
      <c r="B10" s="283" t="s">
        <v>62</v>
      </c>
      <c r="C10" s="139">
        <f>VLOOKUP(A10,'Pop. Data'!$A$10:$M$60,13,FALSE)</f>
        <v>3017804</v>
      </c>
      <c r="D10" s="137">
        <v>4</v>
      </c>
      <c r="E10" s="154">
        <f>VLOOKUP(A10,'School Districts'!$A$4:$D$54,4,FALSE)</f>
        <v>235</v>
      </c>
      <c r="F10" s="154">
        <f>VLOOKUP((_xlfn.CONCAT(A10," - ",'State Data Rollup &amp; Size Tags'!F$2)),'Census of Govts Data'!$A$3:$D$470,4,FALSE)</f>
        <v>730</v>
      </c>
      <c r="G10" s="154">
        <f>VLOOKUP((_xlfn.CONCAT(A10," - ",'State Data Rollup &amp; Size Tags'!G$2)),'Census of Govts Data'!$A$3:$D$470,4,FALSE)</f>
        <v>0</v>
      </c>
      <c r="H10" s="154">
        <f>VLOOKUP((_xlfn.CONCAT(A10," - ",'State Data Rollup &amp; Size Tags'!H$2)),'Census of Govts Data'!$A$3:$D$470,4,FALSE)</f>
        <v>501</v>
      </c>
      <c r="I10" s="154">
        <f>VLOOKUP((_xlfn.CONCAT(A10," - ",'State Data Rollup &amp; Size Tags'!I$2)),'Census of Govts Data'!$A$3:$D$470,4,FALSE)</f>
        <v>75</v>
      </c>
      <c r="J10" s="137">
        <v>1</v>
      </c>
      <c r="K10" s="256">
        <f>VLOOKUP(A10,'Phil. Data'!$A$6:$I$57,6,FALSE)</f>
        <v>721774468</v>
      </c>
      <c r="L10" s="256">
        <f>VLOOKUP(A10,'Phil. Data'!$A$6:$I$57,4,FALSE)</f>
        <v>5286112856</v>
      </c>
      <c r="M10" s="243">
        <f>VLOOKUP(A10,'Phil. Data'!$A$6:$I$57,8,FALSE)</f>
        <v>328</v>
      </c>
    </row>
    <row r="11" spans="1:13" x14ac:dyDescent="0.2">
      <c r="A11" s="137" t="s">
        <v>177</v>
      </c>
      <c r="B11" s="283" t="s">
        <v>65</v>
      </c>
      <c r="C11" s="139">
        <f>VLOOKUP(A11,'Pop. Data'!$A$10:$M$60,13,FALSE)</f>
        <v>39512223</v>
      </c>
      <c r="D11" s="137">
        <v>53</v>
      </c>
      <c r="E11" s="154">
        <f>VLOOKUP(A11,'School Districts'!$A$4:$D$54,4,FALSE)</f>
        <v>1068</v>
      </c>
      <c r="F11" s="154">
        <f>VLOOKUP((_xlfn.CONCAT(A11," - ",'State Data Rollup &amp; Size Tags'!F$2)),'Census of Govts Data'!$A$3:$D$470,4,FALSE)</f>
        <v>2894</v>
      </c>
      <c r="G11" s="154">
        <f>VLOOKUP((_xlfn.CONCAT(A11," - ",'State Data Rollup &amp; Size Tags'!G$2)),'Census of Govts Data'!$A$3:$D$470,4,FALSE)</f>
        <v>0</v>
      </c>
      <c r="H11" s="154">
        <f>VLOOKUP((_xlfn.CONCAT(A11," - ",'State Data Rollup &amp; Size Tags'!H$2)),'Census of Govts Data'!$A$3:$D$470,4,FALSE)</f>
        <v>482</v>
      </c>
      <c r="I11" s="154">
        <f>VLOOKUP((_xlfn.CONCAT(A11," - ",'State Data Rollup &amp; Size Tags'!I$2)),'Census of Govts Data'!$A$3:$D$470,4,FALSE)</f>
        <v>57</v>
      </c>
      <c r="J11" s="137">
        <v>1</v>
      </c>
      <c r="K11" s="256">
        <f>VLOOKUP(A11,'Phil. Data'!$A$6:$I$57,6,FALSE)</f>
        <v>8372783639</v>
      </c>
      <c r="L11" s="256">
        <f>VLOOKUP(A11,'Phil. Data'!$A$6:$I$57,4,FALSE)</f>
        <v>133281787238</v>
      </c>
      <c r="M11" s="243">
        <f>VLOOKUP(A11,'Phil. Data'!$A$6:$I$57,8,FALSE)</f>
        <v>7650</v>
      </c>
    </row>
    <row r="12" spans="1:13" x14ac:dyDescent="0.2">
      <c r="A12" s="137" t="s">
        <v>178</v>
      </c>
      <c r="B12" s="283" t="s">
        <v>63</v>
      </c>
      <c r="C12" s="139">
        <f>VLOOKUP(A12,'Pop. Data'!$A$10:$M$60,13,FALSE)</f>
        <v>5758736</v>
      </c>
      <c r="D12" s="137">
        <v>7</v>
      </c>
      <c r="E12" s="154">
        <f>VLOOKUP(A12,'School Districts'!$A$4:$D$54,4,FALSE)</f>
        <v>180</v>
      </c>
      <c r="F12" s="154">
        <f>VLOOKUP((_xlfn.CONCAT(A12," - ",'State Data Rollup &amp; Size Tags'!F$2)),'Census of Govts Data'!$A$3:$D$470,4,FALSE)</f>
        <v>2628</v>
      </c>
      <c r="G12" s="154">
        <f>VLOOKUP((_xlfn.CONCAT(A12," - ",'State Data Rollup &amp; Size Tags'!G$2)),'Census of Govts Data'!$A$3:$D$470,4,FALSE)</f>
        <v>0</v>
      </c>
      <c r="H12" s="154">
        <f>VLOOKUP((_xlfn.CONCAT(A12," - ",'State Data Rollup &amp; Size Tags'!H$2)),'Census of Govts Data'!$A$3:$D$470,4,FALSE)</f>
        <v>271</v>
      </c>
      <c r="I12" s="154">
        <f>VLOOKUP((_xlfn.CONCAT(A12," - ",'State Data Rollup &amp; Size Tags'!I$2)),'Census of Govts Data'!$A$3:$D$470,4,FALSE)</f>
        <v>62</v>
      </c>
      <c r="J12" s="137">
        <v>1</v>
      </c>
      <c r="K12" s="256">
        <f>VLOOKUP(A12,'Phil. Data'!$A$6:$I$57,6,FALSE)</f>
        <v>834294096</v>
      </c>
      <c r="L12" s="256">
        <f>VLOOKUP(A12,'Phil. Data'!$A$6:$I$57,4,FALSE)</f>
        <v>11735955635</v>
      </c>
      <c r="M12" s="243">
        <f>VLOOKUP(A12,'Phil. Data'!$A$6:$I$57,8,FALSE)</f>
        <v>1349</v>
      </c>
    </row>
    <row r="13" spans="1:13" x14ac:dyDescent="0.2">
      <c r="A13" s="137" t="s">
        <v>179</v>
      </c>
      <c r="B13" s="283" t="s">
        <v>62</v>
      </c>
      <c r="C13" s="139">
        <f>VLOOKUP(A13,'Pop. Data'!$A$10:$M$60,13,FALSE)</f>
        <v>3565287</v>
      </c>
      <c r="D13" s="137">
        <v>5</v>
      </c>
      <c r="E13" s="154">
        <f>VLOOKUP(A13,'School Districts'!$A$4:$D$54,4,FALSE)</f>
        <v>166</v>
      </c>
      <c r="F13" s="154">
        <f>VLOOKUP((_xlfn.CONCAT(A13," - ",'State Data Rollup &amp; Size Tags'!F$2)),'Census of Govts Data'!$A$3:$D$470,4,FALSE)</f>
        <v>429</v>
      </c>
      <c r="G13" s="154">
        <f>VLOOKUP((_xlfn.CONCAT(A13," - ",'State Data Rollup &amp; Size Tags'!G$2)),'Census of Govts Data'!$A$3:$D$470,4,FALSE)</f>
        <v>149</v>
      </c>
      <c r="H13" s="154">
        <f>VLOOKUP((_xlfn.CONCAT(A13," - ",'State Data Rollup &amp; Size Tags'!H$2)),'Census of Govts Data'!$A$3:$D$470,4,FALSE)</f>
        <v>30</v>
      </c>
      <c r="I13" s="154">
        <f>VLOOKUP((_xlfn.CONCAT(A13," - ",'State Data Rollup &amp; Size Tags'!I$2)),'Census of Govts Data'!$A$3:$D$470,4,FALSE)</f>
        <v>0</v>
      </c>
      <c r="J13" s="137">
        <v>1</v>
      </c>
      <c r="K13" s="256">
        <f>VLOOKUP(A13,'Phil. Data'!$A$6:$I$57,6,FALSE)</f>
        <v>900843697</v>
      </c>
      <c r="L13" s="256">
        <f>VLOOKUP(A13,'Phil. Data'!$A$6:$I$57,4,FALSE)</f>
        <v>11707411925</v>
      </c>
      <c r="M13" s="243">
        <f>VLOOKUP(A13,'Phil. Data'!$A$6:$I$57,8,FALSE)</f>
        <v>1591</v>
      </c>
    </row>
    <row r="14" spans="1:13" x14ac:dyDescent="0.2">
      <c r="A14" s="137" t="s">
        <v>180</v>
      </c>
      <c r="B14" s="283" t="s">
        <v>61</v>
      </c>
      <c r="C14" s="139">
        <f>VLOOKUP(A14,'Pop. Data'!$A$10:$M$60,13,FALSE)</f>
        <v>973764</v>
      </c>
      <c r="D14" s="137">
        <v>1</v>
      </c>
      <c r="E14" s="154">
        <f>VLOOKUP(A14,'School Districts'!$A$4:$D$54,4,FALSE)</f>
        <v>19</v>
      </c>
      <c r="F14" s="154">
        <f>VLOOKUP((_xlfn.CONCAT(A14," - ",'State Data Rollup &amp; Size Tags'!F$2)),'Census of Govts Data'!$A$3:$D$470,4,FALSE)</f>
        <v>255</v>
      </c>
      <c r="G14" s="154">
        <f>VLOOKUP((_xlfn.CONCAT(A14," - ",'State Data Rollup &amp; Size Tags'!G$2)),'Census of Govts Data'!$A$3:$D$470,4,FALSE)</f>
        <v>0</v>
      </c>
      <c r="H14" s="154">
        <f>VLOOKUP((_xlfn.CONCAT(A14," - ",'State Data Rollup &amp; Size Tags'!H$2)),'Census of Govts Data'!$A$3:$D$470,4,FALSE)</f>
        <v>57</v>
      </c>
      <c r="I14" s="154">
        <f>VLOOKUP((_xlfn.CONCAT(A14," - ",'State Data Rollup &amp; Size Tags'!I$2)),'Census of Govts Data'!$A$3:$D$470,4,FALSE)</f>
        <v>3</v>
      </c>
      <c r="J14" s="137">
        <v>1</v>
      </c>
      <c r="K14" s="256">
        <f>VLOOKUP(A14,'Phil. Data'!$A$6:$I$57,6,FALSE)</f>
        <v>865625755</v>
      </c>
      <c r="L14" s="256">
        <f>VLOOKUP(A14,'Phil. Data'!$A$6:$I$57,4,FALSE)</f>
        <v>10445589387</v>
      </c>
      <c r="M14" s="243">
        <f>VLOOKUP(A14,'Phil. Data'!$A$6:$I$57,8,FALSE)</f>
        <v>1287</v>
      </c>
    </row>
    <row r="15" spans="1:13" x14ac:dyDescent="0.2">
      <c r="A15" s="137" t="s">
        <v>181</v>
      </c>
      <c r="B15" s="283" t="s">
        <v>61</v>
      </c>
      <c r="C15" s="139">
        <f>VLOOKUP(A15,'Pop. Data'!$A$10:$M$60,13,FALSE)</f>
        <v>705749</v>
      </c>
      <c r="D15" s="137"/>
      <c r="E15" s="154">
        <f>VLOOKUP(A15,'School Districts'!$A$4:$D$54,4,FALSE)</f>
        <v>2</v>
      </c>
      <c r="F15" s="154">
        <f>VLOOKUP((_xlfn.CONCAT(A15," - ",'State Data Rollup &amp; Size Tags'!F$2)),'Census of Govts Data'!$A$3:$D$470,4,FALSE)</f>
        <v>1</v>
      </c>
      <c r="G15" s="154">
        <f>VLOOKUP((_xlfn.CONCAT(A15," - ",'State Data Rollup &amp; Size Tags'!G$2)),'Census of Govts Data'!$A$3:$D$470,4,FALSE)</f>
        <v>0</v>
      </c>
      <c r="H15" s="154">
        <f>VLOOKUP((_xlfn.CONCAT(A15," - ",'State Data Rollup &amp; Size Tags'!H$2)),'Census of Govts Data'!$A$3:$D$470,4,FALSE)</f>
        <v>1</v>
      </c>
      <c r="I15" s="154">
        <f>VLOOKUP((_xlfn.CONCAT(A15," - ",'State Data Rollup &amp; Size Tags'!I$2)),'Census of Govts Data'!$A$3:$D$470,4,FALSE)</f>
        <v>0</v>
      </c>
      <c r="J15" s="137">
        <v>0</v>
      </c>
      <c r="K15" s="256">
        <f>VLOOKUP(A15,'Phil. Data'!$A$6:$I$57,6,FALSE)</f>
        <v>453614711</v>
      </c>
      <c r="L15" s="256">
        <f>VLOOKUP(A15,'Phil. Data'!$A$6:$I$57,4,FALSE)</f>
        <v>9714611213</v>
      </c>
      <c r="M15" s="243">
        <f>VLOOKUP(A15,'Phil. Data'!$A$6:$I$57,8,FALSE)</f>
        <v>387</v>
      </c>
    </row>
    <row r="16" spans="1:13" x14ac:dyDescent="0.2">
      <c r="A16" s="137" t="s">
        <v>182</v>
      </c>
      <c r="B16" s="283" t="s">
        <v>65</v>
      </c>
      <c r="C16" s="139">
        <f>VLOOKUP(A16,'Pop. Data'!$A$10:$M$60,13,FALSE)</f>
        <v>21477737</v>
      </c>
      <c r="D16" s="137">
        <v>27</v>
      </c>
      <c r="E16" s="154">
        <f>VLOOKUP(A16,'School Districts'!$A$4:$D$54,4,FALSE)</f>
        <v>95</v>
      </c>
      <c r="F16" s="154">
        <f>VLOOKUP((_xlfn.CONCAT(A16," - ",'State Data Rollup &amp; Size Tags'!F$2)),'Census of Govts Data'!$A$3:$D$470,4,FALSE)</f>
        <v>1139</v>
      </c>
      <c r="G16" s="154">
        <f>VLOOKUP((_xlfn.CONCAT(A16," - ",'State Data Rollup &amp; Size Tags'!G$2)),'Census of Govts Data'!$A$3:$D$470,4,FALSE)</f>
        <v>0</v>
      </c>
      <c r="H16" s="154">
        <f>VLOOKUP((_xlfn.CONCAT(A16," - ",'State Data Rollup &amp; Size Tags'!H$2)),'Census of Govts Data'!$A$3:$D$470,4,FALSE)</f>
        <v>412</v>
      </c>
      <c r="I16" s="154">
        <f>VLOOKUP((_xlfn.CONCAT(A16," - ",'State Data Rollup &amp; Size Tags'!I$2)),'Census of Govts Data'!$A$3:$D$470,4,FALSE)</f>
        <v>66</v>
      </c>
      <c r="J16" s="137">
        <v>1</v>
      </c>
      <c r="K16" s="256">
        <f>VLOOKUP(A16,'Phil. Data'!$A$6:$I$57,6,FALSE)</f>
        <v>1751976917</v>
      </c>
      <c r="L16" s="256">
        <f>VLOOKUP(A16,'Phil. Data'!$A$6:$I$57,4,FALSE)</f>
        <v>25581258784</v>
      </c>
      <c r="M16" s="243">
        <f>VLOOKUP(A16,'Phil. Data'!$A$6:$I$57,8,FALSE)</f>
        <v>5266</v>
      </c>
    </row>
    <row r="17" spans="1:13" x14ac:dyDescent="0.2">
      <c r="A17" s="137" t="s">
        <v>183</v>
      </c>
      <c r="B17" s="283" t="s">
        <v>64</v>
      </c>
      <c r="C17" s="139">
        <f>VLOOKUP(A17,'Pop. Data'!$A$10:$M$60,13,FALSE)</f>
        <v>10617423</v>
      </c>
      <c r="D17" s="137">
        <v>14</v>
      </c>
      <c r="E17" s="154">
        <f>VLOOKUP(A17,'School Districts'!$A$4:$D$54,4,FALSE)</f>
        <v>180</v>
      </c>
      <c r="F17" s="154">
        <f>VLOOKUP((_xlfn.CONCAT(A17," - ",'State Data Rollup &amp; Size Tags'!F$2)),'Census of Govts Data'!$A$3:$D$470,4,FALSE)</f>
        <v>511</v>
      </c>
      <c r="G17" s="154">
        <f>VLOOKUP((_xlfn.CONCAT(A17," - ",'State Data Rollup &amp; Size Tags'!G$2)),'Census of Govts Data'!$A$3:$D$470,4,FALSE)</f>
        <v>0</v>
      </c>
      <c r="H17" s="154">
        <f>VLOOKUP((_xlfn.CONCAT(A17," - ",'State Data Rollup &amp; Size Tags'!H$2)),'Census of Govts Data'!$A$3:$D$470,4,FALSE)</f>
        <v>537</v>
      </c>
      <c r="I17" s="154">
        <f>VLOOKUP((_xlfn.CONCAT(A17," - ",'State Data Rollup &amp; Size Tags'!I$2)),'Census of Govts Data'!$A$3:$D$470,4,FALSE)</f>
        <v>152</v>
      </c>
      <c r="J17" s="137">
        <v>1</v>
      </c>
      <c r="K17" s="256">
        <f>VLOOKUP(A17,'Phil. Data'!$A$6:$I$57,6,FALSE)</f>
        <v>1191092441</v>
      </c>
      <c r="L17" s="256">
        <f>VLOOKUP(A17,'Phil. Data'!$A$6:$I$57,4,FALSE)</f>
        <v>16827500173</v>
      </c>
      <c r="M17" s="243">
        <f>VLOOKUP(A17,'Phil. Data'!$A$6:$I$57,8,FALSE)</f>
        <v>1488</v>
      </c>
    </row>
    <row r="18" spans="1:13" x14ac:dyDescent="0.2">
      <c r="A18" s="137" t="s">
        <v>184</v>
      </c>
      <c r="B18" s="283" t="s">
        <v>62</v>
      </c>
      <c r="C18" s="139">
        <f>VLOOKUP(A18,'Pop. Data'!$A$10:$M$60,13,FALSE)</f>
        <v>1415872</v>
      </c>
      <c r="D18" s="137">
        <v>2</v>
      </c>
      <c r="E18" s="154">
        <f>VLOOKUP(A18,'School Districts'!$A$4:$D$54,4,FALSE)</f>
        <v>1</v>
      </c>
      <c r="F18" s="154">
        <f>VLOOKUP((_xlfn.CONCAT(A18," - ",'State Data Rollup &amp; Size Tags'!F$2)),'Census of Govts Data'!$A$3:$D$470,4,FALSE)</f>
        <v>17</v>
      </c>
      <c r="G18" s="154">
        <f>VLOOKUP((_xlfn.CONCAT(A18," - ",'State Data Rollup &amp; Size Tags'!G$2)),'Census of Govts Data'!$A$3:$D$470,4,FALSE)</f>
        <v>0</v>
      </c>
      <c r="H18" s="154">
        <f>VLOOKUP((_xlfn.CONCAT(A18," - ",'State Data Rollup &amp; Size Tags'!H$2)),'Census of Govts Data'!$A$3:$D$470,4,FALSE)</f>
        <v>1</v>
      </c>
      <c r="I18" s="154">
        <f>VLOOKUP((_xlfn.CONCAT(A18," - ",'State Data Rollup &amp; Size Tags'!I$2)),'Census of Govts Data'!$A$3:$D$470,4,FALSE)</f>
        <v>3</v>
      </c>
      <c r="J18" s="137">
        <v>1</v>
      </c>
      <c r="K18" s="256">
        <f>VLOOKUP(A18,'Phil. Data'!$A$6:$I$57,6,FALSE)</f>
        <v>109213958</v>
      </c>
      <c r="L18" s="256">
        <f>VLOOKUP(A18,'Phil. Data'!$A$6:$I$57,4,FALSE)</f>
        <v>2061077501</v>
      </c>
      <c r="M18" s="243">
        <f>VLOOKUP(A18,'Phil. Data'!$A$6:$I$57,8,FALSE)</f>
        <v>357</v>
      </c>
    </row>
    <row r="19" spans="1:13" x14ac:dyDescent="0.2">
      <c r="A19" s="137" t="s">
        <v>185</v>
      </c>
      <c r="B19" s="283" t="s">
        <v>62</v>
      </c>
      <c r="C19" s="139">
        <f>VLOOKUP(A19,'Pop. Data'!$A$10:$M$60,13,FALSE)</f>
        <v>1787065</v>
      </c>
      <c r="D19" s="137">
        <v>2</v>
      </c>
      <c r="E19" s="154">
        <f>VLOOKUP(A19,'School Districts'!$A$4:$D$54,4,FALSE)</f>
        <v>118</v>
      </c>
      <c r="F19" s="154">
        <f>VLOOKUP((_xlfn.CONCAT(A19," - ",'State Data Rollup &amp; Size Tags'!F$2)),'Census of Govts Data'!$A$3:$D$470,4,FALSE)</f>
        <v>808</v>
      </c>
      <c r="G19" s="154">
        <f>VLOOKUP((_xlfn.CONCAT(A19," - ",'State Data Rollup &amp; Size Tags'!G$2)),'Census of Govts Data'!$A$3:$D$470,4,FALSE)</f>
        <v>0</v>
      </c>
      <c r="H19" s="154">
        <f>VLOOKUP((_xlfn.CONCAT(A19," - ",'State Data Rollup &amp; Size Tags'!H$2)),'Census of Govts Data'!$A$3:$D$470,4,FALSE)</f>
        <v>200</v>
      </c>
      <c r="I19" s="154">
        <f>VLOOKUP((_xlfn.CONCAT(A19," - ",'State Data Rollup &amp; Size Tags'!I$2)),'Census of Govts Data'!$A$3:$D$470,4,FALSE)</f>
        <v>44</v>
      </c>
      <c r="J19" s="137">
        <v>1</v>
      </c>
      <c r="K19" s="256">
        <f>VLOOKUP(A19,'Phil. Data'!$A$6:$I$57,6,FALSE)</f>
        <v>86593975</v>
      </c>
      <c r="L19" s="256">
        <f>VLOOKUP(A19,'Phil. Data'!$A$6:$I$57,4,FALSE)</f>
        <v>1818467421</v>
      </c>
      <c r="M19" s="243">
        <f>VLOOKUP(A19,'Phil. Data'!$A$6:$I$57,8,FALSE)</f>
        <v>241</v>
      </c>
    </row>
    <row r="20" spans="1:13" x14ac:dyDescent="0.2">
      <c r="A20" s="137" t="s">
        <v>186</v>
      </c>
      <c r="B20" s="283" t="s">
        <v>64</v>
      </c>
      <c r="C20" s="139">
        <f>VLOOKUP(A20,'Pop. Data'!$A$10:$M$60,13,FALSE)</f>
        <v>12671821</v>
      </c>
      <c r="D20" s="137">
        <v>18</v>
      </c>
      <c r="E20" s="154">
        <f>VLOOKUP(A20,'School Districts'!$A$4:$D$54,4,FALSE)</f>
        <v>886</v>
      </c>
      <c r="F20" s="154">
        <f>VLOOKUP((_xlfn.CONCAT(A20," - ",'State Data Rollup &amp; Size Tags'!F$2)),'Census of Govts Data'!$A$3:$D$470,4,FALSE)</f>
        <v>3204</v>
      </c>
      <c r="G20" s="154">
        <f>VLOOKUP((_xlfn.CONCAT(A20," - ",'State Data Rollup &amp; Size Tags'!G$2)),'Census of Govts Data'!$A$3:$D$470,4,FALSE)</f>
        <v>1429</v>
      </c>
      <c r="H20" s="154">
        <f>VLOOKUP((_xlfn.CONCAT(A20," - ",'State Data Rollup &amp; Size Tags'!H$2)),'Census of Govts Data'!$A$3:$D$470,4,FALSE)</f>
        <v>1297</v>
      </c>
      <c r="I20" s="154">
        <f>VLOOKUP((_xlfn.CONCAT(A20," - ",'State Data Rollup &amp; Size Tags'!I$2)),'Census of Govts Data'!$A$3:$D$470,4,FALSE)</f>
        <v>102</v>
      </c>
      <c r="J20" s="137">
        <v>1</v>
      </c>
      <c r="K20" s="256">
        <f>VLOOKUP(A20,'Phil. Data'!$A$6:$I$57,6,FALSE)</f>
        <v>3610445653</v>
      </c>
      <c r="L20" s="256">
        <f>VLOOKUP(A20,'Phil. Data'!$A$6:$I$57,4,FALSE)</f>
        <v>39032827259</v>
      </c>
      <c r="M20" s="243">
        <f>VLOOKUP(A20,'Phil. Data'!$A$6:$I$57,8,FALSE)</f>
        <v>5317</v>
      </c>
    </row>
    <row r="21" spans="1:13" x14ac:dyDescent="0.2">
      <c r="A21" s="137" t="s">
        <v>187</v>
      </c>
      <c r="B21" s="283" t="s">
        <v>63</v>
      </c>
      <c r="C21" s="139">
        <f>VLOOKUP(A21,'Pop. Data'!$A$10:$M$60,13,FALSE)</f>
        <v>6732219</v>
      </c>
      <c r="D21" s="137">
        <v>9</v>
      </c>
      <c r="E21" s="154">
        <f>VLOOKUP(A21,'School Districts'!$A$4:$D$54,4,FALSE)</f>
        <v>289</v>
      </c>
      <c r="F21" s="154">
        <f>VLOOKUP((_xlfn.CONCAT(A21," - ",'State Data Rollup &amp; Size Tags'!F$2)),'Census of Govts Data'!$A$3:$D$470,4,FALSE)</f>
        <v>687</v>
      </c>
      <c r="G21" s="154">
        <f>VLOOKUP((_xlfn.CONCAT(A21," - ",'State Data Rollup &amp; Size Tags'!G$2)),'Census of Govts Data'!$A$3:$D$470,4,FALSE)</f>
        <v>1004</v>
      </c>
      <c r="H21" s="154">
        <f>VLOOKUP((_xlfn.CONCAT(A21," - ",'State Data Rollup &amp; Size Tags'!H$2)),'Census of Govts Data'!$A$3:$D$470,4,FALSE)</f>
        <v>567</v>
      </c>
      <c r="I21" s="154">
        <f>VLOOKUP((_xlfn.CONCAT(A21," - ",'State Data Rollup &amp; Size Tags'!I$2)),'Census of Govts Data'!$A$3:$D$470,4,FALSE)</f>
        <v>91</v>
      </c>
      <c r="J21" s="137">
        <v>1</v>
      </c>
      <c r="K21" s="256">
        <f>VLOOKUP(A21,'Phil. Data'!$A$6:$I$57,6,FALSE)</f>
        <v>1483101186</v>
      </c>
      <c r="L21" s="256">
        <f>VLOOKUP(A21,'Phil. Data'!$A$6:$I$57,4,FALSE)</f>
        <v>22462185900</v>
      </c>
      <c r="M21" s="243">
        <f>VLOOKUP(A21,'Phil. Data'!$A$6:$I$57,8,FALSE)</f>
        <v>1194</v>
      </c>
    </row>
    <row r="22" spans="1:13" x14ac:dyDescent="0.2">
      <c r="A22" s="137" t="s">
        <v>188</v>
      </c>
      <c r="B22" s="283" t="s">
        <v>62</v>
      </c>
      <c r="C22" s="139">
        <f>VLOOKUP(A22,'Pop. Data'!$A$10:$M$60,13,FALSE)</f>
        <v>3155070</v>
      </c>
      <c r="D22" s="137">
        <v>4</v>
      </c>
      <c r="E22" s="154">
        <f>VLOOKUP(A22,'School Districts'!$A$4:$D$54,4,FALSE)</f>
        <v>348</v>
      </c>
      <c r="F22" s="154">
        <f>VLOOKUP((_xlfn.CONCAT(A22," - ",'State Data Rollup &amp; Size Tags'!F$2)),'Census of Govts Data'!$A$3:$D$470,4,FALSE)</f>
        <v>551</v>
      </c>
      <c r="G22" s="154">
        <f>VLOOKUP((_xlfn.CONCAT(A22," - ",'State Data Rollup &amp; Size Tags'!G$2)),'Census of Govts Data'!$A$3:$D$470,4,FALSE)</f>
        <v>0</v>
      </c>
      <c r="H22" s="154">
        <f>VLOOKUP((_xlfn.CONCAT(A22," - ",'State Data Rollup &amp; Size Tags'!H$2)),'Census of Govts Data'!$A$3:$D$470,4,FALSE)</f>
        <v>943</v>
      </c>
      <c r="I22" s="154">
        <f>VLOOKUP((_xlfn.CONCAT(A22," - ",'State Data Rollup &amp; Size Tags'!I$2)),'Census of Govts Data'!$A$3:$D$470,4,FALSE)</f>
        <v>99</v>
      </c>
      <c r="J22" s="137">
        <v>1</v>
      </c>
      <c r="K22" s="256">
        <f>VLOOKUP(A22,'Phil. Data'!$A$6:$I$57,6,FALSE)</f>
        <v>230666534</v>
      </c>
      <c r="L22" s="256">
        <f>VLOOKUP(A22,'Phil. Data'!$A$6:$I$57,4,FALSE)</f>
        <v>3855550561</v>
      </c>
      <c r="M22" s="243">
        <f>VLOOKUP(A22,'Phil. Data'!$A$6:$I$57,8,FALSE)</f>
        <v>866</v>
      </c>
    </row>
    <row r="23" spans="1:13" x14ac:dyDescent="0.2">
      <c r="A23" s="137" t="s">
        <v>189</v>
      </c>
      <c r="B23" s="283" t="s">
        <v>62</v>
      </c>
      <c r="C23" s="139">
        <f>VLOOKUP(A23,'Pop. Data'!$A$10:$M$60,13,FALSE)</f>
        <v>2913314</v>
      </c>
      <c r="D23" s="137">
        <v>4</v>
      </c>
      <c r="E23" s="154">
        <f>VLOOKUP(A23,'School Districts'!$A$4:$D$54,4,FALSE)</f>
        <v>306</v>
      </c>
      <c r="F23" s="154">
        <f>VLOOKUP((_xlfn.CONCAT(A23," - ",'State Data Rollup &amp; Size Tags'!F$2)),'Census of Govts Data'!$A$3:$D$470,4,FALSE)</f>
        <v>1493</v>
      </c>
      <c r="G23" s="154">
        <f>VLOOKUP((_xlfn.CONCAT(A23," - ",'State Data Rollup &amp; Size Tags'!G$2)),'Census of Govts Data'!$A$3:$D$470,4,FALSE)</f>
        <v>1265</v>
      </c>
      <c r="H23" s="154">
        <f>VLOOKUP((_xlfn.CONCAT(A23," - ",'State Data Rollup &amp; Size Tags'!H$2)),'Census of Govts Data'!$A$3:$D$470,4,FALSE)</f>
        <v>625</v>
      </c>
      <c r="I23" s="154">
        <f>VLOOKUP((_xlfn.CONCAT(A23," - ",'State Data Rollup &amp; Size Tags'!I$2)),'Census of Govts Data'!$A$3:$D$470,4,FALSE)</f>
        <v>103</v>
      </c>
      <c r="J23" s="137">
        <v>1</v>
      </c>
      <c r="K23" s="256">
        <f>VLOOKUP(A23,'Phil. Data'!$A$6:$I$57,6,FALSE)</f>
        <v>215721644</v>
      </c>
      <c r="L23" s="256">
        <f>VLOOKUP(A23,'Phil. Data'!$A$6:$I$57,4,FALSE)</f>
        <v>3697154734</v>
      </c>
      <c r="M23" s="243">
        <f>VLOOKUP(A23,'Phil. Data'!$A$6:$I$57,8,FALSE)</f>
        <v>775</v>
      </c>
    </row>
    <row r="24" spans="1:13" x14ac:dyDescent="0.2">
      <c r="A24" s="137" t="s">
        <v>190</v>
      </c>
      <c r="B24" s="283" t="s">
        <v>62</v>
      </c>
      <c r="C24" s="139">
        <f>VLOOKUP(A24,'Pop. Data'!$A$10:$M$60,13,FALSE)</f>
        <v>4467673</v>
      </c>
      <c r="D24" s="137">
        <v>6</v>
      </c>
      <c r="E24" s="154">
        <f>VLOOKUP(A24,'School Districts'!$A$4:$D$54,4,FALSE)</f>
        <v>173</v>
      </c>
      <c r="F24" s="154">
        <f>VLOOKUP((_xlfn.CONCAT(A24," - ",'State Data Rollup &amp; Size Tags'!F$2)),'Census of Govts Data'!$A$3:$D$470,4,FALSE)</f>
        <v>614</v>
      </c>
      <c r="G24" s="154">
        <f>VLOOKUP((_xlfn.CONCAT(A24," - ",'State Data Rollup &amp; Size Tags'!G$2)),'Census of Govts Data'!$A$3:$D$470,4,FALSE)</f>
        <v>0</v>
      </c>
      <c r="H24" s="154">
        <f>VLOOKUP((_xlfn.CONCAT(A24," - ",'State Data Rollup &amp; Size Tags'!H$2)),'Census of Govts Data'!$A$3:$D$470,4,FALSE)</f>
        <v>417</v>
      </c>
      <c r="I24" s="154">
        <f>VLOOKUP((_xlfn.CONCAT(A24," - ",'State Data Rollup &amp; Size Tags'!I$2)),'Census of Govts Data'!$A$3:$D$470,4,FALSE)</f>
        <v>118</v>
      </c>
      <c r="J24" s="137">
        <v>1</v>
      </c>
      <c r="K24" s="256">
        <f>VLOOKUP(A24,'Phil. Data'!$A$6:$I$57,6,FALSE)</f>
        <v>185116421</v>
      </c>
      <c r="L24" s="256">
        <f>VLOOKUP(A24,'Phil. Data'!$A$6:$I$57,4,FALSE)</f>
        <v>3237361928</v>
      </c>
      <c r="M24" s="243">
        <f>VLOOKUP(A24,'Phil. Data'!$A$6:$I$57,8,FALSE)</f>
        <v>543</v>
      </c>
    </row>
    <row r="25" spans="1:13" x14ac:dyDescent="0.2">
      <c r="A25" s="137" t="s">
        <v>191</v>
      </c>
      <c r="B25" s="283" t="s">
        <v>62</v>
      </c>
      <c r="C25" s="139">
        <f>VLOOKUP(A25,'Pop. Data'!$A$10:$M$60,13,FALSE)</f>
        <v>4648794</v>
      </c>
      <c r="D25" s="137">
        <v>6</v>
      </c>
      <c r="E25" s="154">
        <f>VLOOKUP(A25,'School Districts'!$A$4:$D$54,4,FALSE)</f>
        <v>70</v>
      </c>
      <c r="F25" s="154">
        <f>VLOOKUP((_xlfn.CONCAT(A25," - ",'State Data Rollup &amp; Size Tags'!F$2)),'Census of Govts Data'!$A$3:$D$470,4,FALSE)</f>
        <v>83</v>
      </c>
      <c r="G25" s="154">
        <f>VLOOKUP((_xlfn.CONCAT(A25," - ",'State Data Rollup &amp; Size Tags'!G$2)),'Census of Govts Data'!$A$3:$D$470,4,FALSE)</f>
        <v>0</v>
      </c>
      <c r="H25" s="154">
        <f>VLOOKUP((_xlfn.CONCAT(A25," - ",'State Data Rollup &amp; Size Tags'!H$2)),'Census of Govts Data'!$A$3:$D$470,4,FALSE)</f>
        <v>304</v>
      </c>
      <c r="I25" s="154">
        <f>VLOOKUP((_xlfn.CONCAT(A25," - ",'State Data Rollup &amp; Size Tags'!I$2)),'Census of Govts Data'!$A$3:$D$470,4,FALSE)</f>
        <v>60</v>
      </c>
      <c r="J25" s="137">
        <v>1</v>
      </c>
      <c r="K25" s="256">
        <f>VLOOKUP(A25,'Phil. Data'!$A$6:$I$57,6,FALSE)</f>
        <v>237237316</v>
      </c>
      <c r="L25" s="256">
        <f>VLOOKUP(A25,'Phil. Data'!$A$6:$I$57,4,FALSE)</f>
        <v>3911529843</v>
      </c>
      <c r="M25" s="243">
        <f>VLOOKUP(A25,'Phil. Data'!$A$6:$I$57,8,FALSE)</f>
        <v>516</v>
      </c>
    </row>
    <row r="26" spans="1:13" x14ac:dyDescent="0.2">
      <c r="A26" s="137" t="s">
        <v>192</v>
      </c>
      <c r="B26" s="283" t="s">
        <v>62</v>
      </c>
      <c r="C26" s="139">
        <f>VLOOKUP(A26,'Pop. Data'!$A$10:$M$60,13,FALSE)</f>
        <v>1344212</v>
      </c>
      <c r="D26" s="137">
        <v>2</v>
      </c>
      <c r="E26" s="154">
        <f>VLOOKUP(A26,'School Districts'!$A$4:$D$54,4,FALSE)</f>
        <v>258</v>
      </c>
      <c r="F26" s="154">
        <f>VLOOKUP((_xlfn.CONCAT(A26," - ",'State Data Rollup &amp; Size Tags'!F$2)),'Census of Govts Data'!$A$3:$D$470,4,FALSE)</f>
        <v>232</v>
      </c>
      <c r="G26" s="154">
        <f>VLOOKUP((_xlfn.CONCAT(A26," - ",'State Data Rollup &amp; Size Tags'!G$2)),'Census of Govts Data'!$A$3:$D$470,4,FALSE)</f>
        <v>465</v>
      </c>
      <c r="H26" s="154">
        <f>VLOOKUP((_xlfn.CONCAT(A26," - ",'State Data Rollup &amp; Size Tags'!H$2)),'Census of Govts Data'!$A$3:$D$470,4,FALSE)</f>
        <v>23</v>
      </c>
      <c r="I26" s="154">
        <f>VLOOKUP((_xlfn.CONCAT(A26," - ",'State Data Rollup &amp; Size Tags'!I$2)),'Census of Govts Data'!$A$3:$D$470,4,FALSE)</f>
        <v>16</v>
      </c>
      <c r="J26" s="137">
        <v>1</v>
      </c>
      <c r="K26" s="256">
        <f>VLOOKUP(A26,'Phil. Data'!$A$6:$I$57,6,FALSE)</f>
        <v>159795511</v>
      </c>
      <c r="L26" s="256">
        <f>VLOOKUP(A26,'Phil. Data'!$A$6:$I$57,4,FALSE)</f>
        <v>2900606191</v>
      </c>
      <c r="M26" s="243">
        <f>VLOOKUP(A26,'Phil. Data'!$A$6:$I$57,8,FALSE)</f>
        <v>363</v>
      </c>
    </row>
    <row r="27" spans="1:13" x14ac:dyDescent="0.2">
      <c r="A27" s="137" t="s">
        <v>193</v>
      </c>
      <c r="B27" s="283" t="s">
        <v>63</v>
      </c>
      <c r="C27" s="139">
        <f>VLOOKUP(A27,'Pop. Data'!$A$10:$M$60,13,FALSE)</f>
        <v>6045680</v>
      </c>
      <c r="D27" s="137">
        <v>8</v>
      </c>
      <c r="E27" s="154">
        <f>VLOOKUP(A27,'School Districts'!$A$4:$D$54,4,FALSE)</f>
        <v>39</v>
      </c>
      <c r="F27" s="154">
        <f>VLOOKUP((_xlfn.CONCAT(A27," - ",'State Data Rollup &amp; Size Tags'!F$2)),'Census of Govts Data'!$A$3:$D$470,4,FALSE)</f>
        <v>164</v>
      </c>
      <c r="G27" s="154">
        <f>VLOOKUP((_xlfn.CONCAT(A27," - ",'State Data Rollup &amp; Size Tags'!G$2)),'Census of Govts Data'!$A$3:$D$470,4,FALSE)</f>
        <v>0</v>
      </c>
      <c r="H27" s="154">
        <f>VLOOKUP((_xlfn.CONCAT(A27," - ",'State Data Rollup &amp; Size Tags'!H$2)),'Census of Govts Data'!$A$3:$D$470,4,FALSE)</f>
        <v>157</v>
      </c>
      <c r="I27" s="154">
        <f>VLOOKUP((_xlfn.CONCAT(A27," - ",'State Data Rollup &amp; Size Tags'!I$2)),'Census of Govts Data'!$A$3:$D$470,4,FALSE)</f>
        <v>23</v>
      </c>
      <c r="J27" s="137">
        <v>1</v>
      </c>
      <c r="K27" s="256">
        <f>VLOOKUP(A27,'Phil. Data'!$A$6:$I$57,6,FALSE)</f>
        <v>887897207</v>
      </c>
      <c r="L27" s="256">
        <f>VLOOKUP(A27,'Phil. Data'!$A$6:$I$57,4,FALSE)</f>
        <v>17288455807</v>
      </c>
      <c r="M27" s="243">
        <f>VLOOKUP(A27,'Phil. Data'!$A$6:$I$57,8,FALSE)</f>
        <v>1433</v>
      </c>
    </row>
    <row r="28" spans="1:13" x14ac:dyDescent="0.2">
      <c r="A28" s="137" t="s">
        <v>194</v>
      </c>
      <c r="B28" s="283" t="s">
        <v>63</v>
      </c>
      <c r="C28" s="139">
        <f>VLOOKUP(A28,'Pop. Data'!$A$10:$M$60,13,FALSE)</f>
        <v>6892503</v>
      </c>
      <c r="D28" s="137">
        <v>9</v>
      </c>
      <c r="E28" s="154">
        <f>VLOOKUP(A28,'School Districts'!$A$4:$D$54,4,FALSE)</f>
        <v>321</v>
      </c>
      <c r="F28" s="154">
        <f>VLOOKUP((_xlfn.CONCAT(A28," - ",'State Data Rollup &amp; Size Tags'!F$2)),'Census of Govts Data'!$A$3:$D$470,4,FALSE)</f>
        <v>417</v>
      </c>
      <c r="G28" s="154">
        <f>VLOOKUP((_xlfn.CONCAT(A28," - ",'State Data Rollup &amp; Size Tags'!G$2)),'Census of Govts Data'!$A$3:$D$470,4,FALSE)</f>
        <v>298</v>
      </c>
      <c r="H28" s="154">
        <f>VLOOKUP((_xlfn.CONCAT(A28," - ",'State Data Rollup &amp; Size Tags'!H$2)),'Census of Govts Data'!$A$3:$D$470,4,FALSE)</f>
        <v>53</v>
      </c>
      <c r="I28" s="154">
        <f>VLOOKUP((_xlfn.CONCAT(A28," - ",'State Data Rollup &amp; Size Tags'!I$2)),'Census of Govts Data'!$A$3:$D$470,4,FALSE)</f>
        <v>5</v>
      </c>
      <c r="J28" s="137">
        <v>1</v>
      </c>
      <c r="K28" s="256">
        <f>VLOOKUP(A28,'Phil. Data'!$A$6:$I$57,6,FALSE)</f>
        <v>1674862137</v>
      </c>
      <c r="L28" s="256">
        <f>VLOOKUP(A28,'Phil. Data'!$A$6:$I$57,4,FALSE)</f>
        <v>23725981843</v>
      </c>
      <c r="M28" s="243">
        <f>VLOOKUP(A28,'Phil. Data'!$A$6:$I$57,8,FALSE)</f>
        <v>3008</v>
      </c>
    </row>
    <row r="29" spans="1:13" x14ac:dyDescent="0.2">
      <c r="A29" s="137" t="s">
        <v>195</v>
      </c>
      <c r="B29" s="283" t="s">
        <v>63</v>
      </c>
      <c r="C29" s="139">
        <f>VLOOKUP(A29,'Pop. Data'!$A$10:$M$60,13,FALSE)</f>
        <v>9986857</v>
      </c>
      <c r="D29" s="137">
        <v>14</v>
      </c>
      <c r="E29" s="154">
        <f>VLOOKUP(A29,'School Districts'!$A$4:$D$54,4,FALSE)</f>
        <v>571</v>
      </c>
      <c r="F29" s="154">
        <f>VLOOKUP((_xlfn.CONCAT(A29," - ",'State Data Rollup &amp; Size Tags'!F$2)),'Census of Govts Data'!$A$3:$D$470,4,FALSE)</f>
        <v>436</v>
      </c>
      <c r="G29" s="154">
        <f>VLOOKUP((_xlfn.CONCAT(A29," - ",'State Data Rollup &amp; Size Tags'!G$2)),'Census of Govts Data'!$A$3:$D$470,4,FALSE)</f>
        <v>1240</v>
      </c>
      <c r="H29" s="154">
        <f>VLOOKUP((_xlfn.CONCAT(A29," - ",'State Data Rollup &amp; Size Tags'!H$2)),'Census of Govts Data'!$A$3:$D$470,4,FALSE)</f>
        <v>533</v>
      </c>
      <c r="I29" s="154">
        <f>VLOOKUP((_xlfn.CONCAT(A29," - ",'State Data Rollup &amp; Size Tags'!I$2)),'Census of Govts Data'!$A$3:$D$470,4,FALSE)</f>
        <v>83</v>
      </c>
      <c r="J29" s="137">
        <v>1</v>
      </c>
      <c r="K29" s="256">
        <f>VLOOKUP(A29,'Phil. Data'!$A$6:$I$57,6,FALSE)</f>
        <v>1663756427</v>
      </c>
      <c r="L29" s="256">
        <f>VLOOKUP(A29,'Phil. Data'!$A$6:$I$57,4,FALSE)</f>
        <v>31187432087</v>
      </c>
      <c r="M29" s="243">
        <f>VLOOKUP(A29,'Phil. Data'!$A$6:$I$57,8,FALSE)</f>
        <v>2181</v>
      </c>
    </row>
    <row r="30" spans="1:13" x14ac:dyDescent="0.2">
      <c r="A30" s="137" t="s">
        <v>196</v>
      </c>
      <c r="B30" s="283" t="s">
        <v>63</v>
      </c>
      <c r="C30" s="139">
        <f>VLOOKUP(A30,'Pop. Data'!$A$10:$M$60,13,FALSE)</f>
        <v>5639632</v>
      </c>
      <c r="D30" s="137">
        <v>8</v>
      </c>
      <c r="E30" s="154">
        <f>VLOOKUP(A30,'School Districts'!$A$4:$D$54,4,FALSE)</f>
        <v>333</v>
      </c>
      <c r="F30" s="154">
        <f>VLOOKUP((_xlfn.CONCAT(A30," - ",'State Data Rollup &amp; Size Tags'!F$2)),'Census of Govts Data'!$A$3:$D$470,4,FALSE)</f>
        <v>590</v>
      </c>
      <c r="G30" s="154">
        <f>VLOOKUP((_xlfn.CONCAT(A30," - ",'State Data Rollup &amp; Size Tags'!G$2)),'Census of Govts Data'!$A$3:$D$470,4,FALSE)</f>
        <v>1780</v>
      </c>
      <c r="H30" s="154">
        <f>VLOOKUP((_xlfn.CONCAT(A30," - ",'State Data Rollup &amp; Size Tags'!H$2)),'Census of Govts Data'!$A$3:$D$470,4,FALSE)</f>
        <v>853</v>
      </c>
      <c r="I30" s="154">
        <f>VLOOKUP((_xlfn.CONCAT(A30," - ",'State Data Rollup &amp; Size Tags'!I$2)),'Census of Govts Data'!$A$3:$D$470,4,FALSE)</f>
        <v>87</v>
      </c>
      <c r="J30" s="137">
        <v>1</v>
      </c>
      <c r="K30" s="256">
        <f>VLOOKUP(A30,'Phil. Data'!$A$6:$I$57,6,FALSE)</f>
        <v>1343337650</v>
      </c>
      <c r="L30" s="256">
        <f>VLOOKUP(A30,'Phil. Data'!$A$6:$I$57,4,FALSE)</f>
        <v>18611796298</v>
      </c>
      <c r="M30" s="243">
        <f>VLOOKUP(A30,'Phil. Data'!$A$6:$I$57,8,FALSE)</f>
        <v>1481</v>
      </c>
    </row>
    <row r="31" spans="1:13" x14ac:dyDescent="0.2">
      <c r="A31" s="137" t="s">
        <v>197</v>
      </c>
      <c r="B31" s="283" t="s">
        <v>62</v>
      </c>
      <c r="C31" s="139">
        <f>VLOOKUP(A31,'Pop. Data'!$A$10:$M$60,13,FALSE)</f>
        <v>2976149</v>
      </c>
      <c r="D31" s="137">
        <v>4</v>
      </c>
      <c r="E31" s="154">
        <f>VLOOKUP(A31,'School Districts'!$A$4:$D$54,4,FALSE)</f>
        <v>160</v>
      </c>
      <c r="F31" s="154">
        <f>VLOOKUP((_xlfn.CONCAT(A31," - ",'State Data Rollup &amp; Size Tags'!F$2)),'Census of Govts Data'!$A$3:$D$470,4,FALSE)</f>
        <v>432</v>
      </c>
      <c r="G31" s="154">
        <f>VLOOKUP((_xlfn.CONCAT(A31," - ",'State Data Rollup &amp; Size Tags'!G$2)),'Census of Govts Data'!$A$3:$D$470,4,FALSE)</f>
        <v>0</v>
      </c>
      <c r="H31" s="154">
        <f>VLOOKUP((_xlfn.CONCAT(A31," - ",'State Data Rollup &amp; Size Tags'!H$2)),'Census of Govts Data'!$A$3:$D$470,4,FALSE)</f>
        <v>298</v>
      </c>
      <c r="I31" s="154">
        <f>VLOOKUP((_xlfn.CONCAT(A31," - ",'State Data Rollup &amp; Size Tags'!I$2)),'Census of Govts Data'!$A$3:$D$470,4,FALSE)</f>
        <v>82</v>
      </c>
      <c r="J31" s="137">
        <v>1</v>
      </c>
      <c r="K31" s="256">
        <f>VLOOKUP(A31,'Phil. Data'!$A$6:$I$57,6,FALSE)</f>
        <v>96286772</v>
      </c>
      <c r="L31" s="256">
        <f>VLOOKUP(A31,'Phil. Data'!$A$6:$I$57,4,FALSE)</f>
        <v>1443082457</v>
      </c>
      <c r="M31" s="243">
        <f>VLOOKUP(A31,'Phil. Data'!$A$6:$I$57,8,FALSE)</f>
        <v>243</v>
      </c>
    </row>
    <row r="32" spans="1:13" x14ac:dyDescent="0.2">
      <c r="A32" s="137" t="s">
        <v>198</v>
      </c>
      <c r="B32" s="283" t="s">
        <v>63</v>
      </c>
      <c r="C32" s="139">
        <f>VLOOKUP(A32,'Pop. Data'!$A$10:$M$60,13,FALSE)</f>
        <v>6137428</v>
      </c>
      <c r="D32" s="137">
        <v>8</v>
      </c>
      <c r="E32" s="154">
        <f>VLOOKUP(A32,'School Districts'!$A$4:$D$54,4,FALSE)</f>
        <v>530</v>
      </c>
      <c r="F32" s="154">
        <f>VLOOKUP((_xlfn.CONCAT(A32," - ",'State Data Rollup &amp; Size Tags'!F$2)),'Census of Govts Data'!$A$3:$D$470,4,FALSE)</f>
        <v>1897</v>
      </c>
      <c r="G32" s="154">
        <f>VLOOKUP((_xlfn.CONCAT(A32," - ",'State Data Rollup &amp; Size Tags'!G$2)),'Census of Govts Data'!$A$3:$D$470,4,FALSE)</f>
        <v>283</v>
      </c>
      <c r="H32" s="154">
        <f>VLOOKUP((_xlfn.CONCAT(A32," - ",'State Data Rollup &amp; Size Tags'!H$2)),'Census of Govts Data'!$A$3:$D$470,4,FALSE)</f>
        <v>944</v>
      </c>
      <c r="I32" s="154">
        <f>VLOOKUP((_xlfn.CONCAT(A32," - ",'State Data Rollup &amp; Size Tags'!I$2)),'Census of Govts Data'!$A$3:$D$470,4,FALSE)</f>
        <v>114</v>
      </c>
      <c r="J32" s="137">
        <v>1</v>
      </c>
      <c r="K32" s="256">
        <f>VLOOKUP(A32,'Phil. Data'!$A$6:$I$57,6,FALSE)</f>
        <v>1110991342</v>
      </c>
      <c r="L32" s="256">
        <f>VLOOKUP(A32,'Phil. Data'!$A$6:$I$57,4,FALSE)</f>
        <v>13762831548</v>
      </c>
      <c r="M32" s="243">
        <f>VLOOKUP(A32,'Phil. Data'!$A$6:$I$57,8,FALSE)</f>
        <v>1426</v>
      </c>
    </row>
    <row r="33" spans="1:13" x14ac:dyDescent="0.2">
      <c r="A33" s="137" t="s">
        <v>199</v>
      </c>
      <c r="B33" s="283" t="s">
        <v>62</v>
      </c>
      <c r="C33" s="139">
        <f>VLOOKUP(A33,'Pop. Data'!$A$10:$M$60,13,FALSE)</f>
        <v>1068778</v>
      </c>
      <c r="D33" s="137">
        <v>1</v>
      </c>
      <c r="E33" s="154">
        <f>VLOOKUP(A33,'School Districts'!$A$4:$D$54,4,FALSE)</f>
        <v>313</v>
      </c>
      <c r="F33" s="154">
        <f>VLOOKUP((_xlfn.CONCAT(A33," - ",'State Data Rollup &amp; Size Tags'!F$2)),'Census of Govts Data'!$A$3:$D$470,4,FALSE)</f>
        <v>730</v>
      </c>
      <c r="G33" s="154">
        <f>VLOOKUP((_xlfn.CONCAT(A33," - ",'State Data Rollup &amp; Size Tags'!G$2)),'Census of Govts Data'!$A$3:$D$470,4,FALSE)</f>
        <v>0</v>
      </c>
      <c r="H33" s="154">
        <f>VLOOKUP((_xlfn.CONCAT(A33," - ",'State Data Rollup &amp; Size Tags'!H$2)),'Census of Govts Data'!$A$3:$D$470,4,FALSE)</f>
        <v>129</v>
      </c>
      <c r="I33" s="154">
        <f>VLOOKUP((_xlfn.CONCAT(A33," - ",'State Data Rollup &amp; Size Tags'!I$2)),'Census of Govts Data'!$A$3:$D$470,4,FALSE)</f>
        <v>54</v>
      </c>
      <c r="J33" s="137">
        <v>1</v>
      </c>
      <c r="K33" s="256">
        <f>VLOOKUP(A33,'Phil. Data'!$A$6:$I$57,6,FALSE)</f>
        <v>80508508</v>
      </c>
      <c r="L33" s="256">
        <f>VLOOKUP(A33,'Phil. Data'!$A$6:$I$57,4,FALSE)</f>
        <v>1651715109</v>
      </c>
      <c r="M33" s="243">
        <f>VLOOKUP(A33,'Phil. Data'!$A$6:$I$57,8,FALSE)</f>
        <v>283</v>
      </c>
    </row>
    <row r="34" spans="1:13" x14ac:dyDescent="0.2">
      <c r="A34" s="137" t="s">
        <v>200</v>
      </c>
      <c r="B34" s="283" t="s">
        <v>62</v>
      </c>
      <c r="C34" s="139">
        <f>VLOOKUP(A34,'Pop. Data'!$A$10:$M$60,13,FALSE)</f>
        <v>1934408</v>
      </c>
      <c r="D34" s="137">
        <v>3</v>
      </c>
      <c r="E34" s="154">
        <f>VLOOKUP(A34,'School Districts'!$A$4:$D$54,4,FALSE)</f>
        <v>269</v>
      </c>
      <c r="F34" s="154">
        <f>VLOOKUP((_xlfn.CONCAT(A34," - ",'State Data Rollup &amp; Size Tags'!F$2)),'Census of Govts Data'!$A$3:$D$470,4,FALSE)</f>
        <v>1281</v>
      </c>
      <c r="G34" s="154">
        <f>VLOOKUP((_xlfn.CONCAT(A34," - ",'State Data Rollup &amp; Size Tags'!G$2)),'Census of Govts Data'!$A$3:$D$470,4,FALSE)</f>
        <v>366</v>
      </c>
      <c r="H34" s="154">
        <f>VLOOKUP((_xlfn.CONCAT(A34," - ",'State Data Rollup &amp; Size Tags'!H$2)),'Census of Govts Data'!$A$3:$D$470,4,FALSE)</f>
        <v>529</v>
      </c>
      <c r="I34" s="154">
        <f>VLOOKUP((_xlfn.CONCAT(A34," - ",'State Data Rollup &amp; Size Tags'!I$2)),'Census of Govts Data'!$A$3:$D$470,4,FALSE)</f>
        <v>93</v>
      </c>
      <c r="J34" s="137">
        <v>1</v>
      </c>
      <c r="K34" s="256">
        <f>VLOOKUP(A34,'Phil. Data'!$A$6:$I$57,6,FALSE)</f>
        <v>1043355636</v>
      </c>
      <c r="L34" s="256">
        <f>VLOOKUP(A34,'Phil. Data'!$A$6:$I$57,4,FALSE)</f>
        <v>8071136635</v>
      </c>
      <c r="M34" s="243">
        <f>VLOOKUP(A34,'Phil. Data'!$A$6:$I$57,8,FALSE)</f>
        <v>598</v>
      </c>
    </row>
    <row r="35" spans="1:13" x14ac:dyDescent="0.2">
      <c r="A35" s="137" t="s">
        <v>201</v>
      </c>
      <c r="B35" s="283" t="s">
        <v>62</v>
      </c>
      <c r="C35" s="139">
        <f>VLOOKUP(A35,'Pop. Data'!$A$10:$M$60,13,FALSE)</f>
        <v>3080156</v>
      </c>
      <c r="D35" s="137">
        <v>4</v>
      </c>
      <c r="E35" s="154">
        <f>VLOOKUP(A35,'School Districts'!$A$4:$D$54,4,FALSE)</f>
        <v>17</v>
      </c>
      <c r="F35" s="154">
        <f>VLOOKUP((_xlfn.CONCAT(A35," - ",'State Data Rollup &amp; Size Tags'!F$2)),'Census of Govts Data'!$A$3:$D$470,4,FALSE)</f>
        <v>137</v>
      </c>
      <c r="G35" s="154">
        <f>VLOOKUP((_xlfn.CONCAT(A35," - ",'State Data Rollup &amp; Size Tags'!G$2)),'Census of Govts Data'!$A$3:$D$470,4,FALSE)</f>
        <v>0</v>
      </c>
      <c r="H35" s="154">
        <f>VLOOKUP((_xlfn.CONCAT(A35," - ",'State Data Rollup &amp; Size Tags'!H$2)),'Census of Govts Data'!$A$3:$D$470,4,FALSE)</f>
        <v>19</v>
      </c>
      <c r="I35" s="154">
        <f>VLOOKUP((_xlfn.CONCAT(A35," - ",'State Data Rollup &amp; Size Tags'!I$2)),'Census of Govts Data'!$A$3:$D$470,4,FALSE)</f>
        <v>16</v>
      </c>
      <c r="J35" s="137">
        <v>1</v>
      </c>
      <c r="K35" s="256">
        <f>VLOOKUP(A35,'Phil. Data'!$A$6:$I$57,6,FALSE)</f>
        <v>360845841</v>
      </c>
      <c r="L35" s="256">
        <f>VLOOKUP(A35,'Phil. Data'!$A$6:$I$57,4,FALSE)</f>
        <v>4279630463</v>
      </c>
      <c r="M35" s="243">
        <f>VLOOKUP(A35,'Phil. Data'!$A$6:$I$57,8,FALSE)</f>
        <v>509</v>
      </c>
    </row>
    <row r="36" spans="1:13" x14ac:dyDescent="0.2">
      <c r="A36" s="137" t="s">
        <v>202</v>
      </c>
      <c r="B36" s="283" t="s">
        <v>62</v>
      </c>
      <c r="C36" s="139">
        <f>VLOOKUP(A36,'Pop. Data'!$A$10:$M$60,13,FALSE)</f>
        <v>1359711</v>
      </c>
      <c r="D36" s="137">
        <v>2</v>
      </c>
      <c r="E36" s="154">
        <f>VLOOKUP(A36,'School Districts'!$A$4:$D$54,4,FALSE)</f>
        <v>178</v>
      </c>
      <c r="F36" s="154">
        <f>VLOOKUP((_xlfn.CONCAT(A36," - ",'State Data Rollup &amp; Size Tags'!F$2)),'Census of Govts Data'!$A$3:$D$470,4,FALSE)</f>
        <v>129</v>
      </c>
      <c r="G36" s="154">
        <f>VLOOKUP((_xlfn.CONCAT(A36," - ",'State Data Rollup &amp; Size Tags'!G$2)),'Census of Govts Data'!$A$3:$D$470,4,FALSE)</f>
        <v>221</v>
      </c>
      <c r="H36" s="154">
        <f>VLOOKUP((_xlfn.CONCAT(A36," - ",'State Data Rollup &amp; Size Tags'!H$2)),'Census of Govts Data'!$A$3:$D$470,4,FALSE)</f>
        <v>13</v>
      </c>
      <c r="I36" s="154">
        <f>VLOOKUP((_xlfn.CONCAT(A36," - ",'State Data Rollup &amp; Size Tags'!I$2)),'Census of Govts Data'!$A$3:$D$470,4,FALSE)</f>
        <v>10</v>
      </c>
      <c r="J36" s="137">
        <v>1</v>
      </c>
      <c r="K36" s="256">
        <f>VLOOKUP(A36,'Phil. Data'!$A$6:$I$57,6,FALSE)</f>
        <v>170839121</v>
      </c>
      <c r="L36" s="256">
        <f>VLOOKUP(A36,'Phil. Data'!$A$6:$I$57,4,FALSE)</f>
        <v>2412957649</v>
      </c>
      <c r="M36" s="243">
        <f>VLOOKUP(A36,'Phil. Data'!$A$6:$I$57,8,FALSE)</f>
        <v>445</v>
      </c>
    </row>
    <row r="37" spans="1:13" x14ac:dyDescent="0.2">
      <c r="A37" s="137" t="s">
        <v>203</v>
      </c>
      <c r="B37" s="283" t="s">
        <v>63</v>
      </c>
      <c r="C37" s="139">
        <f>VLOOKUP(A37,'Pop. Data'!$A$10:$M$60,13,FALSE)</f>
        <v>8882190</v>
      </c>
      <c r="D37" s="137">
        <v>12</v>
      </c>
      <c r="E37" s="154">
        <f>VLOOKUP(A37,'School Districts'!$A$4:$D$54,4,FALSE)</f>
        <v>593</v>
      </c>
      <c r="F37" s="154">
        <f>VLOOKUP((_xlfn.CONCAT(A37," - ",'State Data Rollup &amp; Size Tags'!F$2)),'Census of Govts Data'!$A$3:$D$470,4,FALSE)</f>
        <v>233</v>
      </c>
      <c r="G37" s="154">
        <f>VLOOKUP((_xlfn.CONCAT(A37," - ",'State Data Rollup &amp; Size Tags'!G$2)),'Census of Govts Data'!$A$3:$D$470,4,FALSE)</f>
        <v>241</v>
      </c>
      <c r="H37" s="154">
        <f>VLOOKUP((_xlfn.CONCAT(A37," - ",'State Data Rollup &amp; Size Tags'!H$2)),'Census of Govts Data'!$A$3:$D$470,4,FALSE)</f>
        <v>324</v>
      </c>
      <c r="I37" s="154">
        <f>VLOOKUP((_xlfn.CONCAT(A37," - ",'State Data Rollup &amp; Size Tags'!I$2)),'Census of Govts Data'!$A$3:$D$470,4,FALSE)</f>
        <v>21</v>
      </c>
      <c r="J37" s="137">
        <v>1</v>
      </c>
      <c r="K37" s="256">
        <f>VLOOKUP(A37,'Phil. Data'!$A$6:$I$57,6,FALSE)</f>
        <v>4130119172</v>
      </c>
      <c r="L37" s="256">
        <f>VLOOKUP(A37,'Phil. Data'!$A$6:$I$57,4,FALSE)</f>
        <v>24342626125</v>
      </c>
      <c r="M37" s="243">
        <f>VLOOKUP(A37,'Phil. Data'!$A$6:$I$57,8,FALSE)</f>
        <v>2826</v>
      </c>
    </row>
    <row r="38" spans="1:13" x14ac:dyDescent="0.2">
      <c r="A38" s="137" t="s">
        <v>204</v>
      </c>
      <c r="B38" s="283" t="s">
        <v>62</v>
      </c>
      <c r="C38" s="139">
        <f>VLOOKUP(A38,'Pop. Data'!$A$10:$M$60,13,FALSE)</f>
        <v>2096829</v>
      </c>
      <c r="D38" s="137">
        <v>3</v>
      </c>
      <c r="E38" s="154">
        <f>VLOOKUP(A38,'School Districts'!$A$4:$D$54,4,FALSE)</f>
        <v>96</v>
      </c>
      <c r="F38" s="154">
        <f>VLOOKUP((_xlfn.CONCAT(A38," - ",'State Data Rollup &amp; Size Tags'!F$2)),'Census of Govts Data'!$A$3:$D$470,4,FALSE)</f>
        <v>779</v>
      </c>
      <c r="G38" s="154">
        <f>VLOOKUP((_xlfn.CONCAT(A38," - ",'State Data Rollup &amp; Size Tags'!G$2)),'Census of Govts Data'!$A$3:$D$470,4,FALSE)</f>
        <v>0</v>
      </c>
      <c r="H38" s="154">
        <f>VLOOKUP((_xlfn.CONCAT(A38," - ",'State Data Rollup &amp; Size Tags'!H$2)),'Census of Govts Data'!$A$3:$D$470,4,FALSE)</f>
        <v>105</v>
      </c>
      <c r="I38" s="154">
        <f>VLOOKUP((_xlfn.CONCAT(A38," - ",'State Data Rollup &amp; Size Tags'!I$2)),'Census of Govts Data'!$A$3:$D$470,4,FALSE)</f>
        <v>33</v>
      </c>
      <c r="J38" s="137">
        <v>1</v>
      </c>
      <c r="K38" s="256">
        <f>VLOOKUP(A38,'Phil. Data'!$A$6:$I$57,6,FALSE)</f>
        <v>82529996</v>
      </c>
      <c r="L38" s="256">
        <f>VLOOKUP(A38,'Phil. Data'!$A$6:$I$57,4,FALSE)</f>
        <v>1676033192</v>
      </c>
      <c r="M38" s="243">
        <f>VLOOKUP(A38,'Phil. Data'!$A$6:$I$57,8,FALSE)</f>
        <v>277</v>
      </c>
    </row>
    <row r="39" spans="1:13" x14ac:dyDescent="0.2">
      <c r="A39" s="137" t="s">
        <v>205</v>
      </c>
      <c r="B39" s="283" t="s">
        <v>65</v>
      </c>
      <c r="C39" s="139">
        <f>VLOOKUP(A39,'Pop. Data'!$A$10:$M$60,13,FALSE)</f>
        <v>19453561</v>
      </c>
      <c r="D39" s="137">
        <v>27</v>
      </c>
      <c r="E39" s="154">
        <f>VLOOKUP(A39,'School Districts'!$A$4:$D$54,4,FALSE)</f>
        <v>714</v>
      </c>
      <c r="F39" s="154">
        <f>VLOOKUP((_xlfn.CONCAT(A39," - ",'State Data Rollup &amp; Size Tags'!F$2)),'Census of Govts Data'!$A$3:$D$470,4,FALSE)</f>
        <v>1185</v>
      </c>
      <c r="G39" s="154">
        <f>VLOOKUP((_xlfn.CONCAT(A39," - ",'State Data Rollup &amp; Size Tags'!G$2)),'Census of Govts Data'!$A$3:$D$470,4,FALSE)</f>
        <v>929</v>
      </c>
      <c r="H39" s="154">
        <f>VLOOKUP((_xlfn.CONCAT(A39," - ",'State Data Rollup &amp; Size Tags'!H$2)),'Census of Govts Data'!$A$3:$D$470,4,FALSE)</f>
        <v>601</v>
      </c>
      <c r="I39" s="154">
        <f>VLOOKUP((_xlfn.CONCAT(A39," - ",'State Data Rollup &amp; Size Tags'!I$2)),'Census of Govts Data'!$A$3:$D$470,4,FALSE)</f>
        <v>57</v>
      </c>
      <c r="J39" s="137">
        <v>1</v>
      </c>
      <c r="K39" s="256">
        <f>VLOOKUP(A39,'Phil. Data'!$A$6:$I$57,6,FALSE)</f>
        <v>10490751818</v>
      </c>
      <c r="L39" s="256">
        <f>VLOOKUP(A39,'Phil. Data'!$A$6:$I$57,4,FALSE)</f>
        <v>151125413759</v>
      </c>
      <c r="M39" s="243">
        <f>VLOOKUP(A39,'Phil. Data'!$A$6:$I$57,8,FALSE)</f>
        <v>9639</v>
      </c>
    </row>
    <row r="40" spans="1:13" x14ac:dyDescent="0.2">
      <c r="A40" s="137" t="s">
        <v>206</v>
      </c>
      <c r="B40" s="283" t="s">
        <v>64</v>
      </c>
      <c r="C40" s="139">
        <f>VLOOKUP(A40,'Pop. Data'!$A$10:$M$60,13,FALSE)</f>
        <v>10488084</v>
      </c>
      <c r="D40" s="137">
        <v>13</v>
      </c>
      <c r="E40" s="154">
        <f>VLOOKUP(A40,'School Districts'!$A$4:$D$54,4,FALSE)</f>
        <v>174</v>
      </c>
      <c r="F40" s="154">
        <f>VLOOKUP((_xlfn.CONCAT(A40," - ",'State Data Rollup &amp; Size Tags'!F$2)),'Census of Govts Data'!$A$3:$D$470,4,FALSE)</f>
        <v>318</v>
      </c>
      <c r="G40" s="154">
        <f>VLOOKUP((_xlfn.CONCAT(A40," - ",'State Data Rollup &amp; Size Tags'!G$2)),'Census of Govts Data'!$A$3:$D$470,4,FALSE)</f>
        <v>0</v>
      </c>
      <c r="H40" s="154">
        <f>VLOOKUP((_xlfn.CONCAT(A40," - ",'State Data Rollup &amp; Size Tags'!H$2)),'Census of Govts Data'!$A$3:$D$470,4,FALSE)</f>
        <v>552</v>
      </c>
      <c r="I40" s="154">
        <f>VLOOKUP((_xlfn.CONCAT(A40," - ",'State Data Rollup &amp; Size Tags'!I$2)),'Census of Govts Data'!$A$3:$D$470,4,FALSE)</f>
        <v>100</v>
      </c>
      <c r="J40" s="137">
        <v>1</v>
      </c>
      <c r="K40" s="256">
        <f>VLOOKUP(A40,'Phil. Data'!$A$6:$I$57,6,FALSE)</f>
        <v>1415232576</v>
      </c>
      <c r="L40" s="256">
        <f>VLOOKUP(A40,'Phil. Data'!$A$6:$I$57,4,FALSE)</f>
        <v>19131877674</v>
      </c>
      <c r="M40" s="243">
        <f>VLOOKUP(A40,'Phil. Data'!$A$6:$I$57,8,FALSE)</f>
        <v>3456</v>
      </c>
    </row>
    <row r="41" spans="1:13" x14ac:dyDescent="0.2">
      <c r="A41" s="137" t="s">
        <v>207</v>
      </c>
      <c r="B41" s="283" t="s">
        <v>61</v>
      </c>
      <c r="C41" s="139">
        <f>VLOOKUP(A41,'Pop. Data'!$A$10:$M$60,13,FALSE)</f>
        <v>762062</v>
      </c>
      <c r="D41" s="137">
        <v>1</v>
      </c>
      <c r="E41" s="154">
        <f>VLOOKUP(A41,'School Districts'!$A$4:$D$54,4,FALSE)</f>
        <v>179</v>
      </c>
      <c r="F41" s="154">
        <f>VLOOKUP((_xlfn.CONCAT(A41," - ",'State Data Rollup &amp; Size Tags'!F$2)),'Census of Govts Data'!$A$3:$D$470,4,FALSE)</f>
        <v>767</v>
      </c>
      <c r="G41" s="154">
        <f>VLOOKUP((_xlfn.CONCAT(A41," - ",'State Data Rollup &amp; Size Tags'!G$2)),'Census of Govts Data'!$A$3:$D$470,4,FALSE)</f>
        <v>1308</v>
      </c>
      <c r="H41" s="154">
        <f>VLOOKUP((_xlfn.CONCAT(A41," - ",'State Data Rollup &amp; Size Tags'!H$2)),'Census of Govts Data'!$A$3:$D$470,4,FALSE)</f>
        <v>357</v>
      </c>
      <c r="I41" s="154">
        <f>VLOOKUP((_xlfn.CONCAT(A41," - ",'State Data Rollup &amp; Size Tags'!I$2)),'Census of Govts Data'!$A$3:$D$470,4,FALSE)</f>
        <v>53</v>
      </c>
      <c r="J41" s="137">
        <v>1</v>
      </c>
      <c r="K41" s="256">
        <f>VLOOKUP(A41,'Phil. Data'!$A$6:$I$57,6,FALSE)</f>
        <v>22904979</v>
      </c>
      <c r="L41" s="256">
        <f>VLOOKUP(A41,'Phil. Data'!$A$6:$I$57,4,FALSE)</f>
        <v>404224407</v>
      </c>
      <c r="M41" s="243">
        <f>VLOOKUP(A41,'Phil. Data'!$A$6:$I$57,8,FALSE)</f>
        <v>90</v>
      </c>
    </row>
    <row r="42" spans="1:13" x14ac:dyDescent="0.2">
      <c r="A42" s="137" t="s">
        <v>208</v>
      </c>
      <c r="B42" s="283" t="s">
        <v>64</v>
      </c>
      <c r="C42" s="139">
        <f>VLOOKUP(A42,'Pop. Data'!$A$10:$M$60,13,FALSE)</f>
        <v>11689100</v>
      </c>
      <c r="D42" s="137">
        <v>16</v>
      </c>
      <c r="E42" s="154">
        <f>VLOOKUP(A42,'School Districts'!$A$4:$D$54,4,FALSE)</f>
        <v>666</v>
      </c>
      <c r="F42" s="154">
        <f>VLOOKUP((_xlfn.CONCAT(A42," - ",'State Data Rollup &amp; Size Tags'!F$2)),'Census of Govts Data'!$A$3:$D$470,4,FALSE)</f>
        <v>904</v>
      </c>
      <c r="G42" s="154">
        <f>VLOOKUP((_xlfn.CONCAT(A42," - ",'State Data Rollup &amp; Size Tags'!G$2)),'Census of Govts Data'!$A$3:$D$470,4,FALSE)</f>
        <v>1308</v>
      </c>
      <c r="H42" s="154">
        <f>VLOOKUP((_xlfn.CONCAT(A42," - ",'State Data Rollup &amp; Size Tags'!H$2)),'Census of Govts Data'!$A$3:$D$470,4,FALSE)</f>
        <v>931</v>
      </c>
      <c r="I42" s="154">
        <f>VLOOKUP((_xlfn.CONCAT(A42," - ",'State Data Rollup &amp; Size Tags'!I$2)),'Census of Govts Data'!$A$3:$D$470,4,FALSE)</f>
        <v>88</v>
      </c>
      <c r="J42" s="137">
        <v>1</v>
      </c>
      <c r="K42" s="256">
        <f>VLOOKUP(A42,'Phil. Data'!$A$6:$I$57,6,FALSE)</f>
        <v>1672835323</v>
      </c>
      <c r="L42" s="256">
        <f>VLOOKUP(A42,'Phil. Data'!$A$6:$I$57,4,FALSE)</f>
        <v>23385932231</v>
      </c>
      <c r="M42" s="243">
        <f>VLOOKUP(A42,'Phil. Data'!$A$6:$I$57,8,FALSE)</f>
        <v>3626</v>
      </c>
    </row>
    <row r="43" spans="1:13" x14ac:dyDescent="0.2">
      <c r="A43" s="137" t="s">
        <v>209</v>
      </c>
      <c r="B43" s="283" t="s">
        <v>62</v>
      </c>
      <c r="C43" s="139">
        <f>VLOOKUP(A43,'Pop. Data'!$A$10:$M$60,13,FALSE)</f>
        <v>3956971</v>
      </c>
      <c r="D43" s="137">
        <v>5</v>
      </c>
      <c r="E43" s="154">
        <f>VLOOKUP(A43,'School Districts'!$A$4:$D$54,4,FALSE)</f>
        <v>542</v>
      </c>
      <c r="F43" s="154">
        <f>VLOOKUP((_xlfn.CONCAT(A43," - ",'State Data Rollup &amp; Size Tags'!F$2)),'Census of Govts Data'!$A$3:$D$470,4,FALSE)</f>
        <v>621</v>
      </c>
      <c r="G43" s="154">
        <f>VLOOKUP((_xlfn.CONCAT(A43," - ",'State Data Rollup &amp; Size Tags'!G$2)),'Census of Govts Data'!$A$3:$D$470,4,FALSE)</f>
        <v>0</v>
      </c>
      <c r="H43" s="154">
        <f>VLOOKUP((_xlfn.CONCAT(A43," - ",'State Data Rollup &amp; Size Tags'!H$2)),'Census of Govts Data'!$A$3:$D$470,4,FALSE)</f>
        <v>590</v>
      </c>
      <c r="I43" s="154">
        <f>VLOOKUP((_xlfn.CONCAT(A43," - ",'State Data Rollup &amp; Size Tags'!I$2)),'Census of Govts Data'!$A$3:$D$470,4,FALSE)</f>
        <v>77</v>
      </c>
      <c r="J43" s="137">
        <v>1</v>
      </c>
      <c r="K43" s="256">
        <f>VLOOKUP(A43,'Phil. Data'!$A$6:$I$57,6,FALSE)</f>
        <v>738122169</v>
      </c>
      <c r="L43" s="256">
        <f>VLOOKUP(A43,'Phil. Data'!$A$6:$I$57,4,FALSE)</f>
        <v>15119018224</v>
      </c>
      <c r="M43" s="243">
        <f>VLOOKUP(A43,'Phil. Data'!$A$6:$I$57,8,FALSE)</f>
        <v>792</v>
      </c>
    </row>
    <row r="44" spans="1:13" x14ac:dyDescent="0.2">
      <c r="A44" s="137" t="s">
        <v>210</v>
      </c>
      <c r="B44" s="283" t="s">
        <v>62</v>
      </c>
      <c r="C44" s="139">
        <f>VLOOKUP(A44,'Pop. Data'!$A$10:$M$60,13,FALSE)</f>
        <v>4217737</v>
      </c>
      <c r="D44" s="137">
        <v>5</v>
      </c>
      <c r="E44" s="154">
        <f>VLOOKUP(A44,'School Districts'!$A$4:$D$54,4,FALSE)</f>
        <v>230</v>
      </c>
      <c r="F44" s="154">
        <f>VLOOKUP((_xlfn.CONCAT(A44," - ",'State Data Rollup &amp; Size Tags'!F$2)),'Census of Govts Data'!$A$3:$D$470,4,FALSE)</f>
        <v>1004</v>
      </c>
      <c r="G44" s="154">
        <f>VLOOKUP((_xlfn.CONCAT(A44," - ",'State Data Rollup &amp; Size Tags'!G$2)),'Census of Govts Data'!$A$3:$D$470,4,FALSE)</f>
        <v>0</v>
      </c>
      <c r="H44" s="154">
        <f>VLOOKUP((_xlfn.CONCAT(A44," - ",'State Data Rollup &amp; Size Tags'!H$2)),'Census of Govts Data'!$A$3:$D$470,4,FALSE)</f>
        <v>240</v>
      </c>
      <c r="I44" s="154">
        <f>VLOOKUP((_xlfn.CONCAT(A44," - ",'State Data Rollup &amp; Size Tags'!I$2)),'Census of Govts Data'!$A$3:$D$470,4,FALSE)</f>
        <v>36</v>
      </c>
      <c r="J44" s="137">
        <v>1</v>
      </c>
      <c r="K44" s="256">
        <f>VLOOKUP(A44,'Phil. Data'!$A$6:$I$57,6,FALSE)</f>
        <v>399847794</v>
      </c>
      <c r="L44" s="256">
        <f>VLOOKUP(A44,'Phil. Data'!$A$6:$I$57,4,FALSE)</f>
        <v>7164494541</v>
      </c>
      <c r="M44" s="243">
        <f>VLOOKUP(A44,'Phil. Data'!$A$6:$I$57,8,FALSE)</f>
        <v>867</v>
      </c>
    </row>
    <row r="45" spans="1:13" x14ac:dyDescent="0.2">
      <c r="A45" s="137" t="s">
        <v>211</v>
      </c>
      <c r="B45" s="283" t="s">
        <v>64</v>
      </c>
      <c r="C45" s="139">
        <f>VLOOKUP(A45,'Pop. Data'!$A$10:$M$60,13,FALSE)</f>
        <v>12801989</v>
      </c>
      <c r="D45" s="137">
        <v>18</v>
      </c>
      <c r="E45" s="154">
        <f>VLOOKUP(A45,'School Districts'!$A$4:$D$54,4,FALSE)</f>
        <v>514</v>
      </c>
      <c r="F45" s="154">
        <f>VLOOKUP((_xlfn.CONCAT(A45," - ",'State Data Rollup &amp; Size Tags'!F$2)),'Census of Govts Data'!$A$3:$D$470,4,FALSE)</f>
        <v>1691</v>
      </c>
      <c r="G45" s="154">
        <f>VLOOKUP((_xlfn.CONCAT(A45," - ",'State Data Rollup &amp; Size Tags'!G$2)),'Census of Govts Data'!$A$3:$D$470,4,FALSE)</f>
        <v>1546</v>
      </c>
      <c r="H45" s="154">
        <f>VLOOKUP((_xlfn.CONCAT(A45," - ",'State Data Rollup &amp; Size Tags'!H$2)),'Census of Govts Data'!$A$3:$D$470,4,FALSE)</f>
        <v>1013</v>
      </c>
      <c r="I45" s="154">
        <f>VLOOKUP((_xlfn.CONCAT(A45," - ",'State Data Rollup &amp; Size Tags'!I$2)),'Census of Govts Data'!$A$3:$D$470,4,FALSE)</f>
        <v>66</v>
      </c>
      <c r="J45" s="137">
        <v>1</v>
      </c>
      <c r="K45" s="256">
        <f>VLOOKUP(A45,'Phil. Data'!$A$6:$I$57,6,FALSE)</f>
        <v>2469569058</v>
      </c>
      <c r="L45" s="256">
        <f>VLOOKUP(A45,'Phil. Data'!$A$6:$I$57,4,FALSE)</f>
        <v>35939558875</v>
      </c>
      <c r="M45" s="243">
        <f>VLOOKUP(A45,'Phil. Data'!$A$6:$I$57,8,FALSE)</f>
        <v>6656</v>
      </c>
    </row>
    <row r="46" spans="1:13" x14ac:dyDescent="0.2">
      <c r="A46" s="137" t="s">
        <v>212</v>
      </c>
      <c r="B46" s="283" t="s">
        <v>62</v>
      </c>
      <c r="C46" s="139">
        <f>VLOOKUP(A46,'Pop. Data'!$A$10:$M$60,13,FALSE)</f>
        <v>1059361</v>
      </c>
      <c r="D46" s="137">
        <v>2</v>
      </c>
      <c r="E46" s="154">
        <f>VLOOKUP(A46,'School Districts'!$A$4:$D$54,4,FALSE)</f>
        <v>36</v>
      </c>
      <c r="F46" s="154">
        <f>VLOOKUP((_xlfn.CONCAT(A46," - ",'State Data Rollup &amp; Size Tags'!F$2)),'Census of Govts Data'!$A$3:$D$470,4,FALSE)</f>
        <v>86</v>
      </c>
      <c r="G46" s="154">
        <f>VLOOKUP((_xlfn.CONCAT(A46," - ",'State Data Rollup &amp; Size Tags'!G$2)),'Census of Govts Data'!$A$3:$D$470,4,FALSE)</f>
        <v>31</v>
      </c>
      <c r="H46" s="154">
        <f>VLOOKUP((_xlfn.CONCAT(A46," - ",'State Data Rollup &amp; Size Tags'!H$2)),'Census of Govts Data'!$A$3:$D$470,4,FALSE)</f>
        <v>8</v>
      </c>
      <c r="I46" s="154">
        <f>VLOOKUP((_xlfn.CONCAT(A46," - ",'State Data Rollup &amp; Size Tags'!I$2)),'Census of Govts Data'!$A$3:$D$470,4,FALSE)</f>
        <v>0</v>
      </c>
      <c r="J46" s="137">
        <v>1</v>
      </c>
      <c r="K46" s="256">
        <f>VLOOKUP(A46,'Phil. Data'!$A$6:$I$57,6,FALSE)</f>
        <v>386480541</v>
      </c>
      <c r="L46" s="256">
        <f>VLOOKUP(A46,'Phil. Data'!$A$6:$I$57,4,FALSE)</f>
        <v>7326608877</v>
      </c>
      <c r="M46" s="243">
        <f>VLOOKUP(A46,'Phil. Data'!$A$6:$I$57,8,FALSE)</f>
        <v>2675</v>
      </c>
    </row>
    <row r="47" spans="1:13" x14ac:dyDescent="0.2">
      <c r="A47" s="137" t="s">
        <v>213</v>
      </c>
      <c r="B47" s="283" t="s">
        <v>63</v>
      </c>
      <c r="C47" s="139">
        <f>VLOOKUP(A47,'Pop. Data'!$A$10:$M$60,13,FALSE)</f>
        <v>5148714</v>
      </c>
      <c r="D47" s="137">
        <v>7</v>
      </c>
      <c r="E47" s="154">
        <f>VLOOKUP(A47,'School Districts'!$A$4:$D$54,4,FALSE)</f>
        <v>81</v>
      </c>
      <c r="F47" s="154">
        <f>VLOOKUP((_xlfn.CONCAT(A47," - ",'State Data Rollup &amp; Size Tags'!F$2)),'Census of Govts Data'!$A$3:$D$470,4,FALSE)</f>
        <v>274</v>
      </c>
      <c r="G47" s="154">
        <f>VLOOKUP((_xlfn.CONCAT(A47," - ",'State Data Rollup &amp; Size Tags'!G$2)),'Census of Govts Data'!$A$3:$D$470,4,FALSE)</f>
        <v>0</v>
      </c>
      <c r="H47" s="154">
        <f>VLOOKUP((_xlfn.CONCAT(A47," - ",'State Data Rollup &amp; Size Tags'!H$2)),'Census of Govts Data'!$A$3:$D$470,4,FALSE)</f>
        <v>270</v>
      </c>
      <c r="I47" s="154">
        <f>VLOOKUP((_xlfn.CONCAT(A47," - ",'State Data Rollup &amp; Size Tags'!I$2)),'Census of Govts Data'!$A$3:$D$470,4,FALSE)</f>
        <v>46</v>
      </c>
      <c r="J47" s="137">
        <v>1</v>
      </c>
      <c r="K47" s="256">
        <f>VLOOKUP(A47,'Phil. Data'!$A$6:$I$57,6,FALSE)</f>
        <v>187046418</v>
      </c>
      <c r="L47" s="256">
        <f>VLOOKUP(A47,'Phil. Data'!$A$6:$I$57,4,FALSE)</f>
        <v>2521417905</v>
      </c>
      <c r="M47" s="243">
        <f>VLOOKUP(A47,'Phil. Data'!$A$6:$I$57,8,FALSE)</f>
        <v>489</v>
      </c>
    </row>
    <row r="48" spans="1:13" x14ac:dyDescent="0.2">
      <c r="A48" s="137" t="s">
        <v>214</v>
      </c>
      <c r="B48" s="283" t="s">
        <v>61</v>
      </c>
      <c r="C48" s="139">
        <f>VLOOKUP(A48,'Pop. Data'!$A$10:$M$60,13,FALSE)</f>
        <v>884659</v>
      </c>
      <c r="D48" s="137">
        <v>1</v>
      </c>
      <c r="E48" s="154">
        <f>VLOOKUP(A48,'School Districts'!$A$4:$D$54,4,FALSE)</f>
        <v>150</v>
      </c>
      <c r="F48" s="154">
        <f>VLOOKUP((_xlfn.CONCAT(A48," - ",'State Data Rollup &amp; Size Tags'!F$2)),'Census of Govts Data'!$A$3:$D$470,4,FALSE)</f>
        <v>487</v>
      </c>
      <c r="G48" s="154">
        <f>VLOOKUP((_xlfn.CONCAT(A48," - ",'State Data Rollup &amp; Size Tags'!G$2)),'Census of Govts Data'!$A$3:$D$470,4,FALSE)</f>
        <v>902</v>
      </c>
      <c r="H48" s="154">
        <f>VLOOKUP((_xlfn.CONCAT(A48," - ",'State Data Rollup &amp; Size Tags'!H$2)),'Census of Govts Data'!$A$3:$D$470,4,FALSE)</f>
        <v>311</v>
      </c>
      <c r="I48" s="154">
        <f>VLOOKUP((_xlfn.CONCAT(A48," - ",'State Data Rollup &amp; Size Tags'!I$2)),'Census of Govts Data'!$A$3:$D$470,4,FALSE)</f>
        <v>66</v>
      </c>
      <c r="J48" s="137">
        <v>1</v>
      </c>
      <c r="K48" s="256">
        <f>VLOOKUP(A48,'Phil. Data'!$A$6:$I$57,6,FALSE)</f>
        <v>54279722</v>
      </c>
      <c r="L48" s="256">
        <f>VLOOKUP(A48,'Phil. Data'!$A$6:$I$57,4,FALSE)</f>
        <v>1102436430</v>
      </c>
      <c r="M48" s="243">
        <f>VLOOKUP(A48,'Phil. Data'!$A$6:$I$57,8,FALSE)</f>
        <v>159</v>
      </c>
    </row>
    <row r="49" spans="1:13" x14ac:dyDescent="0.2">
      <c r="A49" s="137" t="s">
        <v>215</v>
      </c>
      <c r="B49" s="283" t="s">
        <v>63</v>
      </c>
      <c r="C49" s="139">
        <f>VLOOKUP(A49,'Pop. Data'!$A$10:$M$60,13,FALSE)</f>
        <v>6829174</v>
      </c>
      <c r="D49" s="137">
        <v>9</v>
      </c>
      <c r="E49" s="154">
        <f>VLOOKUP(A49,'School Districts'!$A$4:$D$54,4,FALSE)</f>
        <v>142</v>
      </c>
      <c r="F49" s="154">
        <f>VLOOKUP((_xlfn.CONCAT(A49," - ",'State Data Rollup &amp; Size Tags'!F$2)),'Census of Govts Data'!$A$3:$D$470,4,FALSE)</f>
        <v>455</v>
      </c>
      <c r="G49" s="154">
        <f>VLOOKUP((_xlfn.CONCAT(A49," - ",'State Data Rollup &amp; Size Tags'!G$2)),'Census of Govts Data'!$A$3:$D$470,4,FALSE)</f>
        <v>0</v>
      </c>
      <c r="H49" s="154">
        <f>VLOOKUP((_xlfn.CONCAT(A49," - ",'State Data Rollup &amp; Size Tags'!H$2)),'Census of Govts Data'!$A$3:$D$470,4,FALSE)</f>
        <v>345</v>
      </c>
      <c r="I49" s="154">
        <f>VLOOKUP((_xlfn.CONCAT(A49," - ",'State Data Rollup &amp; Size Tags'!I$2)),'Census of Govts Data'!$A$3:$D$470,4,FALSE)</f>
        <v>92</v>
      </c>
      <c r="J49" s="137">
        <v>1</v>
      </c>
      <c r="K49" s="256">
        <f>VLOOKUP(A49,'Phil. Data'!$A$6:$I$57,6,FALSE)</f>
        <v>672707947</v>
      </c>
      <c r="L49" s="256">
        <f>VLOOKUP(A49,'Phil. Data'!$A$6:$I$57,4,FALSE)</f>
        <v>7630786949</v>
      </c>
      <c r="M49" s="243">
        <f>VLOOKUP(A49,'Phil. Data'!$A$6:$I$57,8,FALSE)</f>
        <v>817</v>
      </c>
    </row>
    <row r="50" spans="1:13" x14ac:dyDescent="0.2">
      <c r="A50" s="137" t="s">
        <v>216</v>
      </c>
      <c r="B50" s="283" t="s">
        <v>65</v>
      </c>
      <c r="C50" s="139">
        <f>VLOOKUP(A50,'Pop. Data'!$A$10:$M$60,13,FALSE)</f>
        <v>28995881</v>
      </c>
      <c r="D50" s="137">
        <v>36</v>
      </c>
      <c r="E50" s="154">
        <f>VLOOKUP(A50,'School Districts'!$A$4:$D$54,4,FALSE)</f>
        <v>1075</v>
      </c>
      <c r="F50" s="154">
        <f>VLOOKUP((_xlfn.CONCAT(A50," - ",'State Data Rollup &amp; Size Tags'!F$2)),'Census of Govts Data'!$A$3:$D$470,4,FALSE)</f>
        <v>2798</v>
      </c>
      <c r="G50" s="154">
        <f>VLOOKUP((_xlfn.CONCAT(A50," - ",'State Data Rollup &amp; Size Tags'!G$2)),'Census of Govts Data'!$A$3:$D$470,4,FALSE)</f>
        <v>0</v>
      </c>
      <c r="H50" s="154">
        <f>VLOOKUP((_xlfn.CONCAT(A50," - ",'State Data Rollup &amp; Size Tags'!H$2)),'Census of Govts Data'!$A$3:$D$470,4,FALSE)</f>
        <v>1218</v>
      </c>
      <c r="I50" s="154">
        <f>VLOOKUP((_xlfn.CONCAT(A50," - ",'State Data Rollup &amp; Size Tags'!I$2)),'Census of Govts Data'!$A$3:$D$470,4,FALSE)</f>
        <v>254</v>
      </c>
      <c r="J50" s="137">
        <v>1</v>
      </c>
      <c r="K50" s="256">
        <f>VLOOKUP(A50,'Phil. Data'!$A$6:$I$57,6,FALSE)</f>
        <v>3212599988</v>
      </c>
      <c r="L50" s="256">
        <f>VLOOKUP(A50,'Phil. Data'!$A$6:$I$57,4,FALSE)</f>
        <v>48578849831</v>
      </c>
      <c r="M50" s="243">
        <f>VLOOKUP(A50,'Phil. Data'!$A$6:$I$57,8,FALSE)</f>
        <v>4782</v>
      </c>
    </row>
    <row r="51" spans="1:13" x14ac:dyDescent="0.2">
      <c r="A51" s="137" t="s">
        <v>217</v>
      </c>
      <c r="B51" s="283" t="s">
        <v>62</v>
      </c>
      <c r="C51" s="139">
        <f>VLOOKUP(A51,'Pop. Data'!$A$10:$M$60,13,FALSE)</f>
        <v>3205958</v>
      </c>
      <c r="D51" s="137">
        <v>4</v>
      </c>
      <c r="E51" s="154">
        <f>VLOOKUP(A51,'School Districts'!$A$4:$D$54,4,FALSE)</f>
        <v>41</v>
      </c>
      <c r="F51" s="154">
        <f>VLOOKUP((_xlfn.CONCAT(A51," - ",'State Data Rollup &amp; Size Tags'!F$2)),'Census of Govts Data'!$A$3:$D$470,4,FALSE)</f>
        <v>299</v>
      </c>
      <c r="G51" s="154">
        <f>VLOOKUP((_xlfn.CONCAT(A51," - ",'State Data Rollup &amp; Size Tags'!G$2)),'Census of Govts Data'!$A$3:$D$470,4,FALSE)</f>
        <v>0</v>
      </c>
      <c r="H51" s="154">
        <f>VLOOKUP((_xlfn.CONCAT(A51," - ",'State Data Rollup &amp; Size Tags'!H$2)),'Census of Govts Data'!$A$3:$D$470,4,FALSE)</f>
        <v>250</v>
      </c>
      <c r="I51" s="154">
        <f>VLOOKUP((_xlfn.CONCAT(A51," - ",'State Data Rollup &amp; Size Tags'!I$2)),'Census of Govts Data'!$A$3:$D$470,4,FALSE)</f>
        <v>29</v>
      </c>
      <c r="J51" s="137">
        <v>1</v>
      </c>
      <c r="K51" s="256">
        <f>VLOOKUP(A51,'Phil. Data'!$A$6:$I$57,6,FALSE)</f>
        <v>218902529</v>
      </c>
      <c r="L51" s="256">
        <f>VLOOKUP(A51,'Phil. Data'!$A$6:$I$57,4,FALSE)</f>
        <v>4196234728</v>
      </c>
      <c r="M51" s="243">
        <f>VLOOKUP(A51,'Phil. Data'!$A$6:$I$57,8,FALSE)</f>
        <v>594</v>
      </c>
    </row>
    <row r="52" spans="1:13" x14ac:dyDescent="0.2">
      <c r="A52" s="137" t="s">
        <v>218</v>
      </c>
      <c r="B52" s="283" t="s">
        <v>61</v>
      </c>
      <c r="C52" s="139">
        <f>VLOOKUP(A52,'Pop. Data'!$A$10:$M$60,13,FALSE)</f>
        <v>623989</v>
      </c>
      <c r="D52" s="137">
        <v>1</v>
      </c>
      <c r="E52" s="154">
        <f>VLOOKUP(A52,'School Districts'!$A$4:$D$54,4,FALSE)</f>
        <v>277</v>
      </c>
      <c r="F52" s="154">
        <f>VLOOKUP((_xlfn.CONCAT(A52," - ",'State Data Rollup &amp; Size Tags'!F$2)),'Census of Govts Data'!$A$3:$D$470,4,FALSE)</f>
        <v>159</v>
      </c>
      <c r="G52" s="154">
        <f>VLOOKUP((_xlfn.CONCAT(A52," - ",'State Data Rollup &amp; Size Tags'!G$2)),'Census of Govts Data'!$A$3:$D$470,4,FALSE)</f>
        <v>237</v>
      </c>
      <c r="H52" s="154">
        <f>VLOOKUP((_xlfn.CONCAT(A52," - ",'State Data Rollup &amp; Size Tags'!H$2)),'Census of Govts Data'!$A$3:$D$470,4,FALSE)</f>
        <v>42</v>
      </c>
      <c r="I52" s="154">
        <f>VLOOKUP((_xlfn.CONCAT(A52," - ",'State Data Rollup &amp; Size Tags'!I$2)),'Census of Govts Data'!$A$3:$D$470,4,FALSE)</f>
        <v>14</v>
      </c>
      <c r="J52" s="137">
        <v>1</v>
      </c>
      <c r="K52" s="256">
        <f>VLOOKUP(A52,'Phil. Data'!$A$6:$I$57,6,FALSE)</f>
        <v>54846677</v>
      </c>
      <c r="L52" s="256">
        <f>VLOOKUP(A52,'Phil. Data'!$A$6:$I$57,4,FALSE)</f>
        <v>857246345</v>
      </c>
      <c r="M52" s="243">
        <f>VLOOKUP(A52,'Phil. Data'!$A$6:$I$57,8,FALSE)</f>
        <v>216</v>
      </c>
    </row>
    <row r="53" spans="1:13" x14ac:dyDescent="0.2">
      <c r="A53" s="137" t="s">
        <v>219</v>
      </c>
      <c r="B53" s="283" t="s">
        <v>63</v>
      </c>
      <c r="C53" s="139">
        <f>VLOOKUP(A53,'Pop. Data'!$A$10:$M$60,13,FALSE)</f>
        <v>8535519</v>
      </c>
      <c r="D53" s="137">
        <v>11</v>
      </c>
      <c r="E53" s="154">
        <f>VLOOKUP(A53,'School Districts'!$A$4:$D$54,4,FALSE)</f>
        <v>134</v>
      </c>
      <c r="F53" s="154">
        <f>VLOOKUP((_xlfn.CONCAT(A53," - ",'State Data Rollup &amp; Size Tags'!F$2)),'Census of Govts Data'!$A$3:$D$470,4,FALSE)</f>
        <v>193</v>
      </c>
      <c r="G53" s="154">
        <f>VLOOKUP((_xlfn.CONCAT(A53," - ",'State Data Rollup &amp; Size Tags'!G$2)),'Census of Govts Data'!$A$3:$D$470,4,FALSE)</f>
        <v>0</v>
      </c>
      <c r="H53" s="154">
        <f>VLOOKUP((_xlfn.CONCAT(A53," - ",'State Data Rollup &amp; Size Tags'!H$2)),'Census of Govts Data'!$A$3:$D$470,4,FALSE)</f>
        <v>228</v>
      </c>
      <c r="I53" s="154">
        <f>VLOOKUP((_xlfn.CONCAT(A53," - ",'State Data Rollup &amp; Size Tags'!I$2)),'Census of Govts Data'!$A$3:$D$470,4,FALSE)</f>
        <v>95</v>
      </c>
      <c r="J53" s="137">
        <v>1</v>
      </c>
      <c r="K53" s="256">
        <f>VLOOKUP(A53,'Phil. Data'!$A$6:$I$57,6,FALSE)</f>
        <v>652950480</v>
      </c>
      <c r="L53" s="256">
        <f>VLOOKUP(A53,'Phil. Data'!$A$6:$I$57,4,FALSE)</f>
        <v>10260981584</v>
      </c>
      <c r="M53" s="243">
        <f>VLOOKUP(A53,'Phil. Data'!$A$6:$I$57,8,FALSE)</f>
        <v>1517</v>
      </c>
    </row>
    <row r="54" spans="1:13" x14ac:dyDescent="0.2">
      <c r="A54" s="137" t="s">
        <v>220</v>
      </c>
      <c r="B54" s="283" t="s">
        <v>63</v>
      </c>
      <c r="C54" s="139">
        <f>VLOOKUP(A54,'Pop. Data'!$A$10:$M$60,13,FALSE)</f>
        <v>7614893</v>
      </c>
      <c r="D54" s="137">
        <v>10</v>
      </c>
      <c r="E54" s="154">
        <f>VLOOKUP(A54,'School Districts'!$A$4:$D$54,4,FALSE)</f>
        <v>295</v>
      </c>
      <c r="F54" s="154">
        <f>VLOOKUP((_xlfn.CONCAT(A54," - ",'State Data Rollup &amp; Size Tags'!F$2)),'Census of Govts Data'!$A$3:$D$470,4,FALSE)</f>
        <v>1285</v>
      </c>
      <c r="G54" s="154">
        <f>VLOOKUP((_xlfn.CONCAT(A54," - ",'State Data Rollup &amp; Size Tags'!G$2)),'Census of Govts Data'!$A$3:$D$470,4,FALSE)</f>
        <v>0</v>
      </c>
      <c r="H54" s="154">
        <f>VLOOKUP((_xlfn.CONCAT(A54," - ",'State Data Rollup &amp; Size Tags'!H$2)),'Census of Govts Data'!$A$3:$D$470,4,FALSE)</f>
        <v>281</v>
      </c>
      <c r="I54" s="154">
        <f>VLOOKUP((_xlfn.CONCAT(A54," - ",'State Data Rollup &amp; Size Tags'!I$2)),'Census of Govts Data'!$A$3:$D$470,4,FALSE)</f>
        <v>39</v>
      </c>
      <c r="J54" s="137">
        <v>1</v>
      </c>
      <c r="K54" s="256">
        <f>VLOOKUP(A54,'Phil. Data'!$A$6:$I$57,6,FALSE)</f>
        <v>4583276833</v>
      </c>
      <c r="L54" s="256">
        <f>VLOOKUP(A54,'Phil. Data'!$A$6:$I$57,4,FALSE)</f>
        <v>54150843917</v>
      </c>
      <c r="M54" s="243">
        <f>VLOOKUP(A54,'Phil. Data'!$A$6:$I$57,8,FALSE)</f>
        <v>1300</v>
      </c>
    </row>
    <row r="55" spans="1:13" x14ac:dyDescent="0.2">
      <c r="A55" s="137" t="s">
        <v>221</v>
      </c>
      <c r="B55" s="283" t="s">
        <v>62</v>
      </c>
      <c r="C55" s="139">
        <f>VLOOKUP(A55,'Pop. Data'!$A$10:$M$60,13,FALSE)</f>
        <v>1792147</v>
      </c>
      <c r="D55" s="137">
        <v>3</v>
      </c>
      <c r="E55" s="154">
        <f>VLOOKUP(A55,'School Districts'!$A$4:$D$54,4,FALSE)</f>
        <v>55</v>
      </c>
      <c r="F55" s="154">
        <f>VLOOKUP((_xlfn.CONCAT(A55," - ",'State Data Rollup &amp; Size Tags'!F$2)),'Census of Govts Data'!$A$3:$D$470,4,FALSE)</f>
        <v>309</v>
      </c>
      <c r="G55" s="154">
        <f>VLOOKUP((_xlfn.CONCAT(A55," - ",'State Data Rollup &amp; Size Tags'!G$2)),'Census of Govts Data'!$A$3:$D$470,4,FALSE)</f>
        <v>0</v>
      </c>
      <c r="H55" s="154">
        <f>VLOOKUP((_xlfn.CONCAT(A55," - ",'State Data Rollup &amp; Size Tags'!H$2)),'Census of Govts Data'!$A$3:$D$470,4,FALSE)</f>
        <v>232</v>
      </c>
      <c r="I55" s="154">
        <f>VLOOKUP((_xlfn.CONCAT(A55," - ",'State Data Rollup &amp; Size Tags'!I$2)),'Census of Govts Data'!$A$3:$D$470,4,FALSE)</f>
        <v>55</v>
      </c>
      <c r="J55" s="137">
        <v>1</v>
      </c>
      <c r="K55" s="256">
        <f>VLOOKUP(A55,'Phil. Data'!$A$6:$I$57,6,FALSE)</f>
        <v>72994735</v>
      </c>
      <c r="L55" s="256">
        <f>VLOOKUP(A55,'Phil. Data'!$A$6:$I$57,4,FALSE)</f>
        <v>1420961399</v>
      </c>
      <c r="M55" s="243">
        <f>VLOOKUP(A55,'Phil. Data'!$A$6:$I$57,8,FALSE)</f>
        <v>293</v>
      </c>
    </row>
    <row r="56" spans="1:13" x14ac:dyDescent="0.2">
      <c r="A56" s="137" t="s">
        <v>222</v>
      </c>
      <c r="B56" s="283" t="s">
        <v>63</v>
      </c>
      <c r="C56" s="139">
        <f>VLOOKUP(A56,'Pop. Data'!$A$10:$M$60,13,FALSE)</f>
        <v>5822434</v>
      </c>
      <c r="D56" s="137">
        <v>8</v>
      </c>
      <c r="E56" s="154">
        <f>VLOOKUP(A56,'School Districts'!$A$4:$D$54,4,FALSE)</f>
        <v>441</v>
      </c>
      <c r="F56" s="154">
        <f>VLOOKUP((_xlfn.CONCAT(A56," - ",'State Data Rollup &amp; Size Tags'!F$2)),'Census of Govts Data'!$A$3:$D$470,4,FALSE)</f>
        <v>734</v>
      </c>
      <c r="G56" s="154">
        <f>VLOOKUP((_xlfn.CONCAT(A56," - ",'State Data Rollup &amp; Size Tags'!G$2)),'Census of Govts Data'!$A$3:$D$470,4,FALSE)</f>
        <v>1251</v>
      </c>
      <c r="H56" s="154">
        <f>VLOOKUP((_xlfn.CONCAT(A56," - ",'State Data Rollup &amp; Size Tags'!H$2)),'Census of Govts Data'!$A$3:$D$470,4,FALSE)</f>
        <v>601</v>
      </c>
      <c r="I56" s="154">
        <f>VLOOKUP((_xlfn.CONCAT(A56," - ",'State Data Rollup &amp; Size Tags'!I$2)),'Census of Govts Data'!$A$3:$D$470,4,FALSE)</f>
        <v>72</v>
      </c>
      <c r="J56" s="137">
        <v>1</v>
      </c>
      <c r="K56" s="256">
        <f>VLOOKUP(A56,'Phil. Data'!$A$6:$I$57,6,FALSE)</f>
        <v>696879197</v>
      </c>
      <c r="L56" s="256">
        <f>VLOOKUP(A56,'Phil. Data'!$A$6:$I$57,4,FALSE)</f>
        <v>10384565875</v>
      </c>
      <c r="M56" s="243">
        <f>VLOOKUP(A56,'Phil. Data'!$A$6:$I$57,8,FALSE)</f>
        <v>1883</v>
      </c>
    </row>
    <row r="57" spans="1:13" ht="16" thickBot="1" x14ac:dyDescent="0.25">
      <c r="A57" s="159" t="s">
        <v>223</v>
      </c>
      <c r="B57" s="284" t="s">
        <v>61</v>
      </c>
      <c r="C57" s="285">
        <f>VLOOKUP(A57,'Pop. Data'!$A$10:$M$60,13,FALSE)</f>
        <v>578759</v>
      </c>
      <c r="D57" s="159">
        <v>1</v>
      </c>
      <c r="E57" s="286">
        <f>VLOOKUP(A57,'School Districts'!$A$4:$D$54,4,FALSE)</f>
        <v>55</v>
      </c>
      <c r="F57" s="286">
        <f>VLOOKUP((_xlfn.CONCAT(A57," - ",'State Data Rollup &amp; Size Tags'!F$2)),'Census of Govts Data'!$A$3:$D$470,4,FALSE)</f>
        <v>617</v>
      </c>
      <c r="G57" s="286">
        <f>VLOOKUP((_xlfn.CONCAT(A57," - ",'State Data Rollup &amp; Size Tags'!G$2)),'Census of Govts Data'!$A$3:$D$470,4,FALSE)</f>
        <v>0</v>
      </c>
      <c r="H57" s="286">
        <f>VLOOKUP((_xlfn.CONCAT(A57," - ",'State Data Rollup &amp; Size Tags'!H$2)),'Census of Govts Data'!$A$3:$D$470,4,FALSE)</f>
        <v>99</v>
      </c>
      <c r="I57" s="286">
        <f>VLOOKUP((_xlfn.CONCAT(A57," - ",'State Data Rollup &amp; Size Tags'!I$2)),'Census of Govts Data'!$A$3:$D$470,4,FALSE)</f>
        <v>23</v>
      </c>
      <c r="J57" s="159">
        <v>1</v>
      </c>
      <c r="K57" s="287">
        <f>VLOOKUP(A57,'Phil. Data'!$A$6:$I$57,6,FALSE)</f>
        <v>119354233</v>
      </c>
      <c r="L57" s="287">
        <f>VLOOKUP(A57,'Phil. Data'!$A$6:$I$57,4,FALSE)</f>
        <v>1698342453</v>
      </c>
      <c r="M57" s="285">
        <f>VLOOKUP(A57,'Phil. Data'!$A$6:$I$57,8,FALSE)</f>
        <v>242</v>
      </c>
    </row>
    <row r="58" spans="1:13" x14ac:dyDescent="0.2">
      <c r="A58" s="283"/>
      <c r="B58" s="136" t="s">
        <v>224</v>
      </c>
      <c r="C58" s="156">
        <f t="shared" ref="C58:M58" si="0">SUM(C7:C57)</f>
        <v>328239523</v>
      </c>
      <c r="D58" s="156">
        <f>SUM(D7:D57)</f>
        <v>435</v>
      </c>
      <c r="E58" s="156">
        <f t="shared" si="0"/>
        <v>14061</v>
      </c>
      <c r="F58" s="156">
        <f>SUM(F7:F57)</f>
        <v>38542</v>
      </c>
      <c r="G58" s="156">
        <f>SUM(G7:G57)</f>
        <v>16253</v>
      </c>
      <c r="H58" s="156">
        <f t="shared" si="0"/>
        <v>19495</v>
      </c>
      <c r="I58" s="156">
        <f t="shared" si="0"/>
        <v>3031</v>
      </c>
      <c r="J58" s="156">
        <f t="shared" si="0"/>
        <v>50</v>
      </c>
      <c r="K58" s="156">
        <f t="shared" si="0"/>
        <v>62793608844</v>
      </c>
      <c r="L58" s="156">
        <f t="shared" si="0"/>
        <v>867989379147</v>
      </c>
      <c r="M58" s="156">
        <f t="shared" si="0"/>
        <v>86203</v>
      </c>
    </row>
    <row r="59" spans="1:13" x14ac:dyDescent="0.2">
      <c r="C59" s="135"/>
      <c r="D59" s="135"/>
      <c r="E59" s="135"/>
      <c r="F59" s="135"/>
      <c r="G59" s="135"/>
      <c r="H59" s="135"/>
      <c r="I59" s="135"/>
      <c r="J59" s="135"/>
    </row>
  </sheetData>
  <pageMargins left="0.7" right="0.7" top="0.75" bottom="0.75" header="0.3" footer="0.3"/>
  <pageSetup scale="50" orientation="portrait" horizontalDpi="4294967293"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FBCC-8379-4F97-B1A3-482B59B6CA7A}">
  <sheetPr>
    <tabColor theme="7" tint="0.39997558519241921"/>
  </sheetPr>
  <dimension ref="A1:O39"/>
  <sheetViews>
    <sheetView zoomScaleNormal="100" workbookViewId="0">
      <pane xSplit="2" ySplit="4" topLeftCell="F5" activePane="bottomRight" state="frozen"/>
      <selection pane="topRight" activeCell="C1" sqref="C1"/>
      <selection pane="bottomLeft" activeCell="A5" sqref="A5"/>
      <selection pane="bottomRight" activeCell="D4" sqref="D4:O4"/>
    </sheetView>
  </sheetViews>
  <sheetFormatPr baseColWidth="10" defaultColWidth="9.1640625" defaultRowHeight="16" x14ac:dyDescent="0.2"/>
  <cols>
    <col min="1" max="1" width="33.5" style="91" bestFit="1" customWidth="1"/>
    <col min="2" max="2" width="5.5" style="91" bestFit="1" customWidth="1"/>
    <col min="3" max="3" width="9.83203125" style="91" customWidth="1"/>
    <col min="4" max="15" width="20.6640625" style="91" customWidth="1"/>
    <col min="16" max="18" width="9.1640625" style="91"/>
    <col min="19" max="19" width="15.33203125" style="91" bestFit="1" customWidth="1"/>
    <col min="20" max="20" width="9.1640625" style="91"/>
    <col min="21" max="21" width="14.33203125" style="91" bestFit="1" customWidth="1"/>
    <col min="22" max="24" width="9.1640625" style="91"/>
    <col min="25" max="25" width="15.33203125" style="91" bestFit="1" customWidth="1"/>
    <col min="26" max="26" width="9.1640625" style="91"/>
    <col min="27" max="27" width="15.33203125" style="91" bestFit="1" customWidth="1"/>
    <col min="28" max="16384" width="9.1640625" style="91"/>
  </cols>
  <sheetData>
    <row r="1" spans="1:15" x14ac:dyDescent="0.2">
      <c r="A1" s="3" t="s">
        <v>225</v>
      </c>
      <c r="B1" s="3"/>
      <c r="C1" s="3"/>
    </row>
    <row r="4" spans="1:15" ht="34" x14ac:dyDescent="0.2">
      <c r="A4" s="97" t="s">
        <v>226</v>
      </c>
      <c r="B4" s="92"/>
      <c r="C4" s="122" t="s">
        <v>227</v>
      </c>
      <c r="D4" s="93" t="s">
        <v>228</v>
      </c>
      <c r="E4" s="95" t="s">
        <v>229</v>
      </c>
      <c r="F4" s="93" t="s">
        <v>230</v>
      </c>
      <c r="G4" s="95" t="s">
        <v>231</v>
      </c>
      <c r="H4" s="95" t="s">
        <v>232</v>
      </c>
      <c r="I4" s="93" t="s">
        <v>233</v>
      </c>
      <c r="J4" s="94" t="s">
        <v>234</v>
      </c>
      <c r="K4" s="93" t="s">
        <v>235</v>
      </c>
      <c r="L4" s="95" t="s">
        <v>236</v>
      </c>
      <c r="M4" s="94" t="s">
        <v>237</v>
      </c>
      <c r="N4" s="96" t="s">
        <v>238</v>
      </c>
      <c r="O4" s="94" t="s">
        <v>239</v>
      </c>
    </row>
    <row r="5" spans="1:15" x14ac:dyDescent="0.2">
      <c r="A5" s="98" t="str">
        <f>'INN Rollups 2021'!A10</f>
        <v>Local: General</v>
      </c>
      <c r="B5" s="105">
        <v>2021</v>
      </c>
      <c r="C5" s="105">
        <f>'INN Rollups 2021'!C10</f>
        <v>60</v>
      </c>
      <c r="D5" s="101">
        <f>'INN Rollups 2021'!D13</f>
        <v>0.69192340303138311</v>
      </c>
      <c r="E5" s="101">
        <f>'INN Rollups 2021'!D14</f>
        <v>0.30807659696861689</v>
      </c>
      <c r="F5" s="112">
        <f>'INN Rollups 2021'!E13</f>
        <v>357700.67571428569</v>
      </c>
      <c r="G5" s="113">
        <f>'INN Rollups 2021'!E14</f>
        <v>185809.21071428573</v>
      </c>
      <c r="H5" s="101">
        <f>'INN Rollups 2021'!D17</f>
        <v>0.60679800927563121</v>
      </c>
      <c r="I5" s="101">
        <f>'INN Rollups 2021'!D18</f>
        <v>0.39320199072436884</v>
      </c>
      <c r="J5" s="112">
        <f>'INN Rollups 2021'!E17</f>
        <v>387710.28823529411</v>
      </c>
      <c r="K5" s="113">
        <f>'INN Rollups 2021'!E18</f>
        <v>251234.2737254902</v>
      </c>
      <c r="L5" s="101">
        <f>'INN Rollups 2021'!D21</f>
        <v>0.68669778296382733</v>
      </c>
      <c r="M5" s="101">
        <f>'INN Rollups 2021'!D22</f>
        <v>0.31330221703617267</v>
      </c>
      <c r="N5" s="118">
        <f>'INN Rollups 2021'!E21</f>
        <v>5.35</v>
      </c>
      <c r="O5" s="102">
        <f>'INN Rollups 2021'!E22</f>
        <v>2.9184782608695654</v>
      </c>
    </row>
    <row r="6" spans="1:15" x14ac:dyDescent="0.2">
      <c r="A6" s="100"/>
      <c r="B6" s="68">
        <v>2020</v>
      </c>
      <c r="C6" s="68">
        <f>'INN Rollups 2020'!C10</f>
        <v>19</v>
      </c>
      <c r="D6" s="107">
        <f>'INN Rollups 2020'!D13</f>
        <v>0.6517459838344063</v>
      </c>
      <c r="E6" s="107">
        <f>'INN Rollups 2020'!D14</f>
        <v>0.34825401616559376</v>
      </c>
      <c r="F6" s="114">
        <f>'INN Rollups 2020'!E13</f>
        <v>282222.76470588235</v>
      </c>
      <c r="G6" s="115">
        <f>'INN Rollups 2020'!E14</f>
        <v>160228.125</v>
      </c>
      <c r="H6" s="107">
        <f>'INN Rollups 2020'!D17</f>
        <v>0.64070234181962926</v>
      </c>
      <c r="I6" s="107">
        <f>'INN Rollups 2020'!D18</f>
        <v>0.35929765818037079</v>
      </c>
      <c r="J6" s="114">
        <f>'INN Rollups 2020'!E17</f>
        <v>256766.63470588234</v>
      </c>
      <c r="K6" s="115">
        <f>'INN Rollups 2020'!E18</f>
        <v>143991.43647058823</v>
      </c>
      <c r="L6" s="107">
        <f>'INN Rollups 2020'!D21</f>
        <v>0.81379025598678778</v>
      </c>
      <c r="M6" s="107">
        <f>'INN Rollups 2020'!D22</f>
        <v>0.18620974401321225</v>
      </c>
      <c r="N6" s="119">
        <f>'INN Rollups 2020'!E21</f>
        <v>5.1868421052631577</v>
      </c>
      <c r="O6" s="108">
        <f>'INN Rollups 2020'!E22</f>
        <v>1.7346153846153847</v>
      </c>
    </row>
    <row r="7" spans="1:15" ht="5.25" customHeight="1" x14ac:dyDescent="0.2">
      <c r="A7" s="109"/>
      <c r="B7" s="121"/>
      <c r="C7" s="121"/>
      <c r="D7" s="110"/>
      <c r="E7" s="110"/>
      <c r="F7" s="116"/>
      <c r="G7" s="117"/>
      <c r="H7" s="110"/>
      <c r="I7" s="110"/>
      <c r="J7" s="116"/>
      <c r="K7" s="117"/>
      <c r="L7" s="110"/>
      <c r="M7" s="110"/>
      <c r="N7" s="120"/>
      <c r="O7" s="111"/>
    </row>
    <row r="8" spans="1:15" x14ac:dyDescent="0.2">
      <c r="A8" s="100" t="str">
        <f>'INN Rollups 2021'!A25</f>
        <v>Local: Multiple Related Topics</v>
      </c>
      <c r="B8" s="68">
        <v>2021</v>
      </c>
      <c r="C8" s="68">
        <f>'INN Rollups 2021'!C25</f>
        <v>25</v>
      </c>
      <c r="D8" s="107">
        <f>'INN Rollups 2021'!D28</f>
        <v>0.91315181378983579</v>
      </c>
      <c r="E8" s="107">
        <f>'INN Rollups 2021'!D29</f>
        <v>8.6848186210164213E-2</v>
      </c>
      <c r="F8" s="114">
        <f>'INN Rollups 2021'!E28</f>
        <v>550974.69818181824</v>
      </c>
      <c r="G8" s="115">
        <f>'INN Rollups 2021'!E29</f>
        <v>67814.596470588236</v>
      </c>
      <c r="H8" s="107">
        <f>'INN Rollups 2021'!D32</f>
        <v>0.58919688284393557</v>
      </c>
      <c r="I8" s="107">
        <f>'INN Rollups 2021'!D33</f>
        <v>0.41080311715606449</v>
      </c>
      <c r="J8" s="114">
        <f>'INN Rollups 2021'!E32</f>
        <v>280046.55809523811</v>
      </c>
      <c r="K8" s="115">
        <f>'INN Rollups 2021'!E33</f>
        <v>195255.61380952378</v>
      </c>
      <c r="L8" s="107">
        <f>'INN Rollups 2021'!D36</f>
        <v>0.76824349101576828</v>
      </c>
      <c r="M8" s="107">
        <f>'INN Rollups 2021'!D37</f>
        <v>0.23175650898423178</v>
      </c>
      <c r="N8" s="119">
        <f>'INN Rollups 2021'!E36</f>
        <v>4.7613636363636367</v>
      </c>
      <c r="O8" s="108">
        <f>'INN Rollups 2021'!E37</f>
        <v>2.1066666666666669</v>
      </c>
    </row>
    <row r="9" spans="1:15" x14ac:dyDescent="0.2">
      <c r="A9" s="100"/>
      <c r="B9" s="68">
        <v>2020</v>
      </c>
      <c r="C9" s="68">
        <f>'INN Rollups 2020'!C26</f>
        <v>17</v>
      </c>
      <c r="D9" s="107">
        <f>'INN Rollups 2020'!D29</f>
        <v>0.89609795192081099</v>
      </c>
      <c r="E9" s="107">
        <f>'INN Rollups 2020'!D30</f>
        <v>0.10390204807918911</v>
      </c>
      <c r="F9" s="114">
        <f>'INN Rollups 2020'!E29</f>
        <v>507277.47933333332</v>
      </c>
      <c r="G9" s="115">
        <f>'INN Rollups 2020'!E30</f>
        <v>73523.169166666674</v>
      </c>
      <c r="H9" s="107">
        <f>'INN Rollups 2020'!D33</f>
        <v>0.6673392459457973</v>
      </c>
      <c r="I9" s="107">
        <f>'INN Rollups 2020'!D34</f>
        <v>0.33266075405420265</v>
      </c>
      <c r="J9" s="114">
        <f>'INN Rollups 2020'!E33</f>
        <v>360699.07799999998</v>
      </c>
      <c r="K9" s="115">
        <f>'INN Rollups 2020'!E34</f>
        <v>179804.242</v>
      </c>
      <c r="L9" s="107">
        <f>'INN Rollups 2020'!D37</f>
        <v>0.77904451682953313</v>
      </c>
      <c r="M9" s="107">
        <f>'INN Rollups 2020'!D38</f>
        <v>0.22095548317046693</v>
      </c>
      <c r="N9" s="119">
        <f>'INN Rollups 2020'!E37</f>
        <v>4.484375</v>
      </c>
      <c r="O9" s="108">
        <f>'INN Rollups 2020'!E38</f>
        <v>2.0350000000000001</v>
      </c>
    </row>
    <row r="10" spans="1:15" ht="5.25" customHeight="1" x14ac:dyDescent="0.2">
      <c r="A10" s="109"/>
      <c r="B10" s="121"/>
      <c r="C10" s="121"/>
      <c r="D10" s="110"/>
      <c r="E10" s="110"/>
      <c r="F10" s="116"/>
      <c r="G10" s="117"/>
      <c r="H10" s="110"/>
      <c r="I10" s="110"/>
      <c r="J10" s="116"/>
      <c r="K10" s="117"/>
      <c r="L10" s="110"/>
      <c r="M10" s="110"/>
      <c r="N10" s="120"/>
      <c r="O10" s="111"/>
    </row>
    <row r="11" spans="1:15" x14ac:dyDescent="0.2">
      <c r="A11" s="100" t="str">
        <f>'INN Rollups 2021'!A40</f>
        <v>Local: Single-Topic</v>
      </c>
      <c r="B11" s="68">
        <v>2021</v>
      </c>
      <c r="C11" s="68">
        <f>'INN Rollups 2021'!C40</f>
        <v>7</v>
      </c>
      <c r="D11" s="107">
        <f>'INN Rollups 2021'!D43</f>
        <v>0.80177188335667982</v>
      </c>
      <c r="E11" s="107">
        <f>'INN Rollups 2021'!D44</f>
        <v>0.19822811664332013</v>
      </c>
      <c r="F11" s="114">
        <f>'INN Rollups 2021'!E43</f>
        <v>338107.56</v>
      </c>
      <c r="G11" s="115">
        <f>'INN Rollups 2021'!E44</f>
        <v>100311.462</v>
      </c>
      <c r="H11" s="107">
        <f>'INN Rollups 2021'!D47</f>
        <v>0.56566267024924544</v>
      </c>
      <c r="I11" s="107">
        <f>'INN Rollups 2021'!D48</f>
        <v>0.43433732975075456</v>
      </c>
      <c r="J11" s="114">
        <f>'INN Rollups 2021'!E47</f>
        <v>195557</v>
      </c>
      <c r="K11" s="115">
        <f>'INN Rollups 2021'!E48</f>
        <v>150156.10833333334</v>
      </c>
      <c r="L11" s="107">
        <f>'INN Rollups 2021'!D51</f>
        <v>0.55715658021133529</v>
      </c>
      <c r="M11" s="107">
        <f>'INN Rollups 2021'!D52</f>
        <v>0.44284341978866476</v>
      </c>
      <c r="N11" s="119">
        <f>'INN Rollups 2021'!E51</f>
        <v>2.4166666666666665</v>
      </c>
      <c r="O11" s="108">
        <f>'INN Rollups 2021'!E52</f>
        <v>5.7625000000000002</v>
      </c>
    </row>
    <row r="12" spans="1:15" x14ac:dyDescent="0.2">
      <c r="A12" s="100"/>
      <c r="B12" s="68">
        <v>2020</v>
      </c>
      <c r="C12" s="68">
        <f>'INN Rollups 2020'!C41</f>
        <v>4</v>
      </c>
      <c r="D12" s="107">
        <f>'INN Rollups 2020'!D44</f>
        <v>0.58811634024016635</v>
      </c>
      <c r="E12" s="107">
        <f>'INN Rollups 2020'!D45</f>
        <v>0.41188365975983371</v>
      </c>
      <c r="F12" s="114">
        <f>'INN Rollups 2020'!E44</f>
        <v>324458.98</v>
      </c>
      <c r="G12" s="115">
        <f>'INN Rollups 2020'!E45</f>
        <v>302977.13333333336</v>
      </c>
      <c r="H12" s="107">
        <f>'INN Rollups 2020'!D48</f>
        <v>0.33627956291325561</v>
      </c>
      <c r="I12" s="107">
        <f>'INN Rollups 2020'!D49</f>
        <v>0.66372043708674433</v>
      </c>
      <c r="J12" s="114">
        <f>'INN Rollups 2020'!E48</f>
        <v>248341</v>
      </c>
      <c r="K12" s="115">
        <f>'INN Rollups 2020'!E49</f>
        <v>367616</v>
      </c>
      <c r="L12" s="107">
        <f>'INN Rollups 2020'!D52</f>
        <v>0.36363636363636365</v>
      </c>
      <c r="M12" s="107">
        <f>'INN Rollups 2020'!D53</f>
        <v>0.63636363636363646</v>
      </c>
      <c r="N12" s="119">
        <f>'INN Rollups 2020'!E52</f>
        <v>2.8666666666666667</v>
      </c>
      <c r="O12" s="108">
        <f>'INN Rollups 2020'!E53</f>
        <v>7.5250000000000004</v>
      </c>
    </row>
    <row r="13" spans="1:15" ht="5.25" customHeight="1" x14ac:dyDescent="0.2">
      <c r="A13" s="109"/>
      <c r="B13" s="121"/>
      <c r="C13" s="121"/>
      <c r="D13" s="110"/>
      <c r="E13" s="110"/>
      <c r="F13" s="116"/>
      <c r="G13" s="117"/>
      <c r="H13" s="110"/>
      <c r="I13" s="110"/>
      <c r="J13" s="116"/>
      <c r="K13" s="117"/>
      <c r="L13" s="110"/>
      <c r="M13" s="110"/>
      <c r="N13" s="120"/>
      <c r="O13" s="111"/>
    </row>
    <row r="14" spans="1:15" x14ac:dyDescent="0.2">
      <c r="A14" s="100" t="str">
        <f>'INN Rollups 2021'!G10</f>
        <v>State: General</v>
      </c>
      <c r="B14" s="68">
        <v>2021</v>
      </c>
      <c r="C14" s="68">
        <f>'INN Rollups 2021'!I10</f>
        <v>29</v>
      </c>
      <c r="D14" s="107">
        <f>'INN Rollups 2021'!J13</f>
        <v>0.53605304278489208</v>
      </c>
      <c r="E14" s="107">
        <f>'INN Rollups 2021'!J14</f>
        <v>0.46394695721510781</v>
      </c>
      <c r="F14" s="114">
        <f>'INN Rollups 2021'!K13</f>
        <v>766813.45039999997</v>
      </c>
      <c r="G14" s="115">
        <f>'INN Rollups 2021'!K14</f>
        <v>975981.02588235307</v>
      </c>
      <c r="H14" s="107">
        <f>'INN Rollups 2021'!J17</f>
        <v>0.62810067106985967</v>
      </c>
      <c r="I14" s="107">
        <f>'INN Rollups 2021'!J18</f>
        <v>0.37189932893014027</v>
      </c>
      <c r="J14" s="114">
        <f>'INN Rollups 2021'!K17</f>
        <v>694815.35583333333</v>
      </c>
      <c r="K14" s="115">
        <f>'INN Rollups 2021'!K18</f>
        <v>394945.14399999997</v>
      </c>
      <c r="L14" s="107">
        <f>'INN Rollups 2021'!J21</f>
        <v>0.75982280431432969</v>
      </c>
      <c r="M14" s="107">
        <f>'INN Rollups 2021'!J22</f>
        <v>0.24017719568567025</v>
      </c>
      <c r="N14" s="119">
        <f>'INN Rollups 2021'!K21</f>
        <v>7.3055555555555554</v>
      </c>
      <c r="O14" s="108">
        <f>'INN Rollups 2021'!K22</f>
        <v>3.6676470588235297</v>
      </c>
    </row>
    <row r="15" spans="1:15" x14ac:dyDescent="0.2">
      <c r="A15" s="100"/>
      <c r="B15" s="68">
        <v>2020</v>
      </c>
      <c r="C15" s="68">
        <f>'INN Rollups 2020'!I10</f>
        <v>8</v>
      </c>
      <c r="D15" s="107">
        <f>'INN Rollups 2020'!J13</f>
        <v>0.92559576330829163</v>
      </c>
      <c r="E15" s="107">
        <f>'INN Rollups 2020'!J14</f>
        <v>7.4404236691708425E-2</v>
      </c>
      <c r="F15" s="114">
        <f>'INN Rollups 2020'!K13</f>
        <v>492565.72749999998</v>
      </c>
      <c r="G15" s="115">
        <f>'INN Rollups 2020'!K14</f>
        <v>52793.351666666662</v>
      </c>
      <c r="H15" s="107">
        <f>'INN Rollups 2020'!J17</f>
        <v>0.62513581603370605</v>
      </c>
      <c r="I15" s="107">
        <f>'INN Rollups 2020'!J18</f>
        <v>0.3748641839662939</v>
      </c>
      <c r="J15" s="114">
        <f>'INN Rollups 2020'!K17</f>
        <v>311429.92875000002</v>
      </c>
      <c r="K15" s="115">
        <f>'INN Rollups 2020'!K18</f>
        <v>186749.7</v>
      </c>
      <c r="L15" s="107">
        <f>'INN Rollups 2020'!J21</f>
        <v>0.75657894736842102</v>
      </c>
      <c r="M15" s="107">
        <f>'INN Rollups 2020'!J22</f>
        <v>0.24342105263157893</v>
      </c>
      <c r="N15" s="119">
        <f>'INN Rollups 2020'!K21</f>
        <v>5.75</v>
      </c>
      <c r="O15" s="108">
        <f>'INN Rollups 2020'!K22</f>
        <v>2.1583333333333332</v>
      </c>
    </row>
    <row r="16" spans="1:15" ht="5.25" customHeight="1" x14ac:dyDescent="0.2">
      <c r="A16" s="109"/>
      <c r="B16" s="121"/>
      <c r="C16" s="121"/>
      <c r="D16" s="110"/>
      <c r="E16" s="110"/>
      <c r="F16" s="116"/>
      <c r="G16" s="117"/>
      <c r="H16" s="110"/>
      <c r="I16" s="110"/>
      <c r="J16" s="116"/>
      <c r="K16" s="117"/>
      <c r="L16" s="110"/>
      <c r="M16" s="110"/>
      <c r="N16" s="120"/>
      <c r="O16" s="111"/>
    </row>
    <row r="17" spans="1:15" x14ac:dyDescent="0.2">
      <c r="A17" s="100" t="str">
        <f>'INN Rollups 2021'!G25</f>
        <v>State: Multiple Related Topics</v>
      </c>
      <c r="B17" s="68">
        <v>2021</v>
      </c>
      <c r="C17" s="68">
        <f>'INN Rollups 2021'!I25</f>
        <v>26</v>
      </c>
      <c r="D17" s="107">
        <f>'INN Rollups 2021'!J28</f>
        <v>0.87391664217828968</v>
      </c>
      <c r="E17" s="107">
        <f>'INN Rollups 2021'!J29</f>
        <v>0.12608335782171035</v>
      </c>
      <c r="F17" s="114">
        <f>'INN Rollups 2021'!K28</f>
        <v>1346854.4286956524</v>
      </c>
      <c r="G17" s="115">
        <f>'INN Rollups 2021'!K29</f>
        <v>279329.15562500001</v>
      </c>
      <c r="H17" s="107">
        <f>'INN Rollups 2021'!J32</f>
        <v>0.59488710387656019</v>
      </c>
      <c r="I17" s="107">
        <f>'INN Rollups 2021'!J33</f>
        <v>0.40511289612343981</v>
      </c>
      <c r="J17" s="114">
        <f>'INN Rollups 2021'!K32</f>
        <v>835167.6508695652</v>
      </c>
      <c r="K17" s="115">
        <f>'INN Rollups 2021'!K33</f>
        <v>568741.83956521738</v>
      </c>
      <c r="L17" s="107">
        <f>'INN Rollups 2021'!J36</f>
        <v>0.76012621546783432</v>
      </c>
      <c r="M17" s="107">
        <f>'INN Rollups 2021'!J37</f>
        <v>0.23987378453216565</v>
      </c>
      <c r="N17" s="119">
        <f>'INN Rollups 2021'!K36</f>
        <v>9.08</v>
      </c>
      <c r="O17" s="108">
        <f>'INN Rollups 2021'!K37</f>
        <v>4.65625</v>
      </c>
    </row>
    <row r="18" spans="1:15" x14ac:dyDescent="0.2">
      <c r="A18" s="100"/>
      <c r="B18" s="68">
        <v>2020</v>
      </c>
      <c r="C18" s="68">
        <f>'INN Rollups 2020'!I26</f>
        <v>20</v>
      </c>
      <c r="D18" s="107">
        <f>'INN Rollups 2020'!J29</f>
        <v>0.9035587480061068</v>
      </c>
      <c r="E18" s="107">
        <f>'INN Rollups 2020'!J30</f>
        <v>9.6441251993893182E-2</v>
      </c>
      <c r="F18" s="114">
        <f>'INN Rollups 2020'!K29</f>
        <v>882344.95562500006</v>
      </c>
      <c r="G18" s="115">
        <f>'INN Rollups 2020'!K30</f>
        <v>125569.33333333333</v>
      </c>
      <c r="H18" s="107">
        <f>'INN Rollups 2020'!J33</f>
        <v>0.68057057970413692</v>
      </c>
      <c r="I18" s="107">
        <f>'INN Rollups 2020'!J34</f>
        <v>0.31942942029586302</v>
      </c>
      <c r="J18" s="114">
        <f>'INN Rollups 2020'!K33</f>
        <v>454352.45500000002</v>
      </c>
      <c r="K18" s="115">
        <f>'INN Rollups 2020'!K34</f>
        <v>213252.74062500001</v>
      </c>
      <c r="L18" s="107">
        <f>'INN Rollups 2020'!J37</f>
        <v>0.75510808409831209</v>
      </c>
      <c r="M18" s="107">
        <f>'INN Rollups 2020'!J38</f>
        <v>0.24489191590168791</v>
      </c>
      <c r="N18" s="119">
        <f>'INN Rollups 2020'!K37</f>
        <v>6.375</v>
      </c>
      <c r="O18" s="108">
        <f>'INN Rollups 2020'!K38</f>
        <v>2.5843750000000001</v>
      </c>
    </row>
    <row r="19" spans="1:15" ht="5.25" customHeight="1" x14ac:dyDescent="0.2">
      <c r="A19" s="109"/>
      <c r="B19" s="121"/>
      <c r="C19" s="121"/>
      <c r="D19" s="110"/>
      <c r="E19" s="110"/>
      <c r="F19" s="116"/>
      <c r="G19" s="117"/>
      <c r="H19" s="110"/>
      <c r="I19" s="110"/>
      <c r="J19" s="116"/>
      <c r="K19" s="117"/>
      <c r="L19" s="110"/>
      <c r="M19" s="110"/>
      <c r="N19" s="120"/>
      <c r="O19" s="111"/>
    </row>
    <row r="20" spans="1:15" x14ac:dyDescent="0.2">
      <c r="A20" s="100" t="str">
        <f>'INN Rollups 2021'!G40</f>
        <v>State: Single-Topic</v>
      </c>
      <c r="B20" s="68">
        <v>2021</v>
      </c>
      <c r="C20" s="68">
        <f>'INN Rollups 2021'!I40</f>
        <v>8</v>
      </c>
      <c r="D20" s="107">
        <f>'INN Rollups 2021'!J43</f>
        <v>0.97218336292322327</v>
      </c>
      <c r="E20" s="107">
        <f>'INN Rollups 2021'!J44</f>
        <v>2.7816637076776767E-2</v>
      </c>
      <c r="F20" s="114">
        <f>'INN Rollups 2021'!K43</f>
        <v>812966.30999999994</v>
      </c>
      <c r="G20" s="115">
        <f>'INN Rollups 2021'!K44</f>
        <v>37217.652000000002</v>
      </c>
      <c r="H20" s="107">
        <f>'INN Rollups 2021'!J47</f>
        <v>0.73847670712718272</v>
      </c>
      <c r="I20" s="107">
        <f>'INN Rollups 2021'!J48</f>
        <v>0.26152329287281728</v>
      </c>
      <c r="J20" s="114">
        <f>'INN Rollups 2021'!K47</f>
        <v>566330.125</v>
      </c>
      <c r="K20" s="115">
        <f>'INN Rollups 2021'!K48</f>
        <v>200559.5</v>
      </c>
      <c r="L20" s="107">
        <f>'INN Rollups 2021'!J51</f>
        <v>0.63926174496644295</v>
      </c>
      <c r="M20" s="107">
        <f>'INN Rollups 2021'!J52</f>
        <v>0.36073825503355705</v>
      </c>
      <c r="N20" s="119">
        <f>'INN Rollups 2021'!K51</f>
        <v>5.4428571428571431</v>
      </c>
      <c r="O20" s="108">
        <f>'INN Rollups 2021'!K52</f>
        <v>7.166666666666667</v>
      </c>
    </row>
    <row r="21" spans="1:15" x14ac:dyDescent="0.2">
      <c r="A21" s="100"/>
      <c r="B21" s="68">
        <v>2020</v>
      </c>
      <c r="C21" s="68">
        <f>'INN Rollups 2020'!I41</f>
        <v>3</v>
      </c>
      <c r="D21" s="107">
        <f>'INN Rollups 2020'!J44</f>
        <v>0.78302995838263501</v>
      </c>
      <c r="E21" s="107">
        <f>'INN Rollups 2020'!J45</f>
        <v>0.21697004161736505</v>
      </c>
      <c r="F21" s="114">
        <f>'INN Rollups 2020'!K44</f>
        <v>204707</v>
      </c>
      <c r="G21" s="115">
        <f>'INN Rollups 2020'!K45</f>
        <v>56722.333333333336</v>
      </c>
      <c r="H21" s="107">
        <f>'INN Rollups 2020'!J48</f>
        <v>0.77126875250966009</v>
      </c>
      <c r="I21" s="107">
        <f>'INN Rollups 2020'!J49</f>
        <v>0.22873124749033988</v>
      </c>
      <c r="J21" s="114">
        <f>'INN Rollups 2020'!K44</f>
        <v>204707</v>
      </c>
      <c r="K21" s="115">
        <f>'INN Rollups 2020'!K49</f>
        <v>46329.666666666664</v>
      </c>
      <c r="L21" s="107">
        <f>'INN Rollups 2020'!J52</f>
        <v>0.8571428571428571</v>
      </c>
      <c r="M21" s="107">
        <f>'INN Rollups 2020'!J53</f>
        <v>0.14285714285714285</v>
      </c>
      <c r="N21" s="119">
        <f>'INN Rollups 2020'!K52</f>
        <v>4</v>
      </c>
      <c r="O21" s="108">
        <f>'INN Rollups 2020'!K53</f>
        <v>1</v>
      </c>
    </row>
    <row r="22" spans="1:15" ht="5.25" customHeight="1" x14ac:dyDescent="0.2">
      <c r="A22" s="109"/>
      <c r="B22" s="121"/>
      <c r="C22" s="121"/>
      <c r="D22" s="110"/>
      <c r="E22" s="110"/>
      <c r="F22" s="116"/>
      <c r="G22" s="117"/>
      <c r="H22" s="110"/>
      <c r="I22" s="110"/>
      <c r="J22" s="116"/>
      <c r="K22" s="117"/>
      <c r="L22" s="110"/>
      <c r="M22" s="110"/>
      <c r="N22" s="120"/>
      <c r="O22" s="111"/>
    </row>
    <row r="23" spans="1:15" x14ac:dyDescent="0.2">
      <c r="A23" s="100" t="str">
        <f>'INN Rollups 2021'!M10</f>
        <v>Regional: General</v>
      </c>
      <c r="B23" s="68">
        <v>2021</v>
      </c>
      <c r="C23" s="68">
        <f>'INN Rollups 2021'!O10</f>
        <v>11</v>
      </c>
      <c r="D23" s="107">
        <f>'INN Rollups 2021'!P13</f>
        <v>0.71766561306580945</v>
      </c>
      <c r="E23" s="107">
        <f>'INN Rollups 2021'!P14</f>
        <v>0.28233438693419055</v>
      </c>
      <c r="F23" s="114">
        <f>'INN Rollups 2021'!Q13</f>
        <v>2136187.358</v>
      </c>
      <c r="G23" s="115">
        <f>'INN Rollups 2021'!Q14</f>
        <v>840390.2</v>
      </c>
      <c r="H23" s="107">
        <f>'INN Rollups 2021'!P17</f>
        <v>0.49850681504235156</v>
      </c>
      <c r="I23" s="107">
        <f>'INN Rollups 2021'!P18</f>
        <v>0.50149318495764839</v>
      </c>
      <c r="J23" s="114">
        <f>'INN Rollups 2021'!Q17</f>
        <v>1657087.8</v>
      </c>
      <c r="K23" s="115">
        <f>'INN Rollups 2021'!Q18</f>
        <v>1667014.8</v>
      </c>
      <c r="L23" s="107">
        <f>'INN Rollups 2021'!P21</f>
        <v>0.54989898989898989</v>
      </c>
      <c r="M23" s="107">
        <f>'INN Rollups 2021'!P22</f>
        <v>0.45010101010101011</v>
      </c>
      <c r="N23" s="119">
        <f>'INN Rollups 2021'!Q21</f>
        <v>13.61</v>
      </c>
      <c r="O23" s="108">
        <f>'INN Rollups 2021'!Q22</f>
        <v>13.925000000000001</v>
      </c>
    </row>
    <row r="24" spans="1:15" x14ac:dyDescent="0.2">
      <c r="A24" s="100"/>
      <c r="B24" s="68">
        <v>2020</v>
      </c>
      <c r="C24" s="68">
        <f>'INN Rollups 2020'!O10</f>
        <v>1</v>
      </c>
      <c r="D24" s="107">
        <f>'INN Rollups 2020'!P13</f>
        <v>0.6580208005602749</v>
      </c>
      <c r="E24" s="107">
        <f>'INN Rollups 2020'!P14</f>
        <v>0.3419791994397251</v>
      </c>
      <c r="F24" s="114">
        <f>'INN Rollups 2020'!Q13</f>
        <v>2221140</v>
      </c>
      <c r="G24" s="115">
        <f>'INN Rollups 2020'!Q14</f>
        <v>1154346</v>
      </c>
      <c r="H24" s="107">
        <f>'INN Rollups 2020'!P17</f>
        <v>0.42327373850994338</v>
      </c>
      <c r="I24" s="107">
        <f>'INN Rollups 2020'!P18</f>
        <v>0.57672626149005668</v>
      </c>
      <c r="J24" s="114">
        <f>'INN Rollups 2020'!Q17</f>
        <v>1539425</v>
      </c>
      <c r="K24" s="115">
        <f>'INN Rollups 2020'!Q18</f>
        <v>2097524</v>
      </c>
      <c r="L24" s="107">
        <f>'INN Rollups 2020'!P21</f>
        <v>0.5423728813559322</v>
      </c>
      <c r="M24" s="107">
        <f>'INN Rollups 2020'!P22</f>
        <v>0.4576271186440678</v>
      </c>
      <c r="N24" s="119">
        <f>'INN Rollups 2020'!Q21</f>
        <v>16</v>
      </c>
      <c r="O24" s="108">
        <f>'INN Rollups 2020'!Q22</f>
        <v>13.5</v>
      </c>
    </row>
    <row r="25" spans="1:15" ht="5.25" customHeight="1" x14ac:dyDescent="0.2">
      <c r="A25" s="109"/>
      <c r="B25" s="121"/>
      <c r="C25" s="121"/>
      <c r="D25" s="110"/>
      <c r="E25" s="110"/>
      <c r="F25" s="116"/>
      <c r="G25" s="117"/>
      <c r="H25" s="110"/>
      <c r="I25" s="110"/>
      <c r="J25" s="116"/>
      <c r="K25" s="117"/>
      <c r="L25" s="110"/>
      <c r="M25" s="110"/>
      <c r="N25" s="120"/>
      <c r="O25" s="111"/>
    </row>
    <row r="26" spans="1:15" x14ac:dyDescent="0.2">
      <c r="A26" s="100" t="str">
        <f>'INN Rollups 2021'!M25</f>
        <v>Regional: Multiple Related Topics</v>
      </c>
      <c r="B26" s="68">
        <v>2021</v>
      </c>
      <c r="C26" s="68">
        <f>'INN Rollups 2021'!O25</f>
        <v>11</v>
      </c>
      <c r="D26" s="107">
        <f>'INN Rollups 2021'!P28</f>
        <v>0.7884059881736647</v>
      </c>
      <c r="E26" s="107">
        <f>'INN Rollups 2021'!P29</f>
        <v>0.21159401182633533</v>
      </c>
      <c r="F26" s="114">
        <f>'INN Rollups 2021'!Q28</f>
        <v>298977.52600000001</v>
      </c>
      <c r="G26" s="115">
        <f>'INN Rollups 2021'!Q29</f>
        <v>133733.66666666666</v>
      </c>
      <c r="H26" s="107">
        <f>'INN Rollups 2021'!P32</f>
        <v>0.46081437490030824</v>
      </c>
      <c r="I26" s="107">
        <f>'INN Rollups 2021'!P33</f>
        <v>0.5391856250996917</v>
      </c>
      <c r="J26" s="114">
        <f>'INN Rollups 2021'!Q32</f>
        <v>155283.5</v>
      </c>
      <c r="K26" s="115">
        <f>'INN Rollups 2021'!Q33</f>
        <v>181692.75</v>
      </c>
      <c r="L26" s="107">
        <f>'INN Rollups 2021'!P36</f>
        <v>0.77809798270893371</v>
      </c>
      <c r="M26" s="107">
        <f>'INN Rollups 2021'!P37</f>
        <v>0.22190201729106629</v>
      </c>
      <c r="N26" s="119">
        <f>'INN Rollups 2021'!Q36</f>
        <v>6.1363636363636367</v>
      </c>
      <c r="O26" s="108">
        <f>'INN Rollups 2021'!Q37</f>
        <v>2.75</v>
      </c>
    </row>
    <row r="27" spans="1:15" x14ac:dyDescent="0.2">
      <c r="A27" s="100"/>
      <c r="B27" s="68">
        <v>2020</v>
      </c>
      <c r="C27" s="68">
        <f>'INN Rollups 2020'!O26</f>
        <v>6</v>
      </c>
      <c r="D27" s="107">
        <f>'INN Rollups 2020'!P29</f>
        <v>0.94285975099811026</v>
      </c>
      <c r="E27" s="107">
        <f>'INN Rollups 2020'!P30</f>
        <v>5.7140249001889826E-2</v>
      </c>
      <c r="F27" s="114">
        <f>'INN Rollups 2020'!Q29</f>
        <v>115351.54</v>
      </c>
      <c r="G27" s="115">
        <f>'INN Rollups 2020'!Q30</f>
        <v>17476.66</v>
      </c>
      <c r="H27" s="107">
        <f>'INN Rollups 2020'!P33</f>
        <v>0.58030890049691164</v>
      </c>
      <c r="I27" s="107">
        <f>'INN Rollups 2020'!P34</f>
        <v>0.41969109950308847</v>
      </c>
      <c r="J27" s="114">
        <f>'INN Rollups 2020'!Q33</f>
        <v>77756.30799999999</v>
      </c>
      <c r="K27" s="115">
        <f>'INN Rollups 2020'!Q34</f>
        <v>56234.930000000008</v>
      </c>
      <c r="L27" s="107">
        <f>'INN Rollups 2020'!P37</f>
        <v>0.83076923076923082</v>
      </c>
      <c r="M27" s="107">
        <f>'INN Rollups 2020'!P38</f>
        <v>0.16923076923076924</v>
      </c>
      <c r="N27" s="119">
        <f>'INN Rollups 2020'!Q37</f>
        <v>2.25</v>
      </c>
      <c r="O27" s="108">
        <f>'INN Rollups 2020'!Q38</f>
        <v>1.375</v>
      </c>
    </row>
    <row r="28" spans="1:15" ht="5.25" customHeight="1" x14ac:dyDescent="0.2">
      <c r="A28" s="109"/>
      <c r="B28" s="121"/>
      <c r="C28" s="121"/>
      <c r="D28" s="110"/>
      <c r="E28" s="110"/>
      <c r="F28" s="116"/>
      <c r="G28" s="117"/>
      <c r="H28" s="110"/>
      <c r="I28" s="110"/>
      <c r="J28" s="116"/>
      <c r="K28" s="117"/>
      <c r="L28" s="110"/>
      <c r="M28" s="110"/>
      <c r="N28" s="120"/>
      <c r="O28" s="111"/>
    </row>
    <row r="29" spans="1:15" x14ac:dyDescent="0.2">
      <c r="A29" s="100" t="str">
        <f>'INN Rollups 2021'!M40</f>
        <v>Regional: Single-Topic</v>
      </c>
      <c r="B29" s="68">
        <v>2021</v>
      </c>
      <c r="C29" s="68">
        <f>'INN Rollups 2021'!O40</f>
        <v>8</v>
      </c>
      <c r="D29" s="107">
        <f>'INN Rollups 2021'!P43</f>
        <v>0.9714701384227038</v>
      </c>
      <c r="E29" s="107">
        <f>'INN Rollups 2021'!P44</f>
        <v>2.8529861577296155E-2</v>
      </c>
      <c r="F29" s="114">
        <f>'INN Rollups 2021'!Q43</f>
        <v>480565.93125000002</v>
      </c>
      <c r="G29" s="115">
        <f>'INN Rollups 2021'!Q44</f>
        <v>22581</v>
      </c>
      <c r="H29" s="107">
        <f>'INN Rollups 2021'!P47</f>
        <v>0.74679930766692393</v>
      </c>
      <c r="I29" s="107">
        <f>'INN Rollups 2021'!P48</f>
        <v>0.25320069233307607</v>
      </c>
      <c r="J29" s="114">
        <f>'INN Rollups 2021'!Q47</f>
        <v>304670.5</v>
      </c>
      <c r="K29" s="115">
        <f>'INN Rollups 2021'!Q48</f>
        <v>103297.875</v>
      </c>
      <c r="L29" s="107">
        <f>'INN Rollups 2021'!P51</f>
        <v>0.83132530120481929</v>
      </c>
      <c r="M29" s="107">
        <f>'INN Rollups 2021'!P52</f>
        <v>0.16867469879518071</v>
      </c>
      <c r="N29" s="119">
        <f>'INN Rollups 2021'!Q51</f>
        <v>4.9285714285714288</v>
      </c>
      <c r="O29" s="108">
        <f>'INN Rollups 2021'!Q52</f>
        <v>1.75</v>
      </c>
    </row>
    <row r="30" spans="1:15" x14ac:dyDescent="0.2">
      <c r="A30" s="100"/>
      <c r="B30" s="68">
        <v>2020</v>
      </c>
      <c r="C30" s="68">
        <f>'INN Rollups 2020'!O41</f>
        <v>3</v>
      </c>
      <c r="D30" s="107">
        <f>'INN Rollups 2020'!P44</f>
        <v>0.96990559037481705</v>
      </c>
      <c r="E30" s="107">
        <f>'INN Rollups 2020'!P45</f>
        <v>3.0094409625182915E-2</v>
      </c>
      <c r="F30" s="114">
        <f>'INN Rollups 2020'!Q44</f>
        <v>546277.53</v>
      </c>
      <c r="G30" s="115">
        <f>'INN Rollups 2020'!Q45</f>
        <v>16950</v>
      </c>
      <c r="H30" s="107">
        <f>'INN Rollups 2020'!P48</f>
        <v>0.79363163484932486</v>
      </c>
      <c r="I30" s="107">
        <f>'INN Rollups 2020'!P49</f>
        <v>0.20636836515067511</v>
      </c>
      <c r="J30" s="114">
        <f>'INN Rollups 2020'!Q48</f>
        <v>426734.86499999999</v>
      </c>
      <c r="K30" s="115">
        <f>'INN Rollups 2020'!Q49</f>
        <v>110964.045</v>
      </c>
      <c r="L30" s="107">
        <f>'INN Rollups 2020'!P52</f>
        <v>0.86363636363636365</v>
      </c>
      <c r="M30" s="107">
        <f>'INN Rollups 2020'!P53</f>
        <v>0.13636363636363635</v>
      </c>
      <c r="N30" s="119">
        <f>'INN Rollups 2020'!Q52</f>
        <v>3.1666666666666665</v>
      </c>
      <c r="O30" s="108">
        <f>'INN Rollups 2020'!Q53</f>
        <v>0.75</v>
      </c>
    </row>
    <row r="31" spans="1:15" ht="5.25" customHeight="1" x14ac:dyDescent="0.2">
      <c r="A31" s="109"/>
      <c r="B31" s="121"/>
      <c r="C31" s="121"/>
      <c r="D31" s="110"/>
      <c r="E31" s="110"/>
      <c r="F31" s="116"/>
      <c r="G31" s="117"/>
      <c r="H31" s="110"/>
      <c r="I31" s="110"/>
      <c r="J31" s="116"/>
      <c r="K31" s="117"/>
      <c r="L31" s="110"/>
      <c r="M31" s="110"/>
      <c r="N31" s="120"/>
      <c r="O31" s="111"/>
    </row>
    <row r="32" spans="1:15" x14ac:dyDescent="0.2">
      <c r="A32" s="100" t="str">
        <f>'INN Rollups 2021'!S10</f>
        <v>National: General</v>
      </c>
      <c r="B32" s="68">
        <v>2021</v>
      </c>
      <c r="C32" s="68">
        <f>'INN Rollups 2021'!U10</f>
        <v>8</v>
      </c>
      <c r="D32" s="107">
        <v>0</v>
      </c>
      <c r="E32" s="107">
        <f>'INN Rollups 2021'!V14</f>
        <v>2.7145234774828414E-2</v>
      </c>
      <c r="F32" s="114">
        <f>'INN Rollups 2021'!W13</f>
        <v>6582097.5599999996</v>
      </c>
      <c r="G32" s="115">
        <f>'INN Rollups 2021'!W14</f>
        <v>183658.02374999999</v>
      </c>
      <c r="H32" s="107">
        <f>'INN Rollups 2021'!V17</f>
        <v>0.59927809282305844</v>
      </c>
      <c r="I32" s="107">
        <f>'INN Rollups 2021'!V18</f>
        <v>0.40072190717694151</v>
      </c>
      <c r="J32" s="114">
        <f>'INN Rollups 2021'!W17</f>
        <v>6396387.25</v>
      </c>
      <c r="K32" s="115">
        <f>'INN Rollups 2021'!W18</f>
        <v>4277100.2787500005</v>
      </c>
      <c r="L32" s="107">
        <f>'INN Rollups 2021'!V21</f>
        <v>0.8241469816272966</v>
      </c>
      <c r="M32" s="107">
        <f>'INN Rollups 2021'!V22</f>
        <v>0.17585301837270342</v>
      </c>
      <c r="N32" s="119">
        <f>'INN Rollups 2021'!W21</f>
        <v>39.25</v>
      </c>
      <c r="O32" s="108">
        <f>'INN Rollups 2021'!W22</f>
        <v>9.5714285714285712</v>
      </c>
    </row>
    <row r="33" spans="1:15" x14ac:dyDescent="0.2">
      <c r="A33" s="100"/>
      <c r="B33" s="68">
        <v>2020</v>
      </c>
      <c r="C33" s="68">
        <f>'INN Rollups 2020'!U10</f>
        <v>5</v>
      </c>
      <c r="D33" s="107">
        <f>'INN Rollups 2020'!V13</f>
        <v>0.97423461534569022</v>
      </c>
      <c r="E33" s="107">
        <f>'INN Rollups 2020'!V14</f>
        <v>2.5765384654309831E-2</v>
      </c>
      <c r="F33" s="114">
        <f>'INN Rollups 2020'!W13</f>
        <v>9280133.404000001</v>
      </c>
      <c r="G33" s="115">
        <f>'INN Rollups 2020'!W14</f>
        <v>306787.25</v>
      </c>
      <c r="H33" s="107">
        <f>'INN Rollups 2020'!V17</f>
        <v>0.78906593988480522</v>
      </c>
      <c r="I33" s="107">
        <f>'INN Rollups 2020'!V18</f>
        <v>0.21093406011519478</v>
      </c>
      <c r="J33" s="114">
        <f>'INN Rollups 2020'!W17</f>
        <v>6608863.5999999996</v>
      </c>
      <c r="K33" s="115">
        <f>'INN Rollups 2020'!W18</f>
        <v>1766689.4</v>
      </c>
      <c r="L33" s="107">
        <f>'INN Rollups 2020'!V21</f>
        <v>0.79201680672268904</v>
      </c>
      <c r="M33" s="107">
        <f>'INN Rollups 2020'!V22</f>
        <v>0.20798319327731093</v>
      </c>
      <c r="N33" s="119">
        <f>'INN Rollups 2020'!W21</f>
        <v>37.700000000000003</v>
      </c>
      <c r="O33" s="108">
        <f>'INN Rollups 2020'!W22</f>
        <v>9.9</v>
      </c>
    </row>
    <row r="34" spans="1:15" ht="5.25" customHeight="1" x14ac:dyDescent="0.2">
      <c r="A34" s="109"/>
      <c r="B34" s="121"/>
      <c r="C34" s="121"/>
      <c r="D34" s="110"/>
      <c r="E34" s="110"/>
      <c r="F34" s="116"/>
      <c r="G34" s="117"/>
      <c r="H34" s="110"/>
      <c r="I34" s="110"/>
      <c r="J34" s="116"/>
      <c r="K34" s="117"/>
      <c r="L34" s="110"/>
      <c r="M34" s="110"/>
      <c r="N34" s="120"/>
      <c r="O34" s="111"/>
    </row>
    <row r="35" spans="1:15" x14ac:dyDescent="0.2">
      <c r="A35" s="100" t="str">
        <f>'INN Rollups 2021'!S25</f>
        <v>National: Multiple Related Topics</v>
      </c>
      <c r="B35" s="68">
        <v>2021</v>
      </c>
      <c r="C35" s="68">
        <f>'INN Rollups 2021'!U25</f>
        <v>20</v>
      </c>
      <c r="D35" s="107">
        <f>'INN Rollups 2021'!V28</f>
        <v>0.83663118314773333</v>
      </c>
      <c r="E35" s="107">
        <f>'INN Rollups 2021'!V29</f>
        <v>0.16336881685226659</v>
      </c>
      <c r="F35" s="114">
        <f>'INN Rollups 2021'!W28</f>
        <v>1961759.6431249999</v>
      </c>
      <c r="G35" s="115">
        <f>'INN Rollups 2021'!W29</f>
        <v>408610.60666666663</v>
      </c>
      <c r="H35" s="107">
        <f>'INN Rollups 2021'!V32</f>
        <v>0.5804436261807544</v>
      </c>
      <c r="I35" s="107">
        <f>'INN Rollups 2021'!V33</f>
        <v>0.41955637381924565</v>
      </c>
      <c r="J35" s="114">
        <f>'INN Rollups 2021'!W32</f>
        <v>1300633.6666666667</v>
      </c>
      <c r="K35" s="115">
        <f>'INN Rollups 2021'!W33</f>
        <v>940124.27777777775</v>
      </c>
      <c r="L35" s="107">
        <f>'INN Rollups 2021'!V36</f>
        <v>0.65589743589743588</v>
      </c>
      <c r="M35" s="107">
        <f>'INN Rollups 2021'!V37</f>
        <v>0.34410256410256407</v>
      </c>
      <c r="N35" s="119">
        <f>'INN Rollups 2021'!W36</f>
        <v>12.79</v>
      </c>
      <c r="O35" s="108">
        <f>'INN Rollups 2021'!W37</f>
        <v>8.3874999999999993</v>
      </c>
    </row>
    <row r="36" spans="1:15" x14ac:dyDescent="0.2">
      <c r="A36" s="100"/>
      <c r="B36" s="68">
        <v>2020</v>
      </c>
      <c r="C36" s="68">
        <f>'INN Rollups 2020'!U26</f>
        <v>8</v>
      </c>
      <c r="D36" s="107">
        <f>'INN Rollups 2020'!V29</f>
        <v>0.80562542152568883</v>
      </c>
      <c r="E36" s="107">
        <f>'INN Rollups 2020'!V30</f>
        <v>0.19437457847431122</v>
      </c>
      <c r="F36" s="114">
        <f>'INN Rollups 2020'!W29</f>
        <v>1923806.21</v>
      </c>
      <c r="G36" s="115">
        <f>'INN Rollups 2020'!W30</f>
        <v>464159.90749999997</v>
      </c>
      <c r="H36" s="107">
        <f>'INN Rollups 2020'!V33</f>
        <v>0.71275982618168532</v>
      </c>
      <c r="I36" s="107">
        <f>'INN Rollups 2020'!V34</f>
        <v>0.28724017381831468</v>
      </c>
      <c r="J36" s="114">
        <f>'INN Rollups 2020'!W33</f>
        <v>1683461.375</v>
      </c>
      <c r="K36" s="115">
        <f>'INN Rollups 2020'!W34</f>
        <v>678430.125</v>
      </c>
      <c r="L36" s="107">
        <f>'INN Rollups 2020'!V37</f>
        <v>0.72956609485368318</v>
      </c>
      <c r="M36" s="107">
        <f>'INN Rollups 2020'!V38</f>
        <v>0.27043390514631688</v>
      </c>
      <c r="N36" s="119">
        <f>'INN Rollups 2020'!W37</f>
        <v>11.296875</v>
      </c>
      <c r="O36" s="108">
        <f>'INN Rollups 2020'!W38</f>
        <v>4.7857142857142856</v>
      </c>
    </row>
    <row r="37" spans="1:15" ht="5.25" customHeight="1" x14ac:dyDescent="0.2">
      <c r="A37" s="109"/>
      <c r="B37" s="121"/>
      <c r="C37" s="121"/>
      <c r="D37" s="110"/>
      <c r="E37" s="110"/>
      <c r="F37" s="116"/>
      <c r="G37" s="117"/>
      <c r="H37" s="110"/>
      <c r="I37" s="110"/>
      <c r="J37" s="116"/>
      <c r="K37" s="117"/>
      <c r="L37" s="110"/>
      <c r="M37" s="110"/>
      <c r="N37" s="120"/>
      <c r="O37" s="111"/>
    </row>
    <row r="38" spans="1:15" x14ac:dyDescent="0.2">
      <c r="A38" s="100" t="str">
        <f>'INN Rollups 2021'!S40</f>
        <v>National: Single-Topic</v>
      </c>
      <c r="B38" s="68">
        <v>2021</v>
      </c>
      <c r="C38" s="68">
        <f>'INN Rollups 2021'!U40</f>
        <v>21</v>
      </c>
      <c r="D38" s="107">
        <f>'INN Rollups 2021'!V43</f>
        <v>0.95785516662998882</v>
      </c>
      <c r="E38" s="107">
        <f>'INN Rollups 2021'!V44</f>
        <v>4.2144833370011188E-2</v>
      </c>
      <c r="F38" s="114">
        <f>'INN Rollups 2021'!W43</f>
        <v>3139098.2609999999</v>
      </c>
      <c r="G38" s="115">
        <f>'INN Rollups 2021'!W44</f>
        <v>162491.43705882353</v>
      </c>
      <c r="H38" s="107">
        <f>'INN Rollups 2021'!V47</f>
        <v>0.62287298093414212</v>
      </c>
      <c r="I38" s="107">
        <f>'INN Rollups 2021'!V48</f>
        <v>0.37712701906585777</v>
      </c>
      <c r="J38" s="114">
        <f>'INN Rollups 2021'!W47</f>
        <v>1375785.7085000002</v>
      </c>
      <c r="K38" s="115">
        <f>'INN Rollups 2021'!W48</f>
        <v>832988.39249999996</v>
      </c>
      <c r="L38" s="107">
        <f>'INN Rollups 2021'!V51</f>
        <v>0.6129119031607263</v>
      </c>
      <c r="M38" s="125">
        <f>'INN Rollups 2021'!V52</f>
        <v>0.3870880968392737</v>
      </c>
      <c r="N38" s="119">
        <f>'INN Rollups 2021'!W51</f>
        <v>11.3925</v>
      </c>
      <c r="O38" s="108">
        <f>'INN Rollups 2021'!W52</f>
        <v>8.4647058823529413</v>
      </c>
    </row>
    <row r="39" spans="1:15" x14ac:dyDescent="0.2">
      <c r="A39" s="99"/>
      <c r="B39" s="106">
        <v>2020</v>
      </c>
      <c r="C39" s="106">
        <f>'INN Rollups 2020'!U41</f>
        <v>14</v>
      </c>
      <c r="D39" s="103">
        <f>'INN Rollups 2020'!V44</f>
        <v>0.92691465343397161</v>
      </c>
      <c r="E39" s="103">
        <f>'INN Rollups 2020'!V45</f>
        <v>7.3085346566028372E-2</v>
      </c>
      <c r="F39" s="123">
        <f>'INN Rollups 2020'!W44</f>
        <v>2306679.3050000002</v>
      </c>
      <c r="G39" s="124">
        <f>'INN Rollups 2020'!W45</f>
        <v>202085.55555555556</v>
      </c>
      <c r="H39" s="103">
        <f>'INN Rollups 2020'!V48</f>
        <v>0.58640593943660568</v>
      </c>
      <c r="I39" s="103">
        <f>'INN Rollups 2020'!V49</f>
        <v>0.41359406056339437</v>
      </c>
      <c r="J39" s="123">
        <f>'INN Rollups 2020'!W48</f>
        <v>1365906.5</v>
      </c>
      <c r="K39" s="124">
        <f>'INN Rollups 2020'!W49</f>
        <v>1070420.4444444445</v>
      </c>
      <c r="L39" s="103">
        <f>'INN Rollups 2020'!V52</f>
        <v>0.72884323567176368</v>
      </c>
      <c r="M39" s="103">
        <f>'INN Rollups 2020'!V53</f>
        <v>0.27115676432823627</v>
      </c>
      <c r="N39" s="126">
        <f>'INN Rollups 2020'!W52</f>
        <v>12.007692307692308</v>
      </c>
      <c r="O39" s="104">
        <f>'INN Rollups 2020'!W53</f>
        <v>4.4673076923076929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1AB8-D160-472C-AAE2-5D585917D69E}">
  <sheetPr>
    <tabColor theme="7" tint="0.39997558519241921"/>
  </sheetPr>
  <dimension ref="A1:CP38"/>
  <sheetViews>
    <sheetView zoomScale="115" zoomScaleNormal="115" zoomScaleSheetLayoutView="115" workbookViewId="0">
      <pane xSplit="4" ySplit="7" topLeftCell="E8" activePane="bottomRight" state="frozen"/>
      <selection pane="topRight" activeCell="D1" sqref="D1"/>
      <selection pane="bottomLeft" activeCell="A8" sqref="A8"/>
      <selection pane="bottomRight" activeCell="CP1" sqref="CP1"/>
    </sheetView>
  </sheetViews>
  <sheetFormatPr baseColWidth="10" defaultColWidth="9.1640625" defaultRowHeight="12" x14ac:dyDescent="0.15"/>
  <cols>
    <col min="1" max="1" width="4" style="137" customWidth="1"/>
    <col min="2" max="2" width="3.33203125" style="137" customWidth="1"/>
    <col min="3" max="3" width="4.1640625" style="137" customWidth="1"/>
    <col min="4" max="4" width="39" style="137" customWidth="1"/>
    <col min="5" max="5" width="12.6640625" style="137" customWidth="1"/>
    <col min="6" max="6" width="5.5" style="137" bestFit="1" customWidth="1"/>
    <col min="7" max="7" width="2.5" style="137" customWidth="1"/>
    <col min="8" max="8" width="12.6640625" style="137" customWidth="1"/>
    <col min="9" max="9" width="5.5" style="137" bestFit="1" customWidth="1"/>
    <col min="10" max="10" width="2.5" style="137" customWidth="1"/>
    <col min="11" max="11" width="12.6640625" style="137" customWidth="1"/>
    <col min="12" max="12" width="5.5" style="137" bestFit="1" customWidth="1"/>
    <col min="13" max="13" width="2.5" style="137" customWidth="1"/>
    <col min="14" max="14" width="12.6640625" style="137" customWidth="1"/>
    <col min="15" max="15" width="5.5" style="137" bestFit="1" customWidth="1"/>
    <col min="16" max="16" width="2.5" style="137" customWidth="1"/>
    <col min="17" max="17" width="12.6640625" style="137" customWidth="1"/>
    <col min="18" max="18" width="5.5" style="137" bestFit="1" customWidth="1"/>
    <col min="19" max="19" width="2.5" style="137" customWidth="1"/>
    <col min="20" max="20" width="12.6640625" style="137" customWidth="1"/>
    <col min="21" max="21" width="5.5" style="137" bestFit="1" customWidth="1"/>
    <col min="22" max="22" width="2.5" style="137" customWidth="1"/>
    <col min="23" max="23" width="12.6640625" style="137" customWidth="1"/>
    <col min="24" max="24" width="5.5" style="137" bestFit="1" customWidth="1"/>
    <col min="25" max="25" width="2.5" style="137" customWidth="1"/>
    <col min="26" max="26" width="12.6640625" style="137" customWidth="1"/>
    <col min="27" max="27" width="5.5" style="137" bestFit="1" customWidth="1"/>
    <col min="28" max="28" width="2.5" style="137" customWidth="1"/>
    <col min="29" max="29" width="12.6640625" style="137" customWidth="1"/>
    <col min="30" max="30" width="5.5" style="137" bestFit="1" customWidth="1"/>
    <col min="31" max="31" width="2.5" style="137" customWidth="1"/>
    <col min="32" max="32" width="12.6640625" style="137" customWidth="1"/>
    <col min="33" max="33" width="5.5" style="137" bestFit="1" customWidth="1"/>
    <col min="34" max="34" width="2.5" style="137" customWidth="1"/>
    <col min="35" max="35" width="12.6640625" style="137" customWidth="1"/>
    <col min="36" max="36" width="5.5" style="137" bestFit="1" customWidth="1"/>
    <col min="37" max="37" width="2.5" style="137" customWidth="1"/>
    <col min="38" max="38" width="12.6640625" style="137" customWidth="1"/>
    <col min="39" max="39" width="5.5" style="137" bestFit="1" customWidth="1"/>
    <col min="40" max="40" width="2.5" style="137" customWidth="1"/>
    <col min="41" max="41" width="12.6640625" style="137" customWidth="1"/>
    <col min="42" max="42" width="5.5" style="137" bestFit="1" customWidth="1"/>
    <col min="43" max="43" width="2.5" style="137" customWidth="1"/>
    <col min="44" max="44" width="12.6640625" style="137" customWidth="1"/>
    <col min="45" max="45" width="5.5" style="137" bestFit="1" customWidth="1"/>
    <col min="46" max="46" width="2.5" style="137" customWidth="1"/>
    <col min="47" max="47" width="12.6640625" style="137" customWidth="1"/>
    <col min="48" max="48" width="5.5" style="137" bestFit="1" customWidth="1"/>
    <col min="49" max="49" width="2.5" style="137" customWidth="1"/>
    <col min="50" max="50" width="12.6640625" style="137" customWidth="1"/>
    <col min="51" max="51" width="5.5" style="137" bestFit="1" customWidth="1"/>
    <col min="52" max="52" width="2.5" style="137" customWidth="1"/>
    <col min="53" max="53" width="12.6640625" style="137" customWidth="1"/>
    <col min="54" max="54" width="5.5" style="137" bestFit="1" customWidth="1"/>
    <col min="55" max="55" width="2.5" style="137" customWidth="1"/>
    <col min="56" max="56" width="12.6640625" style="137" customWidth="1"/>
    <col min="57" max="57" width="5.5" style="137" bestFit="1" customWidth="1"/>
    <col min="58" max="58" width="2.5" style="137" customWidth="1"/>
    <col min="59" max="59" width="12.6640625" style="137" customWidth="1"/>
    <col min="60" max="60" width="5.5" style="137" bestFit="1" customWidth="1"/>
    <col min="61" max="61" width="2.5" style="137" customWidth="1"/>
    <col min="62" max="62" width="12.6640625" style="137" customWidth="1"/>
    <col min="63" max="63" width="5.5" style="137" bestFit="1" customWidth="1"/>
    <col min="64" max="64" width="2.5" style="137" customWidth="1"/>
    <col min="65" max="65" width="12.6640625" style="137" customWidth="1"/>
    <col min="66" max="66" width="5.5" style="137" bestFit="1" customWidth="1"/>
    <col min="67" max="67" width="2.5" style="137" customWidth="1"/>
    <col min="68" max="68" width="12.6640625" style="137" customWidth="1"/>
    <col min="69" max="69" width="6.1640625" style="137" bestFit="1" customWidth="1"/>
    <col min="70" max="70" width="2.5" style="137" customWidth="1"/>
    <col min="71" max="71" width="12.6640625" style="137" customWidth="1"/>
    <col min="72" max="72" width="5.5" style="137" bestFit="1" customWidth="1"/>
    <col min="73" max="73" width="2.5" style="137" customWidth="1"/>
    <col min="74" max="74" width="12.6640625" style="137" customWidth="1"/>
    <col min="75" max="75" width="5.5" style="137" bestFit="1" customWidth="1"/>
    <col min="76" max="76" width="2.5" style="137" customWidth="1"/>
    <col min="77" max="77" width="12.6640625" style="137" customWidth="1"/>
    <col min="78" max="78" width="9.5" style="137" bestFit="1" customWidth="1"/>
    <col min="79" max="79" width="2.5" style="137" customWidth="1"/>
    <col min="80" max="80" width="12.6640625" style="137" customWidth="1"/>
    <col min="81" max="81" width="6.1640625" style="137" customWidth="1"/>
    <col min="82" max="82" width="2.5" style="137" customWidth="1"/>
    <col min="83" max="83" width="12.6640625" style="137" customWidth="1"/>
    <col min="84" max="84" width="8.33203125" style="137" customWidth="1"/>
    <col min="85" max="85" width="2.5" style="137" customWidth="1"/>
    <col min="86" max="86" width="12.6640625" style="137" customWidth="1"/>
    <col min="87" max="87" width="6.1640625" style="137" bestFit="1" customWidth="1"/>
    <col min="88" max="88" width="2.5" style="137" customWidth="1"/>
    <col min="89" max="89" width="12.6640625" style="137" customWidth="1"/>
    <col min="90" max="90" width="6.1640625" style="137" bestFit="1" customWidth="1"/>
    <col min="91" max="91" width="2.5" style="137" customWidth="1"/>
    <col min="92" max="92" width="12.6640625" style="137" customWidth="1"/>
    <col min="93" max="93" width="6.1640625" style="137" bestFit="1" customWidth="1"/>
    <col min="94" max="94" width="2.5" style="137" customWidth="1"/>
    <col min="95" max="16384" width="9.1640625" style="137"/>
  </cols>
  <sheetData>
    <row r="1" spans="1:94" x14ac:dyDescent="0.15">
      <c r="B1" s="136" t="s">
        <v>0</v>
      </c>
      <c r="CI1" s="213"/>
      <c r="CL1" s="213"/>
      <c r="CO1" s="213"/>
      <c r="CP1" s="213"/>
    </row>
    <row r="2" spans="1:94" x14ac:dyDescent="0.15">
      <c r="B2" s="136" t="s">
        <v>2</v>
      </c>
    </row>
    <row r="3" spans="1:94" x14ac:dyDescent="0.15">
      <c r="B3" s="138" t="str">
        <f>INSTRUCTIONS!A3</f>
        <v>March 2022</v>
      </c>
    </row>
    <row r="4" spans="1:94" x14ac:dyDescent="0.15">
      <c r="B4" s="136" t="s">
        <v>240</v>
      </c>
      <c r="C4" s="136"/>
      <c r="D4" s="136"/>
    </row>
    <row r="6" spans="1:94" ht="26" x14ac:dyDescent="0.15">
      <c r="A6" s="137">
        <v>1</v>
      </c>
      <c r="E6" s="169" t="str">
        <f>'Dropdown Menus'!E14</f>
        <v>Hyper-local: General</v>
      </c>
      <c r="F6" s="169"/>
      <c r="G6" s="169" t="s">
        <v>70</v>
      </c>
      <c r="H6" s="169" t="str">
        <f>'Dropdown Menus'!E2</f>
        <v>Local: General</v>
      </c>
      <c r="I6" s="169"/>
      <c r="J6" s="169" t="s">
        <v>70</v>
      </c>
      <c r="K6" s="169" t="str">
        <f>'Dropdown Menus'!E3</f>
        <v>Local: Multiple Related Topics</v>
      </c>
      <c r="L6" s="169"/>
      <c r="M6" s="169" t="s">
        <v>70</v>
      </c>
      <c r="N6" s="169" t="str">
        <f>'Dropdown Menus'!E4</f>
        <v>Local: Single-Topic</v>
      </c>
      <c r="O6" s="169"/>
      <c r="P6" s="169" t="s">
        <v>70</v>
      </c>
      <c r="Q6" s="169" t="str">
        <f>'Dropdown Menus'!F2</f>
        <v>Local: Explanatory &amp; Analysis</v>
      </c>
      <c r="R6" s="169"/>
      <c r="S6" s="169"/>
      <c r="T6" s="169" t="str">
        <f>'Dropdown Menus'!F3</f>
        <v>Local: Investigative</v>
      </c>
      <c r="U6" s="169"/>
      <c r="V6" s="169"/>
      <c r="W6" s="169" t="str">
        <f>'Dropdown Menus'!F4</f>
        <v>Local: Current News &amp; Events</v>
      </c>
      <c r="X6" s="169"/>
      <c r="Y6" s="169"/>
      <c r="Z6" s="169" t="str">
        <f>'Dropdown Menus'!E5</f>
        <v>State: General</v>
      </c>
      <c r="AA6" s="169"/>
      <c r="AB6" s="169" t="s">
        <v>70</v>
      </c>
      <c r="AC6" s="169" t="str">
        <f>'Dropdown Menus'!E6</f>
        <v>State: Multiple Related Topics</v>
      </c>
      <c r="AD6" s="169"/>
      <c r="AE6" s="169" t="s">
        <v>70</v>
      </c>
      <c r="AF6" s="169" t="str">
        <f>'Dropdown Menus'!E7</f>
        <v>State: Single-Topic</v>
      </c>
      <c r="AG6" s="169"/>
      <c r="AH6" s="169" t="s">
        <v>70</v>
      </c>
      <c r="AI6" s="169" t="str">
        <f>'Dropdown Menus'!F5</f>
        <v>State: Explanatory &amp; Analysis</v>
      </c>
      <c r="AJ6" s="169"/>
      <c r="AK6" s="169"/>
      <c r="AL6" s="169" t="str">
        <f>'Dropdown Menus'!F6</f>
        <v>State: Investigative</v>
      </c>
      <c r="AM6" s="169"/>
      <c r="AN6" s="169"/>
      <c r="AO6" s="169" t="str">
        <f>'Dropdown Menus'!F7</f>
        <v>State: Current News &amp; Events</v>
      </c>
      <c r="AP6" s="169"/>
      <c r="AQ6" s="169"/>
      <c r="AR6" s="169" t="str">
        <f>'Dropdown Menus'!E8</f>
        <v>Regional: General</v>
      </c>
      <c r="AS6" s="169"/>
      <c r="AT6" s="169" t="s">
        <v>70</v>
      </c>
      <c r="AU6" s="169" t="str">
        <f>'Dropdown Menus'!E9</f>
        <v>Regional: Multiple Related Topics</v>
      </c>
      <c r="AV6" s="169"/>
      <c r="AW6" s="169" t="s">
        <v>70</v>
      </c>
      <c r="AX6" s="169" t="str">
        <f>'Dropdown Menus'!E10</f>
        <v>Regional: Single-Topic</v>
      </c>
      <c r="AY6" s="169"/>
      <c r="AZ6" s="169" t="s">
        <v>70</v>
      </c>
      <c r="BA6" s="169" t="str">
        <f>'Dropdown Menus'!F8</f>
        <v>Regional: Explanatory &amp; Analysis</v>
      </c>
      <c r="BB6" s="169"/>
      <c r="BC6" s="169"/>
      <c r="BD6" s="169" t="str">
        <f>'Dropdown Menus'!F9</f>
        <v>Regional: Investigative</v>
      </c>
      <c r="BE6" s="169"/>
      <c r="BF6" s="169"/>
      <c r="BG6" s="169" t="str">
        <f>'Dropdown Menus'!F10</f>
        <v>Regional: Current News &amp; Events</v>
      </c>
      <c r="BH6" s="169"/>
      <c r="BI6" s="169"/>
      <c r="BJ6" s="169" t="str">
        <f>'Dropdown Menus'!E11</f>
        <v>National: General</v>
      </c>
      <c r="BK6" s="169"/>
      <c r="BL6" s="169" t="s">
        <v>70</v>
      </c>
      <c r="BM6" s="169" t="str">
        <f>'Dropdown Menus'!E12</f>
        <v>National: Multiple Related Topics</v>
      </c>
      <c r="BN6" s="169"/>
      <c r="BO6" s="169" t="s">
        <v>70</v>
      </c>
      <c r="BP6" s="169" t="str">
        <f>'Dropdown Menus'!E13</f>
        <v>National: Single-Topic</v>
      </c>
      <c r="BQ6" s="169"/>
      <c r="BR6" s="169" t="s">
        <v>70</v>
      </c>
      <c r="BS6" s="169" t="str">
        <f>'Dropdown Menus'!F11</f>
        <v>National: Explanatory &amp; Analysis</v>
      </c>
      <c r="BT6" s="169"/>
      <c r="BU6" s="169"/>
      <c r="BV6" s="169" t="str">
        <f>'Dropdown Menus'!F12</f>
        <v>National: Investigative</v>
      </c>
      <c r="BW6" s="169"/>
      <c r="BX6" s="169"/>
      <c r="BY6" s="169" t="str">
        <f>'Dropdown Menus'!F13</f>
        <v>National: Current News &amp; Events</v>
      </c>
      <c r="BZ6" s="169"/>
      <c r="CA6" s="169"/>
      <c r="CB6" s="169" t="s">
        <v>71</v>
      </c>
      <c r="CC6" s="169"/>
      <c r="CD6" s="169" t="s">
        <v>70</v>
      </c>
      <c r="CE6" s="169" t="s">
        <v>72</v>
      </c>
      <c r="CF6" s="169"/>
      <c r="CG6" s="169" t="s">
        <v>70</v>
      </c>
      <c r="CH6" s="169" t="s">
        <v>241</v>
      </c>
      <c r="CI6" s="169"/>
      <c r="CJ6" s="169" t="s">
        <v>70</v>
      </c>
      <c r="CK6" s="169" t="s">
        <v>242</v>
      </c>
      <c r="CL6" s="169"/>
      <c r="CM6" s="169" t="s">
        <v>70</v>
      </c>
      <c r="CN6" s="169" t="s">
        <v>243</v>
      </c>
      <c r="CO6" s="169"/>
      <c r="CP6" s="169" t="s">
        <v>70</v>
      </c>
    </row>
    <row r="7" spans="1:94" ht="13" x14ac:dyDescent="0.15">
      <c r="A7" s="137">
        <f>A6+1</f>
        <v>2</v>
      </c>
      <c r="E7" s="279" t="s">
        <v>244</v>
      </c>
      <c r="F7" s="160"/>
      <c r="G7" s="160" t="s">
        <v>70</v>
      </c>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279" t="s">
        <v>244</v>
      </c>
      <c r="CC7" s="160"/>
      <c r="CD7" s="160"/>
      <c r="CE7" s="279" t="s">
        <v>244</v>
      </c>
      <c r="CF7" s="160"/>
      <c r="CG7" s="160"/>
      <c r="CH7" s="279" t="s">
        <v>244</v>
      </c>
      <c r="CI7" s="160"/>
      <c r="CJ7" s="160"/>
      <c r="CK7" s="279" t="s">
        <v>244</v>
      </c>
      <c r="CL7" s="160"/>
      <c r="CM7" s="160"/>
      <c r="CN7" s="279" t="s">
        <v>244</v>
      </c>
      <c r="CO7" s="160"/>
      <c r="CP7" s="160"/>
    </row>
    <row r="8" spans="1:94" x14ac:dyDescent="0.15">
      <c r="A8" s="137">
        <f t="shared" ref="A8:A38" si="0">A7+1</f>
        <v>3</v>
      </c>
      <c r="B8" s="170" t="s">
        <v>245</v>
      </c>
      <c r="C8" s="171"/>
      <c r="D8" s="171"/>
      <c r="E8" s="172"/>
      <c r="AF8" s="173"/>
    </row>
    <row r="9" spans="1:94" x14ac:dyDescent="0.15">
      <c r="A9" s="137">
        <f t="shared" si="0"/>
        <v>4</v>
      </c>
      <c r="B9" s="174"/>
      <c r="C9" s="175" t="s">
        <v>246</v>
      </c>
      <c r="D9" s="174"/>
      <c r="E9" s="172"/>
      <c r="AF9" s="173"/>
      <c r="AR9" s="173"/>
      <c r="AS9" s="176"/>
      <c r="AY9" s="176"/>
      <c r="BP9" s="173"/>
      <c r="CB9" s="173"/>
      <c r="CE9" s="173"/>
      <c r="CH9" s="173"/>
      <c r="CK9" s="173"/>
      <c r="CN9" s="173"/>
    </row>
    <row r="10" spans="1:94" x14ac:dyDescent="0.15">
      <c r="A10" s="137">
        <f t="shared" si="0"/>
        <v>5</v>
      </c>
      <c r="B10" s="171"/>
      <c r="C10" s="136"/>
      <c r="D10" s="136" t="s">
        <v>134</v>
      </c>
      <c r="E10" s="177"/>
      <c r="F10" s="176"/>
      <c r="G10" s="167"/>
      <c r="H10" s="256">
        <f>'INN Income Splits'!F9</f>
        <v>218884.81978260871</v>
      </c>
      <c r="I10" s="176">
        <f>H10/H$14</f>
        <v>0.46562431666767068</v>
      </c>
      <c r="J10" s="167"/>
      <c r="K10" s="173">
        <f>'INN Income Splits'!F28</f>
        <v>401868.64399999997</v>
      </c>
      <c r="L10" s="178">
        <f>K10/$K$14</f>
        <v>0.57006063239402649</v>
      </c>
      <c r="N10" s="173">
        <f>'INN Income Splits'!F46</f>
        <v>133183.4</v>
      </c>
      <c r="O10" s="179">
        <f>N10/$N$14</f>
        <v>0.29041683959137615</v>
      </c>
      <c r="P10" s="179"/>
      <c r="Q10" s="256">
        <f>'INN Income Splits'!F64</f>
        <v>236082.644</v>
      </c>
      <c r="R10" s="179">
        <f>Q10/$Q$14</f>
        <v>0.54973444954276496</v>
      </c>
      <c r="S10" s="179"/>
      <c r="T10" s="256">
        <f>'INN Income Splits'!F82</f>
        <v>199414.17391304349</v>
      </c>
      <c r="U10" s="179">
        <f>T10/$T$14</f>
        <v>0.45220934091677484</v>
      </c>
      <c r="V10" s="179"/>
      <c r="W10" s="256">
        <f>'INN Income Splits'!F100</f>
        <v>337993.31107142859</v>
      </c>
      <c r="X10" s="179">
        <f>W10/$W$14</f>
        <v>0.50819080693489138</v>
      </c>
      <c r="Y10" s="179"/>
      <c r="Z10" s="173">
        <f>'INN Income Splits'!O9</f>
        <v>336452.80375000002</v>
      </c>
      <c r="AA10" s="178">
        <f>Z10/$Z$14</f>
        <v>0.29371838051708576</v>
      </c>
      <c r="AB10" s="179"/>
      <c r="AC10" s="173">
        <f>'INN Income Splits'!O28</f>
        <v>633893.65956521744</v>
      </c>
      <c r="AD10" s="178">
        <f>AC10/$AC$14</f>
        <v>0.40314004540023091</v>
      </c>
      <c r="AE10" s="179"/>
      <c r="AF10" s="173">
        <f>'INN Income Splits'!O46</f>
        <v>766903.28571428568</v>
      </c>
      <c r="AG10" s="176">
        <f>AF10/$AF$14</f>
        <v>0.84203677856052761</v>
      </c>
      <c r="AH10" s="179"/>
      <c r="AI10" s="173">
        <f>'INN Income Splits'!O64</f>
        <v>672987.21052631584</v>
      </c>
      <c r="AJ10" s="179">
        <f>AI10/$AI$14</f>
        <v>0.38548975389220064</v>
      </c>
      <c r="AK10" s="179"/>
      <c r="AL10" s="256">
        <f>'INN Income Splits'!O82</f>
        <v>522940.39699999988</v>
      </c>
      <c r="AM10" s="179">
        <f>AL10/AL14</f>
        <v>0.43211312769614718</v>
      </c>
      <c r="AN10" s="179"/>
      <c r="AO10" s="256">
        <f>'INN Income Splits'!O100</f>
        <v>336159.25142857141</v>
      </c>
      <c r="AP10" s="179">
        <f>AO10/$AO$14</f>
        <v>0.37001388371743099</v>
      </c>
      <c r="AQ10" s="179"/>
      <c r="AR10" s="173">
        <f>'INN Income Splits'!X9</f>
        <v>154872.75</v>
      </c>
      <c r="AS10" s="178">
        <f>AR10/$AR$14</f>
        <v>5.3624971824731846E-2</v>
      </c>
      <c r="AT10" s="179"/>
      <c r="AU10" s="173">
        <f>'INN Income Splits'!X28</f>
        <v>153498.6</v>
      </c>
      <c r="AV10" s="178">
        <f>AU10/$AU$14</f>
        <v>0.41525131007046728</v>
      </c>
      <c r="AW10" s="179"/>
      <c r="AX10" s="173">
        <f>'INN Income Splits'!X46</f>
        <v>354606.5</v>
      </c>
      <c r="AY10" s="176">
        <f>AX10/$AX$14</f>
        <v>0.51542790074295708</v>
      </c>
      <c r="AZ10" s="179"/>
      <c r="BA10" s="256">
        <f>'INN Income Splits'!X64</f>
        <v>256565</v>
      </c>
      <c r="BB10" s="179">
        <f>BA10/$BA$14</f>
        <v>0.15746804097444544</v>
      </c>
      <c r="BC10" s="179"/>
      <c r="BD10" s="256">
        <f>'INN Income Splits'!X82</f>
        <v>182986.57142857142</v>
      </c>
      <c r="BE10" s="179">
        <f>BD10/$BD$14</f>
        <v>0.51056588984340279</v>
      </c>
      <c r="BF10" s="179"/>
      <c r="BG10" s="256">
        <f>'INN Income Splits'!X100</f>
        <v>222052</v>
      </c>
      <c r="BH10" s="179">
        <f>BG10/$BG$14</f>
        <v>0.93824061926280855</v>
      </c>
      <c r="BI10" s="179"/>
      <c r="BJ10" s="173">
        <f>'INN Income Splits'!AG9</f>
        <v>2649128.80375</v>
      </c>
      <c r="BK10" s="178">
        <f>BJ10/$BJ$14</f>
        <v>0.31290325775765554</v>
      </c>
      <c r="BL10" s="179"/>
      <c r="BM10" s="173">
        <f>'INN Income Splits'!AG28</f>
        <v>1233064.375</v>
      </c>
      <c r="BN10" s="176">
        <f>BM10/$BM$14</f>
        <v>0.54055936763219525</v>
      </c>
      <c r="BO10" s="179"/>
      <c r="BP10" s="173">
        <f>'INN Income Splits'!AG46</f>
        <v>1593105.9355555556</v>
      </c>
      <c r="BQ10" s="178">
        <f>BP10/$BP$14</f>
        <v>0.46087382093209106</v>
      </c>
      <c r="BR10" s="179"/>
      <c r="BS10" s="256">
        <f>'INN Income Splits'!AG64</f>
        <v>861863.35636363633</v>
      </c>
      <c r="BT10" s="179">
        <f>BS10/$BS$14</f>
        <v>0.44939346765002469</v>
      </c>
      <c r="BU10" s="179"/>
      <c r="BV10" s="256">
        <f>'INN Income Splits'!AG82</f>
        <v>2094934.8691666666</v>
      </c>
      <c r="BW10" s="179">
        <f>BV10/$BV$14</f>
        <v>0.36648348514922113</v>
      </c>
      <c r="BX10" s="179"/>
      <c r="BY10" s="256">
        <f>'INN Income Splits'!AG100</f>
        <v>3187219.375</v>
      </c>
      <c r="BZ10" s="179">
        <f>BY10/$BY$14</f>
        <v>0.46732613656170707</v>
      </c>
      <c r="CA10" s="179"/>
      <c r="CB10" s="173"/>
      <c r="CC10" s="178">
        <f>CB10/$CB$14</f>
        <v>0</v>
      </c>
      <c r="CD10" s="179"/>
      <c r="CE10" s="173"/>
      <c r="CF10" s="178">
        <f>CE10/$CE$14</f>
        <v>0</v>
      </c>
      <c r="CG10" s="179"/>
      <c r="CH10" s="173"/>
      <c r="CI10" s="178"/>
      <c r="CJ10" s="179"/>
      <c r="CK10" s="173"/>
      <c r="CL10" s="178"/>
      <c r="CM10" s="179"/>
      <c r="CN10" s="173"/>
      <c r="CO10" s="178"/>
      <c r="CP10" s="179"/>
    </row>
    <row r="11" spans="1:94" x14ac:dyDescent="0.15">
      <c r="A11" s="137">
        <f t="shared" si="0"/>
        <v>6</v>
      </c>
      <c r="B11" s="174"/>
      <c r="C11" s="136"/>
      <c r="D11" s="136" t="s">
        <v>135</v>
      </c>
      <c r="E11" s="177"/>
      <c r="F11" s="176"/>
      <c r="G11" s="167"/>
      <c r="H11" s="256">
        <f>'INN Income Splits'!F10</f>
        <v>102236.50937499999</v>
      </c>
      <c r="I11" s="176">
        <f t="shared" ref="I11:I13" si="1">H11/H$14</f>
        <v>0.21748335432078508</v>
      </c>
      <c r="J11" s="167"/>
      <c r="K11" s="173">
        <f>'INN Income Splits'!F29</f>
        <v>100862.508</v>
      </c>
      <c r="L11" s="178">
        <f t="shared" ref="L11:L13" si="2">K11/$K$14</f>
        <v>0.14307596761723854</v>
      </c>
      <c r="N11" s="173">
        <f>'INN Income Splits'!F47</f>
        <v>7542.8133333333344</v>
      </c>
      <c r="O11" s="179">
        <f t="shared" ref="O11:O13" si="3">N11/$N$14</f>
        <v>1.6447695507806229E-2</v>
      </c>
      <c r="P11" s="179"/>
      <c r="Q11" s="256">
        <f>'INN Income Splits'!F65</f>
        <v>25196.196</v>
      </c>
      <c r="R11" s="179">
        <f t="shared" ref="R11:R13" si="4">Q11/$Q$14</f>
        <v>5.8671051390934169E-2</v>
      </c>
      <c r="S11" s="179"/>
      <c r="T11" s="256">
        <f>'INN Income Splits'!F83</f>
        <v>43962.375</v>
      </c>
      <c r="U11" s="179">
        <f t="shared" ref="U11:U13" si="5">T11/$T$14</f>
        <v>9.969299691081665E-2</v>
      </c>
      <c r="V11" s="179"/>
      <c r="W11" s="256">
        <f>'INN Income Splits'!F101</f>
        <v>153185.92272727273</v>
      </c>
      <c r="X11" s="179">
        <f t="shared" ref="X11:X13" si="6">W11/$W$14</f>
        <v>0.23032313105565275</v>
      </c>
      <c r="Y11" s="179"/>
      <c r="Z11" s="173">
        <f>'INN Income Splits'!O10</f>
        <v>408926.20400000003</v>
      </c>
      <c r="AA11" s="178">
        <f t="shared" ref="AA11:AA13" si="7">Z11/$Z$14</f>
        <v>0.35698659975836039</v>
      </c>
      <c r="AB11" s="179"/>
      <c r="AC11" s="173">
        <f>'INN Income Splits'!O29</f>
        <v>237186.25</v>
      </c>
      <c r="AD11" s="178">
        <f t="shared" ref="AD11:AD13" si="8">AC11/$AC$14</f>
        <v>0.15084434770793417</v>
      </c>
      <c r="AE11" s="179"/>
      <c r="AF11" s="173">
        <f>'INN Income Splits'!O47</f>
        <v>2220</v>
      </c>
      <c r="AG11" s="176">
        <f t="shared" ref="AG11:AG13" si="9">AF11/$AF$14</f>
        <v>2.4374933361555554E-3</v>
      </c>
      <c r="AH11" s="179"/>
      <c r="AI11" s="173">
        <f>'INN Income Splits'!O65</f>
        <v>429193</v>
      </c>
      <c r="AJ11" s="179">
        <f t="shared" ref="AJ11:AJ13" si="10">AI11/$AI$14</f>
        <v>0.24584345936212362</v>
      </c>
      <c r="AK11" s="179"/>
      <c r="AL11" s="256">
        <f>'INN Income Splits'!O83</f>
        <v>304355.33333333331</v>
      </c>
      <c r="AM11" s="179">
        <f>AL11/$AL$14</f>
        <v>0.2514931639860864</v>
      </c>
      <c r="AN11" s="179"/>
      <c r="AO11" s="256">
        <f>'INN Income Splits'!O101</f>
        <v>121919.34000000001</v>
      </c>
      <c r="AP11" s="179">
        <f t="shared" ref="AP11:AP13" si="11">AO11/$AO$14</f>
        <v>0.13419784909073521</v>
      </c>
      <c r="AQ11" s="179"/>
      <c r="AR11" s="173">
        <f>'INN Income Splits'!X10</f>
        <v>18760</v>
      </c>
      <c r="AS11" s="178">
        <f t="shared" ref="AS11:AS13" si="12">AR11/$AR$14</f>
        <v>6.4956841757634531E-3</v>
      </c>
      <c r="AT11" s="179"/>
      <c r="AU11" s="173">
        <f>'INN Income Splits'!X29</f>
        <v>81765.666666666672</v>
      </c>
      <c r="AV11" s="178">
        <f t="shared" ref="AV11:AV13" si="13">AU11/$AU$14</f>
        <v>0.22119615554877028</v>
      </c>
      <c r="AW11" s="179"/>
      <c r="AX11" s="173">
        <f>'INN Income Splits'!X47</f>
        <v>234050</v>
      </c>
      <c r="AY11" s="176">
        <f t="shared" ref="AY11:AY13" si="14">AX11/$AX$14</f>
        <v>0.34019652817669477</v>
      </c>
      <c r="AZ11" s="179"/>
      <c r="BA11" s="256">
        <f>'INN Income Splits'!X65</f>
        <v>76396.666666666672</v>
      </c>
      <c r="BB11" s="179">
        <f t="shared" ref="BB11:BB13" si="15">BA11/$BA$14</f>
        <v>4.6888832993501522E-2</v>
      </c>
      <c r="BC11" s="179"/>
      <c r="BD11" s="256">
        <f>'INN Income Splits'!X83</f>
        <v>95892.333333333328</v>
      </c>
      <c r="BE11" s="179">
        <f t="shared" ref="BE11:BE13" si="16">BD11/$BD$14</f>
        <v>0.26755708965564584</v>
      </c>
      <c r="BF11" s="179"/>
      <c r="BG11" s="256">
        <f>'INN Income Splits'!X101</f>
        <v>0</v>
      </c>
      <c r="BH11" s="179">
        <f t="shared" ref="BH11:BH13" si="17">BG11/$BG$14</f>
        <v>0</v>
      </c>
      <c r="BI11" s="179"/>
      <c r="BJ11" s="173">
        <f>'INN Income Splits'!AG10</f>
        <v>1927125.92</v>
      </c>
      <c r="BK11" s="178">
        <f t="shared" ref="BK11:BK13" si="18">BJ11/$BJ$14</f>
        <v>0.22762350310171062</v>
      </c>
      <c r="BL11" s="179"/>
      <c r="BM11" s="173">
        <f>'INN Income Splits'!AG29</f>
        <v>269660.59999999998</v>
      </c>
      <c r="BN11" s="176">
        <f t="shared" ref="BN11:BN13" si="19">BM11/$BM$14</f>
        <v>0.11821569608749612</v>
      </c>
      <c r="BO11" s="179"/>
      <c r="BP11" s="173">
        <f>'INN Income Splits'!AG47</f>
        <v>124546.58749999999</v>
      </c>
      <c r="BQ11" s="178">
        <f t="shared" ref="BQ11:BQ13" si="20">BP11/$BP$14</f>
        <v>3.6030411025467127E-2</v>
      </c>
      <c r="BR11" s="179"/>
      <c r="BS11" s="256">
        <f>'INN Income Splits'!AG65</f>
        <v>201954.71666666667</v>
      </c>
      <c r="BT11" s="179">
        <f t="shared" ref="BT11:BT13" si="21">BS11/$BS$14</f>
        <v>0.10530338685477125</v>
      </c>
      <c r="BU11" s="179"/>
      <c r="BV11" s="256">
        <f>'INN Income Splits'!AG83</f>
        <v>1156615.46</v>
      </c>
      <c r="BW11" s="179">
        <f t="shared" ref="BW11:BW13" si="22">BV11/$BV$14</f>
        <v>0.20233586781000154</v>
      </c>
      <c r="BX11" s="179"/>
      <c r="BY11" s="256">
        <f>'INN Income Splits'!AG101</f>
        <v>124328.02499999999</v>
      </c>
      <c r="BZ11" s="179">
        <f t="shared" ref="BZ11:BZ13" si="23">BY11/$BY$14</f>
        <v>1.8229600398810743E-2</v>
      </c>
      <c r="CA11" s="179"/>
      <c r="CB11" s="180"/>
      <c r="CC11" s="178"/>
      <c r="CD11" s="179"/>
      <c r="CE11" s="173">
        <f>'INN Income Splits'!AM47</f>
        <v>0</v>
      </c>
      <c r="CF11" s="178"/>
      <c r="CG11" s="179"/>
      <c r="CH11" s="173"/>
      <c r="CI11" s="178"/>
      <c r="CJ11" s="179"/>
      <c r="CK11" s="173"/>
      <c r="CL11" s="178"/>
      <c r="CM11" s="179"/>
      <c r="CN11" s="173"/>
      <c r="CO11" s="178"/>
      <c r="CP11" s="179"/>
    </row>
    <row r="12" spans="1:94" x14ac:dyDescent="0.15">
      <c r="A12" s="137">
        <f t="shared" si="0"/>
        <v>7</v>
      </c>
      <c r="B12" s="174"/>
      <c r="C12" s="136"/>
      <c r="D12" s="136" t="s">
        <v>247</v>
      </c>
      <c r="E12" s="177"/>
      <c r="F12" s="176"/>
      <c r="G12" s="167"/>
      <c r="H12" s="256">
        <f>'INN Income Splits'!F11</f>
        <v>107951.91428571429</v>
      </c>
      <c r="I12" s="176">
        <f t="shared" si="1"/>
        <v>0.22964149077206328</v>
      </c>
      <c r="J12" s="167"/>
      <c r="K12" s="173">
        <f>'INN Income Splits'!F30</f>
        <v>157759.90190476191</v>
      </c>
      <c r="L12" s="178">
        <f t="shared" si="2"/>
        <v>0.22378633115314209</v>
      </c>
      <c r="N12" s="173">
        <f>'INN Income Splits'!F48</f>
        <v>193248.38399999999</v>
      </c>
      <c r="O12" s="179">
        <f t="shared" si="3"/>
        <v>0.42139324373323295</v>
      </c>
      <c r="P12" s="179"/>
      <c r="Q12" s="256">
        <f>'INN Income Splits'!F66</f>
        <v>99512.426818181804</v>
      </c>
      <c r="R12" s="179">
        <f t="shared" si="4"/>
        <v>0.23172143556456379</v>
      </c>
      <c r="S12" s="179"/>
      <c r="T12" s="256">
        <f>'INN Income Splits'!F84</f>
        <v>134437.44083333336</v>
      </c>
      <c r="U12" s="179">
        <f t="shared" si="5"/>
        <v>0.30486231405140413</v>
      </c>
      <c r="V12" s="179"/>
      <c r="W12" s="256">
        <f>'INN Income Splits'!F102</f>
        <v>143209.36862068967</v>
      </c>
      <c r="X12" s="179">
        <f t="shared" si="6"/>
        <v>0.21532285467212808</v>
      </c>
      <c r="Y12" s="179"/>
      <c r="Z12" s="173">
        <f>'INN Income Splits'!O11</f>
        <v>350007.61600000004</v>
      </c>
      <c r="AA12" s="178">
        <f t="shared" si="7"/>
        <v>0.30555153351182629</v>
      </c>
      <c r="AB12" s="179"/>
      <c r="AC12" s="173">
        <f>'INN Income Splits'!O30</f>
        <v>655924.42260869569</v>
      </c>
      <c r="AD12" s="178">
        <f t="shared" si="8"/>
        <v>0.41715104342731529</v>
      </c>
      <c r="AE12" s="179"/>
      <c r="AF12" s="173">
        <f>'INN Income Splits'!O48</f>
        <v>141648.435</v>
      </c>
      <c r="AG12" s="176">
        <f t="shared" si="9"/>
        <v>0.1555257281033168</v>
      </c>
      <c r="AH12" s="179"/>
      <c r="AI12" s="173">
        <f>'INN Income Splits'!O66</f>
        <v>620242.7094736842</v>
      </c>
      <c r="AJ12" s="179">
        <f t="shared" si="10"/>
        <v>0.35527749367102246</v>
      </c>
      <c r="AK12" s="179"/>
      <c r="AL12" s="256">
        <f>'INN Income Splits'!O84</f>
        <v>342084.29249999998</v>
      </c>
      <c r="AM12" s="179">
        <f t="shared" ref="AM12:AM13" si="24">AL12/$AL$14</f>
        <v>0.28266914244129182</v>
      </c>
      <c r="AN12" s="179"/>
      <c r="AO12" s="256">
        <f>'INN Income Splits'!O102</f>
        <v>393708.89187499997</v>
      </c>
      <c r="AP12" s="179">
        <f t="shared" si="11"/>
        <v>0.4333593542872019</v>
      </c>
      <c r="AQ12" s="179"/>
      <c r="AR12" s="173">
        <f>'INN Income Splits'!X11</f>
        <v>2436495.6974999998</v>
      </c>
      <c r="AS12" s="178">
        <f t="shared" si="12"/>
        <v>0.84364107391079357</v>
      </c>
      <c r="AT12" s="179"/>
      <c r="AU12" s="173">
        <f>'INN Income Splits'!X30</f>
        <v>134388.02888888889</v>
      </c>
      <c r="AV12" s="178">
        <f t="shared" si="13"/>
        <v>0.36355253438076252</v>
      </c>
      <c r="AW12" s="179"/>
      <c r="AX12" s="173">
        <f>'INN Income Splits'!X48</f>
        <v>96328.181249999994</v>
      </c>
      <c r="AY12" s="176">
        <f t="shared" si="14"/>
        <v>0.14001500887342613</v>
      </c>
      <c r="AZ12" s="179"/>
      <c r="BA12" s="256">
        <f>'INN Income Splits'!X66</f>
        <v>1018410.0718181818</v>
      </c>
      <c r="BB12" s="179">
        <f t="shared" si="15"/>
        <v>0.62505423155088724</v>
      </c>
      <c r="BC12" s="179"/>
      <c r="BD12" s="256">
        <f>'INN Income Splits'!X84</f>
        <v>79520.618333333332</v>
      </c>
      <c r="BE12" s="179">
        <f t="shared" si="16"/>
        <v>0.22187702050095137</v>
      </c>
      <c r="BF12" s="179"/>
      <c r="BG12" s="256">
        <f>'INN Income Splits'!X102</f>
        <v>11616.5</v>
      </c>
      <c r="BH12" s="179">
        <f t="shared" si="17"/>
        <v>4.9083422593205264E-2</v>
      </c>
      <c r="BI12" s="179"/>
      <c r="BJ12" s="173">
        <f>'INN Income Splits'!AG11</f>
        <v>3362154.1412500003</v>
      </c>
      <c r="BK12" s="178">
        <f t="shared" si="18"/>
        <v>0.39712262476301946</v>
      </c>
      <c r="BL12" s="179"/>
      <c r="BM12" s="173">
        <f>'INN Income Splits'!AG30</f>
        <v>583545.26812499994</v>
      </c>
      <c r="BN12" s="176">
        <f t="shared" si="19"/>
        <v>0.25581864784830055</v>
      </c>
      <c r="BO12" s="179"/>
      <c r="BP12" s="173">
        <f>'INN Income Splits'!AG48</f>
        <v>1641286.1014999999</v>
      </c>
      <c r="BQ12" s="178">
        <f t="shared" si="20"/>
        <v>0.47481198830462978</v>
      </c>
      <c r="BR12" s="179"/>
      <c r="BS12" s="256">
        <f>'INN Income Splits'!AG66</f>
        <v>627342.51304347813</v>
      </c>
      <c r="BT12" s="179">
        <f t="shared" si="21"/>
        <v>0.32710942547827804</v>
      </c>
      <c r="BU12" s="179"/>
      <c r="BV12" s="256">
        <f>'INN Income Splits'!AG84</f>
        <v>2290264.1953846151</v>
      </c>
      <c r="BW12" s="179">
        <f t="shared" si="22"/>
        <v>0.40065398528160867</v>
      </c>
      <c r="BX12" s="179"/>
      <c r="BY12" s="256">
        <f>'INN Income Splits'!AG102</f>
        <v>3107170.8887500004</v>
      </c>
      <c r="BZ12" s="179">
        <f t="shared" si="23"/>
        <v>0.45558902486169262</v>
      </c>
      <c r="CA12" s="179"/>
      <c r="CB12" s="180"/>
      <c r="CC12" s="178"/>
      <c r="CD12" s="179"/>
      <c r="CE12" s="173">
        <f>'INN Income Splits'!AM48</f>
        <v>0</v>
      </c>
      <c r="CF12" s="178"/>
      <c r="CG12" s="179"/>
      <c r="CH12" s="173"/>
      <c r="CI12" s="178"/>
      <c r="CJ12" s="179"/>
      <c r="CK12" s="173"/>
      <c r="CL12" s="178"/>
      <c r="CM12" s="179"/>
      <c r="CN12" s="173"/>
      <c r="CO12" s="178"/>
      <c r="CP12" s="179"/>
    </row>
    <row r="13" spans="1:94" x14ac:dyDescent="0.15">
      <c r="A13" s="137">
        <f t="shared" si="0"/>
        <v>8</v>
      </c>
      <c r="B13" s="171"/>
      <c r="C13" s="181"/>
      <c r="D13" s="181" t="s">
        <v>248</v>
      </c>
      <c r="E13" s="182"/>
      <c r="F13" s="183"/>
      <c r="G13" s="179"/>
      <c r="H13" s="184">
        <f>'INN Income Splits'!F12</f>
        <v>41015.649999999994</v>
      </c>
      <c r="I13" s="183">
        <f t="shared" si="1"/>
        <v>8.7250838239481002E-2</v>
      </c>
      <c r="J13" s="179"/>
      <c r="K13" s="184">
        <f>'INN Income Splits'!F31</f>
        <v>44466.666666666664</v>
      </c>
      <c r="L13" s="183">
        <f t="shared" si="2"/>
        <v>6.30770688355929E-2</v>
      </c>
      <c r="N13" s="184">
        <f>'INN Income Splits'!F49</f>
        <v>124619.33333333333</v>
      </c>
      <c r="O13" s="185">
        <f t="shared" si="3"/>
        <v>0.27174222116758467</v>
      </c>
      <c r="P13" s="179"/>
      <c r="Q13" s="184">
        <f>'INN Income Splits'!F67</f>
        <v>68657.25</v>
      </c>
      <c r="R13" s="185">
        <f t="shared" si="4"/>
        <v>0.15987306350173713</v>
      </c>
      <c r="S13" s="179"/>
      <c r="T13" s="184">
        <f>'INN Income Splits'!F85</f>
        <v>63163.575000000004</v>
      </c>
      <c r="U13" s="185">
        <f t="shared" si="5"/>
        <v>0.1432353481210043</v>
      </c>
      <c r="V13" s="179"/>
      <c r="W13" s="184">
        <f>'INN Income Splits'!F103</f>
        <v>30702.75</v>
      </c>
      <c r="X13" s="185">
        <f t="shared" si="6"/>
        <v>4.616320733732765E-2</v>
      </c>
      <c r="Y13" s="179"/>
      <c r="Z13" s="184">
        <f>'INN Income Splits'!O12</f>
        <v>50107.924999999996</v>
      </c>
      <c r="AA13" s="183">
        <f t="shared" si="7"/>
        <v>4.3743486212727369E-2</v>
      </c>
      <c r="AB13" s="179"/>
      <c r="AC13" s="184">
        <f>'INN Income Splits'!O31</f>
        <v>45386.371249999997</v>
      </c>
      <c r="AD13" s="183">
        <f t="shared" si="8"/>
        <v>2.8864563464519495E-2</v>
      </c>
      <c r="AE13" s="179"/>
      <c r="AF13" s="184">
        <f>'INN Income Splits'!O49</f>
        <v>0</v>
      </c>
      <c r="AG13" s="183">
        <f t="shared" si="9"/>
        <v>0</v>
      </c>
      <c r="AH13" s="179"/>
      <c r="AI13" s="184">
        <f>'INN Income Splits'!O67</f>
        <v>23375</v>
      </c>
      <c r="AJ13" s="185">
        <f t="shared" si="10"/>
        <v>1.3389293074653221E-2</v>
      </c>
      <c r="AK13" s="179"/>
      <c r="AL13" s="184">
        <f>'INN Income Splits'!O85</f>
        <v>40813.2425</v>
      </c>
      <c r="AM13" s="185">
        <f t="shared" si="24"/>
        <v>3.3724565876474689E-2</v>
      </c>
      <c r="AN13" s="179"/>
      <c r="AO13" s="184">
        <f>'INN Income Splits'!O103</f>
        <v>56716.943749999999</v>
      </c>
      <c r="AP13" s="185">
        <f t="shared" si="11"/>
        <v>6.2428912904631997E-2</v>
      </c>
      <c r="AQ13" s="179"/>
      <c r="AR13" s="184">
        <f>'INN Income Splits'!X12</f>
        <v>277943</v>
      </c>
      <c r="AS13" s="183">
        <f t="shared" si="12"/>
        <v>9.6238270088711164E-2</v>
      </c>
      <c r="AT13" s="179"/>
      <c r="AU13" s="184">
        <f>'INN Income Splits'!X31</f>
        <v>0</v>
      </c>
      <c r="AV13" s="183">
        <f t="shared" si="13"/>
        <v>0</v>
      </c>
      <c r="AW13" s="179"/>
      <c r="AX13" s="184">
        <f>'INN Income Splits'!X49</f>
        <v>3000</v>
      </c>
      <c r="AY13" s="183">
        <f t="shared" si="14"/>
        <v>4.360562206921958E-3</v>
      </c>
      <c r="AZ13" s="179"/>
      <c r="BA13" s="184">
        <f>'INN Income Splits'!X67</f>
        <v>277943</v>
      </c>
      <c r="BB13" s="185">
        <f t="shared" si="15"/>
        <v>0.17058889448116576</v>
      </c>
      <c r="BC13" s="179"/>
      <c r="BD13" s="184">
        <f>'INN Income Splits'!X85</f>
        <v>0</v>
      </c>
      <c r="BE13" s="185">
        <f t="shared" si="16"/>
        <v>0</v>
      </c>
      <c r="BF13" s="179"/>
      <c r="BG13" s="184">
        <f>'INN Income Splits'!X103</f>
        <v>3000</v>
      </c>
      <c r="BH13" s="185">
        <f t="shared" si="17"/>
        <v>1.2675958143986208E-2</v>
      </c>
      <c r="BI13" s="179"/>
      <c r="BJ13" s="184">
        <f>'INN Income Splits'!AG12</f>
        <v>527878.19999999995</v>
      </c>
      <c r="BK13" s="183">
        <f t="shared" si="18"/>
        <v>6.2350614377614418E-2</v>
      </c>
      <c r="BL13" s="179"/>
      <c r="BM13" s="184">
        <f>'INN Income Splits'!AG31</f>
        <v>194819.4</v>
      </c>
      <c r="BN13" s="183">
        <f t="shared" si="19"/>
        <v>8.5406288432008023E-2</v>
      </c>
      <c r="BO13" s="179"/>
      <c r="BP13" s="184">
        <f>'INN Income Splits'!AG49</f>
        <v>97768.75</v>
      </c>
      <c r="BQ13" s="183">
        <f t="shared" si="20"/>
        <v>2.8283779737812077E-2</v>
      </c>
      <c r="BR13" s="179"/>
      <c r="BS13" s="184">
        <f>'INN Income Splits'!AG67</f>
        <v>226676.27272727274</v>
      </c>
      <c r="BT13" s="185">
        <f t="shared" si="21"/>
        <v>0.11819372001692607</v>
      </c>
      <c r="BU13" s="179"/>
      <c r="BV13" s="184">
        <f>'INN Income Splits'!AG85</f>
        <v>174500</v>
      </c>
      <c r="BW13" s="185">
        <f t="shared" si="22"/>
        <v>3.0526661759168662E-2</v>
      </c>
      <c r="BX13" s="179"/>
      <c r="BY13" s="184">
        <f>'INN Income Splits'!AG103</f>
        <v>401399.66666666669</v>
      </c>
      <c r="BZ13" s="185">
        <f t="shared" si="23"/>
        <v>5.8855238177789496E-2</v>
      </c>
      <c r="CA13" s="179"/>
      <c r="CB13" s="186"/>
      <c r="CC13" s="183"/>
      <c r="CD13" s="179"/>
      <c r="CE13" s="184">
        <f>'INN Income Splits'!AM49</f>
        <v>0</v>
      </c>
      <c r="CF13" s="183"/>
      <c r="CG13" s="179"/>
      <c r="CH13" s="184"/>
      <c r="CI13" s="183"/>
      <c r="CJ13" s="179"/>
      <c r="CK13" s="184"/>
      <c r="CL13" s="183"/>
      <c r="CM13" s="179"/>
      <c r="CN13" s="184"/>
      <c r="CO13" s="183"/>
      <c r="CP13" s="179"/>
    </row>
    <row r="14" spans="1:94" x14ac:dyDescent="0.15">
      <c r="A14" s="137">
        <f t="shared" si="0"/>
        <v>9</v>
      </c>
      <c r="B14" s="171"/>
      <c r="C14" s="136"/>
      <c r="D14" s="136" t="s">
        <v>249</v>
      </c>
      <c r="E14" s="187"/>
      <c r="F14" s="188"/>
      <c r="G14" s="189"/>
      <c r="H14" s="194">
        <f>SUM(H10:H13)</f>
        <v>470088.89344332297</v>
      </c>
      <c r="I14" s="188">
        <f>SUM(I10:I13)</f>
        <v>1.0000000000000002</v>
      </c>
      <c r="J14" s="189"/>
      <c r="K14" s="173">
        <f>SUM(K10:K13)</f>
        <v>704957.72057142854</v>
      </c>
      <c r="L14" s="176">
        <f>SUM(L10:L13)</f>
        <v>1</v>
      </c>
      <c r="N14" s="173">
        <f>SUM(N10:N13)</f>
        <v>458593.93066666665</v>
      </c>
      <c r="O14" s="190">
        <f>SUM(O10:O13)</f>
        <v>1</v>
      </c>
      <c r="P14" s="190"/>
      <c r="Q14" s="173">
        <f>SUM(Q10:Q13)</f>
        <v>429448.51681818179</v>
      </c>
      <c r="R14" s="190">
        <f>SUM(R10:R13)</f>
        <v>1</v>
      </c>
      <c r="S14" s="190"/>
      <c r="T14" s="173">
        <f>SUM(T10:T13)</f>
        <v>440977.56474637688</v>
      </c>
      <c r="U14" s="190">
        <f>SUM(U10:U13)</f>
        <v>0.99999999999999978</v>
      </c>
      <c r="V14" s="190"/>
      <c r="W14" s="173">
        <f>SUM(W10:W13)</f>
        <v>665091.35241939104</v>
      </c>
      <c r="X14" s="190">
        <f>SUM(X10:X13)</f>
        <v>0.99999999999999978</v>
      </c>
      <c r="Y14" s="190"/>
      <c r="Z14" s="173">
        <f>SUM(Z10:Z13)</f>
        <v>1145494.5487500003</v>
      </c>
      <c r="AA14" s="176">
        <f>SUM(AA10:AA13)</f>
        <v>0.99999999999999978</v>
      </c>
      <c r="AB14" s="190"/>
      <c r="AC14" s="173">
        <f>SUM(AC10:AC13)</f>
        <v>1572390.7034239133</v>
      </c>
      <c r="AD14" s="191">
        <f>SUM(AD10:AD13)</f>
        <v>0.99999999999999978</v>
      </c>
      <c r="AE14" s="190"/>
      <c r="AF14" s="173">
        <f>SUM(AF10:AF13)</f>
        <v>910771.72071428574</v>
      </c>
      <c r="AG14" s="176">
        <f>SUM(AG10:AG13)</f>
        <v>0.99999999999999989</v>
      </c>
      <c r="AH14" s="190"/>
      <c r="AI14" s="173">
        <f>SUM(AI10:AI13)</f>
        <v>1745797.9200000002</v>
      </c>
      <c r="AJ14" s="176">
        <f>SUM(AJ10:AJ13)</f>
        <v>0.99999999999999989</v>
      </c>
      <c r="AK14" s="190"/>
      <c r="AL14" s="173">
        <f>SUM(AL10:AL13)</f>
        <v>1210193.2653333331</v>
      </c>
      <c r="AM14" s="176">
        <f>SUM(AM10:AM13)</f>
        <v>1.0000000000000002</v>
      </c>
      <c r="AN14" s="190"/>
      <c r="AO14" s="173">
        <f>SUM(AO10:AO13)</f>
        <v>908504.42705357133</v>
      </c>
      <c r="AP14" s="176">
        <f>SUM(AP10:AP13)</f>
        <v>1.0000000000000002</v>
      </c>
      <c r="AQ14" s="190"/>
      <c r="AR14" s="173">
        <f>SUM(AR10:AR13)</f>
        <v>2888071.4474999998</v>
      </c>
      <c r="AS14" s="191">
        <f>SUM(AS10:AS13)</f>
        <v>1</v>
      </c>
      <c r="AT14" s="190"/>
      <c r="AU14" s="173">
        <f>SUM(AU10:AU13)</f>
        <v>369652.29555555555</v>
      </c>
      <c r="AV14" s="191">
        <f>SUM(AV10:AV13)</f>
        <v>1</v>
      </c>
      <c r="AW14" s="190"/>
      <c r="AX14" s="173">
        <f>SUM(AX10:AX13)</f>
        <v>687984.68125000002</v>
      </c>
      <c r="AY14" s="191">
        <f>SUM(AY10:AY13)</f>
        <v>0.99999999999999989</v>
      </c>
      <c r="AZ14" s="190"/>
      <c r="BA14" s="173">
        <f>SUM(BA10:BA13)</f>
        <v>1629314.7384848485</v>
      </c>
      <c r="BB14" s="191">
        <f>SUM(BB10:BB13)</f>
        <v>1</v>
      </c>
      <c r="BC14" s="190"/>
      <c r="BD14" s="173">
        <f>SUM(BD10:BD13)</f>
        <v>358399.52309523808</v>
      </c>
      <c r="BE14" s="191">
        <f>SUM(BE10:BE13)</f>
        <v>1</v>
      </c>
      <c r="BF14" s="190"/>
      <c r="BG14" s="173">
        <f>SUM(BG10:BG13)</f>
        <v>236668.5</v>
      </c>
      <c r="BH14" s="191">
        <f>SUM(BH10:BH13)</f>
        <v>1</v>
      </c>
      <c r="BI14" s="190"/>
      <c r="BJ14" s="173">
        <f>SUM(BJ10:BJ13)</f>
        <v>8466287.0649999995</v>
      </c>
      <c r="BK14" s="191">
        <f>SUM(BK10:BK13)</f>
        <v>1</v>
      </c>
      <c r="BL14" s="190"/>
      <c r="BM14" s="173">
        <f>SUM(BM10:BM13)</f>
        <v>2281089.6431249999</v>
      </c>
      <c r="BN14" s="191">
        <f>SUM(BN10:BN13)</f>
        <v>1</v>
      </c>
      <c r="BO14" s="190"/>
      <c r="BP14" s="173">
        <f>SUM(BP10:BP13)</f>
        <v>3456707.3745555552</v>
      </c>
      <c r="BQ14" s="191">
        <f>SUM(BQ10:BQ13)</f>
        <v>1</v>
      </c>
      <c r="BR14" s="190"/>
      <c r="BS14" s="173">
        <f>SUM(BS10:BS13)</f>
        <v>1917836.8588010538</v>
      </c>
      <c r="BT14" s="191">
        <f>SUM(BT10:BT13)</f>
        <v>1</v>
      </c>
      <c r="BU14" s="190"/>
      <c r="BV14" s="173">
        <f>SUM(BV10:BV13)</f>
        <v>5716314.5245512817</v>
      </c>
      <c r="BW14" s="191">
        <f>SUM(BW10:BW13)</f>
        <v>1</v>
      </c>
      <c r="BX14" s="190"/>
      <c r="BY14" s="173">
        <f>SUM(BY10:BY13)</f>
        <v>6820117.9554166673</v>
      </c>
      <c r="BZ14" s="191">
        <f>SUM(BZ10:BZ13)</f>
        <v>0.99999999999999989</v>
      </c>
      <c r="CA14" s="190"/>
      <c r="CB14" s="173">
        <f>'Hub Data'!F3</f>
        <v>1142108</v>
      </c>
      <c r="CC14" s="191">
        <f>SUM(CC10:CC13)</f>
        <v>0</v>
      </c>
      <c r="CD14" s="190"/>
      <c r="CE14" s="173">
        <f>AVERAGE('Hub Data'!F2,'Hub Data'!E4)</f>
        <v>838500</v>
      </c>
      <c r="CF14" s="191">
        <f>SUM(CF10:CF13)</f>
        <v>0</v>
      </c>
      <c r="CG14" s="190"/>
      <c r="CH14" s="173"/>
      <c r="CI14" s="191"/>
      <c r="CJ14" s="190"/>
      <c r="CK14" s="173"/>
      <c r="CL14" s="191"/>
      <c r="CM14" s="190"/>
      <c r="CN14" s="173"/>
      <c r="CO14" s="191"/>
      <c r="CP14" s="190"/>
    </row>
    <row r="15" spans="1:94" x14ac:dyDescent="0.15">
      <c r="A15" s="137">
        <f t="shared" si="0"/>
        <v>10</v>
      </c>
      <c r="B15" s="171"/>
      <c r="C15" s="136" t="s">
        <v>250</v>
      </c>
      <c r="D15" s="136"/>
      <c r="E15" s="187"/>
      <c r="F15" s="192"/>
      <c r="H15" s="194"/>
      <c r="I15" s="192"/>
      <c r="L15" s="176"/>
      <c r="N15" s="173"/>
      <c r="O15" s="167"/>
      <c r="P15" s="179"/>
      <c r="Q15" s="173"/>
      <c r="R15" s="167"/>
      <c r="S15" s="179"/>
      <c r="T15" s="173"/>
      <c r="U15" s="167"/>
      <c r="V15" s="179"/>
      <c r="W15" s="173"/>
      <c r="X15" s="167"/>
      <c r="Y15" s="179"/>
      <c r="Z15" s="173"/>
      <c r="AA15" s="176"/>
      <c r="AB15" s="179"/>
      <c r="AC15" s="173"/>
      <c r="AD15" s="176"/>
      <c r="AE15" s="179"/>
      <c r="AF15" s="173"/>
      <c r="AG15" s="176"/>
      <c r="AH15" s="179"/>
      <c r="AI15" s="173"/>
      <c r="AJ15" s="167"/>
      <c r="AK15" s="179"/>
      <c r="AL15" s="173"/>
      <c r="AM15" s="167"/>
      <c r="AN15" s="179"/>
      <c r="AO15" s="173"/>
      <c r="AP15" s="167"/>
      <c r="AQ15" s="179"/>
      <c r="AR15" s="173"/>
      <c r="AS15" s="176"/>
      <c r="AT15" s="179"/>
      <c r="AU15" s="173"/>
      <c r="AV15" s="176"/>
      <c r="AW15" s="179"/>
      <c r="AX15" s="173"/>
      <c r="AY15" s="176"/>
      <c r="AZ15" s="179"/>
      <c r="BA15" s="173"/>
      <c r="BB15" s="167"/>
      <c r="BC15" s="179"/>
      <c r="BD15" s="173"/>
      <c r="BE15" s="167"/>
      <c r="BF15" s="179"/>
      <c r="BG15" s="173"/>
      <c r="BH15" s="167"/>
      <c r="BI15" s="179"/>
      <c r="BJ15" s="173"/>
      <c r="BK15" s="176"/>
      <c r="BL15" s="179"/>
      <c r="BM15" s="173"/>
      <c r="BN15" s="176"/>
      <c r="BO15" s="179"/>
      <c r="BP15" s="173"/>
      <c r="BQ15" s="176"/>
      <c r="BR15" s="179"/>
      <c r="BS15" s="173"/>
      <c r="BT15" s="167"/>
      <c r="BU15" s="179"/>
      <c r="BV15" s="173"/>
      <c r="BW15" s="167"/>
      <c r="BX15" s="179"/>
      <c r="BY15" s="173"/>
      <c r="BZ15" s="167"/>
      <c r="CA15" s="179"/>
      <c r="CB15" s="173"/>
      <c r="CC15" s="176"/>
      <c r="CD15" s="179"/>
      <c r="CE15" s="173"/>
      <c r="CF15" s="176"/>
      <c r="CG15" s="179"/>
      <c r="CH15" s="173"/>
      <c r="CI15" s="176"/>
      <c r="CJ15" s="179"/>
      <c r="CK15" s="173"/>
      <c r="CL15" s="176"/>
      <c r="CM15" s="179"/>
      <c r="CN15" s="173"/>
      <c r="CO15" s="176"/>
      <c r="CP15" s="179"/>
    </row>
    <row r="16" spans="1:94" x14ac:dyDescent="0.15">
      <c r="A16" s="137">
        <f t="shared" si="0"/>
        <v>11</v>
      </c>
      <c r="B16" s="174"/>
      <c r="C16" s="136"/>
      <c r="D16" s="136" t="s">
        <v>137</v>
      </c>
      <c r="E16" s="177"/>
      <c r="F16" s="178"/>
      <c r="G16" s="179"/>
      <c r="H16" s="256">
        <f>'INN Income Splits'!F15</f>
        <v>173323.45733333335</v>
      </c>
      <c r="I16" s="178">
        <f>H16/H$22</f>
        <v>0.43082906948389876</v>
      </c>
      <c r="J16" s="179"/>
      <c r="K16" s="173">
        <f>'INN Income Splits'!F34</f>
        <v>15814.779999999999</v>
      </c>
      <c r="L16" s="178">
        <f>K16/$K$22</f>
        <v>4.108021503530291E-2</v>
      </c>
      <c r="N16" s="173">
        <f>'INN Income Splits'!F52</f>
        <v>55087</v>
      </c>
      <c r="O16" s="179">
        <f>N16/$N$22</f>
        <v>0.19073522137169335</v>
      </c>
      <c r="P16" s="179"/>
      <c r="Q16" s="256">
        <f>'INN Income Splits'!F70</f>
        <v>166293.03076923077</v>
      </c>
      <c r="R16" s="179">
        <f>Q16/$Q$22</f>
        <v>0.45852560371571643</v>
      </c>
      <c r="S16" s="179"/>
      <c r="T16" s="256">
        <f>'INN Income Splits'!F88</f>
        <v>151903.875</v>
      </c>
      <c r="U16" s="179">
        <f>T16/$T$22</f>
        <v>0.5674889432294844</v>
      </c>
      <c r="V16" s="179"/>
      <c r="W16" s="256">
        <f>'INN Income Splits'!F106</f>
        <v>115711.83333333333</v>
      </c>
      <c r="X16" s="179">
        <f>W16/$W$22</f>
        <v>0.25096597575384383</v>
      </c>
      <c r="Y16" s="179"/>
      <c r="Z16" s="173">
        <f>'INN Income Splits'!O15</f>
        <v>743481.6</v>
      </c>
      <c r="AA16" s="178">
        <f>Z16/$Z$22</f>
        <v>0.30568768814141239</v>
      </c>
      <c r="AB16" s="179"/>
      <c r="AC16" s="173">
        <f>'INN Income Splits'!O34</f>
        <v>74800.399999999994</v>
      </c>
      <c r="AD16" s="176">
        <f>AC16/$AC$22</f>
        <v>0.10873907327423778</v>
      </c>
      <c r="AE16" s="179"/>
      <c r="AF16" s="173">
        <f>'INN Income Splits'!O52</f>
        <v>550</v>
      </c>
      <c r="AG16" s="178">
        <f>AF16/$AF$22</f>
        <v>5.3898249708238975E-3</v>
      </c>
      <c r="AH16" s="179"/>
      <c r="AI16" s="173">
        <f>'INN Income Splits'!O70</f>
        <v>64549</v>
      </c>
      <c r="AJ16" s="179">
        <f>AI16/$AI$22</f>
        <v>0.17533951747331089</v>
      </c>
      <c r="AK16" s="179"/>
      <c r="AL16" s="256">
        <f>'INN Income Splits'!O88</f>
        <v>501305</v>
      </c>
      <c r="AM16" s="179">
        <f>AL16/$AL$22</f>
        <v>0.15600998914559319</v>
      </c>
      <c r="AN16" s="179"/>
      <c r="AO16" s="256">
        <f>'INN Income Splits'!O106</f>
        <v>471950.66666666669</v>
      </c>
      <c r="AP16" s="179">
        <f>AO16/$AO$22</f>
        <v>0.42073972948862898</v>
      </c>
      <c r="AQ16" s="179"/>
      <c r="AR16" s="173">
        <f>'INN Income Splits'!X15</f>
        <v>108384</v>
      </c>
      <c r="AS16" s="176">
        <f>AR16/$AR$22</f>
        <v>5.7103252283742849E-2</v>
      </c>
      <c r="AT16" s="179"/>
      <c r="AU16" s="173">
        <f>'INN Income Splits'!X34</f>
        <v>109112.5</v>
      </c>
      <c r="AV16" s="178">
        <f>AU16/$AU$22</f>
        <v>0.20552822016187342</v>
      </c>
      <c r="AW16" s="179"/>
      <c r="AX16" s="173">
        <f>'INN Income Splits'!X52</f>
        <v>15702.666666666666</v>
      </c>
      <c r="AY16" s="176">
        <f>AX16/$AX$22</f>
        <v>0.19421454382793285</v>
      </c>
      <c r="AZ16" s="179"/>
      <c r="BA16" s="256">
        <f>'INN Income Splits'!X70</f>
        <v>62286.166666666664</v>
      </c>
      <c r="BB16" s="179">
        <f>BA16/$BA$22</f>
        <v>4.6645596513998758E-2</v>
      </c>
      <c r="BC16" s="179"/>
      <c r="BD16" s="256">
        <f>'INN Income Splits'!X88</f>
        <v>0</v>
      </c>
      <c r="BE16" s="179">
        <f>BD16/$BD$22</f>
        <v>0</v>
      </c>
      <c r="BF16" s="179"/>
      <c r="BG16" s="256">
        <f>'INN Income Splits'!X106</f>
        <v>0</v>
      </c>
      <c r="BH16" s="179">
        <f>BG16/$BG$22</f>
        <v>0</v>
      </c>
      <c r="BI16" s="179"/>
      <c r="BJ16" s="173">
        <f>'INN Income Splits'!AG15</f>
        <v>112745.565</v>
      </c>
      <c r="BK16" s="178">
        <f>BJ16/$BJ$22</f>
        <v>0.28097473400313339</v>
      </c>
      <c r="BL16" s="179"/>
      <c r="BM16" s="173">
        <f>'INN Income Splits'!AG34</f>
        <v>180099.76250000001</v>
      </c>
      <c r="BN16" s="178">
        <f>BM16/$BM$22</f>
        <v>0.18365476237876863</v>
      </c>
      <c r="BO16" s="179"/>
      <c r="BP16" s="173">
        <f>'INN Income Splits'!AG52</f>
        <v>77198.87</v>
      </c>
      <c r="BQ16" s="178">
        <f>BP16/$BP$22</f>
        <v>0.17153083876088779</v>
      </c>
      <c r="BR16" s="179"/>
      <c r="BS16" s="256">
        <f>'INN Income Splits'!AG70</f>
        <v>165261.908</v>
      </c>
      <c r="BT16" s="179">
        <f>BS16/$BS$22</f>
        <v>0.2911351035831426</v>
      </c>
      <c r="BU16" s="179"/>
      <c r="BV16" s="256">
        <f>'INN Income Splits'!AG88</f>
        <v>56713.571428571428</v>
      </c>
      <c r="BW16" s="179">
        <f>BV16/$BV$22</f>
        <v>0.13199483101288387</v>
      </c>
      <c r="BX16" s="179"/>
      <c r="BY16" s="256">
        <f>'INN Income Splits'!AG106</f>
        <v>137049.674</v>
      </c>
      <c r="BZ16" s="179">
        <f>BY16/$BY$22</f>
        <v>0.14164744515623018</v>
      </c>
      <c r="CA16" s="179"/>
      <c r="CB16" s="173"/>
      <c r="CC16" s="178"/>
      <c r="CD16" s="179"/>
      <c r="CE16" s="173"/>
      <c r="CF16" s="178"/>
      <c r="CG16" s="179"/>
      <c r="CH16" s="173"/>
      <c r="CI16" s="178"/>
      <c r="CJ16" s="179"/>
      <c r="CK16" s="173"/>
      <c r="CL16" s="178"/>
      <c r="CM16" s="179"/>
      <c r="CN16" s="173"/>
      <c r="CO16" s="178"/>
      <c r="CP16" s="179"/>
    </row>
    <row r="17" spans="1:94" x14ac:dyDescent="0.15">
      <c r="A17" s="137">
        <f t="shared" si="0"/>
        <v>12</v>
      </c>
      <c r="B17" s="171"/>
      <c r="C17" s="136"/>
      <c r="D17" s="136" t="s">
        <v>138</v>
      </c>
      <c r="E17" s="177"/>
      <c r="F17" s="178"/>
      <c r="G17" s="179"/>
      <c r="H17" s="256">
        <f>'INN Income Splits'!F16</f>
        <v>47006.517857142855</v>
      </c>
      <c r="I17" s="178">
        <f t="shared" ref="I17:I21" si="25">H17/H$22</f>
        <v>0.11684381710158934</v>
      </c>
      <c r="J17" s="179"/>
      <c r="K17" s="173">
        <f>'INN Income Splits'!F35</f>
        <v>35120.166666666664</v>
      </c>
      <c r="L17" s="178">
        <f t="shared" ref="L17:L21" si="26">K17/$K$22</f>
        <v>9.1227573114665145E-2</v>
      </c>
      <c r="N17" s="173">
        <f>'INN Income Splits'!F53</f>
        <v>30058</v>
      </c>
      <c r="O17" s="179">
        <f t="shared" ref="O17:O21" si="27">N17/$N$22</f>
        <v>0.10407390643873073</v>
      </c>
      <c r="P17" s="179"/>
      <c r="Q17" s="256">
        <f>'INN Income Splits'!F71</f>
        <v>28730.857142857141</v>
      </c>
      <c r="R17" s="179">
        <f t="shared" ref="R17:R21" si="28">Q17/$Q$22</f>
        <v>7.9220599659286101E-2</v>
      </c>
      <c r="S17" s="179"/>
      <c r="T17" s="256">
        <f>'INN Income Splits'!F89</f>
        <v>5731.6</v>
      </c>
      <c r="U17" s="179">
        <f t="shared" ref="U17:U21" si="29">T17/$T$22</f>
        <v>2.1412354536802389E-2</v>
      </c>
      <c r="V17" s="179"/>
      <c r="W17" s="256">
        <f>'INN Income Splits'!F107</f>
        <v>69915.425000000003</v>
      </c>
      <c r="X17" s="179">
        <f t="shared" ref="X17:X21" si="30">W17/$W$22</f>
        <v>0.15163870755399278</v>
      </c>
      <c r="Y17" s="179"/>
      <c r="Z17" s="173">
        <f>'INN Income Splits'!O16</f>
        <v>289910.64</v>
      </c>
      <c r="AA17" s="178">
        <f t="shared" ref="AA17:AA21" si="31">Z17/$Z$22</f>
        <v>0.11919879834174414</v>
      </c>
      <c r="AB17" s="179"/>
      <c r="AC17" s="173">
        <f>'INN Income Splits'!O35</f>
        <v>169225.22222222222</v>
      </c>
      <c r="AD17" s="176">
        <f t="shared" ref="AD17:AD21" si="32">AC17/$AC$22</f>
        <v>0.24600662348157756</v>
      </c>
      <c r="AE17" s="179"/>
      <c r="AF17" s="173">
        <f>'INN Income Splits'!O53</f>
        <v>22770</v>
      </c>
      <c r="AG17" s="178">
        <f t="shared" ref="AG17:AG21" si="33">AF17/$AF$22</f>
        <v>0.22313875379210935</v>
      </c>
      <c r="AH17" s="179"/>
      <c r="AI17" s="173">
        <f>'INN Income Splits'!O71</f>
        <v>104800.00444444445</v>
      </c>
      <c r="AJ17" s="179">
        <f t="shared" ref="AJ17:AJ21" si="34">AI17/$AI$22</f>
        <v>0.28467648159521802</v>
      </c>
      <c r="AK17" s="179"/>
      <c r="AL17" s="256">
        <f>'INN Income Splits'!O89</f>
        <v>258030</v>
      </c>
      <c r="AM17" s="179">
        <f t="shared" ref="AM17:AM21" si="35">AL17/$AL$22</f>
        <v>8.0300929572291138E-2</v>
      </c>
      <c r="AN17" s="179"/>
      <c r="AO17" s="256">
        <f>'INN Income Splits'!O107</f>
        <v>315529.25</v>
      </c>
      <c r="AP17" s="179">
        <f t="shared" ref="AP17:AP21" si="36">AO17/$AO$22</f>
        <v>0.28129145833904245</v>
      </c>
      <c r="AQ17" s="179"/>
      <c r="AR17" s="173">
        <f>'INN Income Splits'!X16</f>
        <v>646976</v>
      </c>
      <c r="AS17" s="176">
        <f t="shared" ref="AS17:AS21" si="37">AR17/$AR$22</f>
        <v>0.34086612184018689</v>
      </c>
      <c r="AT17" s="179"/>
      <c r="AU17" s="173">
        <f>'INN Income Splits'!X35</f>
        <v>94579</v>
      </c>
      <c r="AV17" s="178">
        <f t="shared" ref="AV17:AV21" si="38">AU17/$AU$22</f>
        <v>0.17815239807253822</v>
      </c>
      <c r="AW17" s="179"/>
      <c r="AX17" s="173">
        <f>'INN Income Splits'!X53</f>
        <v>0</v>
      </c>
      <c r="AY17" s="176">
        <f t="shared" ref="AY17:AY21" si="39">AX17/$AX$22</f>
        <v>0</v>
      </c>
      <c r="AZ17" s="179"/>
      <c r="BA17" s="256">
        <f>'INN Income Splits'!X71</f>
        <v>536496.6</v>
      </c>
      <c r="BB17" s="179">
        <f t="shared" ref="BB17:BB21" si="40">BA17/$BA$22</f>
        <v>0.40177787900575335</v>
      </c>
      <c r="BC17" s="179"/>
      <c r="BD17" s="256">
        <f>'INN Income Splits'!X89</f>
        <v>0</v>
      </c>
      <c r="BE17" s="179">
        <f t="shared" ref="BE17:BE21" si="41">BD17/$BD$22</f>
        <v>0</v>
      </c>
      <c r="BF17" s="179"/>
      <c r="BG17" s="256">
        <f>'INN Income Splits'!X107</f>
        <v>0</v>
      </c>
      <c r="BH17" s="179">
        <f t="shared" ref="BH17:BH21" si="42">BG17/$BG$22</f>
        <v>0</v>
      </c>
      <c r="BI17" s="179"/>
      <c r="BJ17" s="173">
        <f>'INN Income Splits'!AG16</f>
        <v>54250</v>
      </c>
      <c r="BK17" s="178">
        <f t="shared" ref="BK17:BK21" si="43">BJ17/$BJ$22</f>
        <v>0.13519715227530224</v>
      </c>
      <c r="BL17" s="179"/>
      <c r="BM17" s="173">
        <f>'INN Income Splits'!AG35</f>
        <v>209370.33333333334</v>
      </c>
      <c r="BN17" s="178">
        <f t="shared" ref="BN17:BN21" si="44">BM17/$BM$22</f>
        <v>0.21350310674339124</v>
      </c>
      <c r="BO17" s="179"/>
      <c r="BP17" s="173">
        <f>'INN Income Splits'!AG53</f>
        <v>205768.83333333334</v>
      </c>
      <c r="BQ17" s="178">
        <f t="shared" ref="BQ17:BQ21" si="45">BP17/$BP$22</f>
        <v>0.45720488619219418</v>
      </c>
      <c r="BR17" s="179"/>
      <c r="BS17" s="256">
        <f>'INN Income Splits'!AG71</f>
        <v>25975</v>
      </c>
      <c r="BT17" s="179">
        <f t="shared" ref="BT17:BT21" si="46">BS17/$BS$22</f>
        <v>4.5759088752455462E-2</v>
      </c>
      <c r="BU17" s="179"/>
      <c r="BV17" s="256">
        <f>'INN Income Splits'!AG89</f>
        <v>164065.25</v>
      </c>
      <c r="BW17" s="179">
        <f t="shared" ref="BW17:BW21" si="47">BV17/$BV$22</f>
        <v>0.38184449336101417</v>
      </c>
      <c r="BX17" s="179"/>
      <c r="BY17" s="256">
        <f>'INN Income Splits'!AG107</f>
        <v>403687.66666666669</v>
      </c>
      <c r="BZ17" s="179">
        <f t="shared" ref="BZ17:BZ21" si="48">BY17/$BY$22</f>
        <v>0.41723066502451661</v>
      </c>
      <c r="CA17" s="179"/>
      <c r="CB17" s="173"/>
      <c r="CC17" s="178"/>
      <c r="CD17" s="179"/>
      <c r="CE17" s="173"/>
      <c r="CF17" s="178"/>
      <c r="CG17" s="179"/>
      <c r="CH17" s="173"/>
      <c r="CI17" s="178"/>
      <c r="CJ17" s="179"/>
      <c r="CK17" s="173"/>
      <c r="CL17" s="178"/>
      <c r="CM17" s="179"/>
      <c r="CN17" s="173"/>
      <c r="CO17" s="178"/>
      <c r="CP17" s="179"/>
    </row>
    <row r="18" spans="1:94" x14ac:dyDescent="0.15">
      <c r="A18" s="137">
        <f t="shared" si="0"/>
        <v>13</v>
      </c>
      <c r="B18" s="174"/>
      <c r="C18" s="136"/>
      <c r="D18" s="136" t="s">
        <v>139</v>
      </c>
      <c r="E18" s="177"/>
      <c r="F18" s="178"/>
      <c r="G18" s="179"/>
      <c r="H18" s="256">
        <f>'INN Income Splits'!F17</f>
        <v>121145.11111111111</v>
      </c>
      <c r="I18" s="178">
        <f t="shared" si="25"/>
        <v>0.30112966989890444</v>
      </c>
      <c r="J18" s="179"/>
      <c r="K18" s="173">
        <f>'INN Income Splits'!F36</f>
        <v>212379</v>
      </c>
      <c r="L18" s="178">
        <f t="shared" si="26"/>
        <v>0.55167223249280717</v>
      </c>
      <c r="N18" s="173">
        <f>'INN Income Splits'!F54</f>
        <v>145925</v>
      </c>
      <c r="O18" s="179">
        <f t="shared" si="27"/>
        <v>0.50525599830566836</v>
      </c>
      <c r="P18" s="179"/>
      <c r="Q18" s="256">
        <f>'INN Income Splits'!F72</f>
        <v>119969.66666666667</v>
      </c>
      <c r="R18" s="179">
        <f t="shared" si="28"/>
        <v>0.33079656785042466</v>
      </c>
      <c r="S18" s="179"/>
      <c r="T18" s="256">
        <f>'INN Income Splits'!F90</f>
        <v>11781.5</v>
      </c>
      <c r="U18" s="179">
        <f t="shared" si="29"/>
        <v>4.40138277226843E-2</v>
      </c>
      <c r="V18" s="179"/>
      <c r="W18" s="256">
        <f>'INN Income Splits'!F108</f>
        <v>177523</v>
      </c>
      <c r="X18" s="179">
        <f t="shared" si="30"/>
        <v>0.38502745683241513</v>
      </c>
      <c r="Y18" s="179"/>
      <c r="Z18" s="173">
        <f>'INN Income Splits'!O17</f>
        <v>602544</v>
      </c>
      <c r="AA18" s="178">
        <f t="shared" si="31"/>
        <v>0.24774020280189743</v>
      </c>
      <c r="AB18" s="179"/>
      <c r="AC18" s="173">
        <f>'INN Income Splits'!O36</f>
        <v>149874</v>
      </c>
      <c r="AD18" s="176">
        <f t="shared" si="32"/>
        <v>0.21787530371365812</v>
      </c>
      <c r="AE18" s="179"/>
      <c r="AF18" s="173">
        <f>'INN Income Splits'!O54</f>
        <v>0</v>
      </c>
      <c r="AG18" s="178">
        <f t="shared" si="33"/>
        <v>0</v>
      </c>
      <c r="AH18" s="179"/>
      <c r="AI18" s="173">
        <f>'INN Income Splits'!O72</f>
        <v>0</v>
      </c>
      <c r="AJ18" s="179">
        <f t="shared" si="34"/>
        <v>0</v>
      </c>
      <c r="AK18" s="179"/>
      <c r="AL18" s="256">
        <f>'INN Income Splits'!O90</f>
        <v>674937</v>
      </c>
      <c r="AM18" s="179">
        <f t="shared" si="35"/>
        <v>0.21004560904830238</v>
      </c>
      <c r="AN18" s="179"/>
      <c r="AO18" s="256">
        <f>'INN Income Splits'!O108</f>
        <v>5088</v>
      </c>
      <c r="AP18" s="179">
        <f t="shared" si="36"/>
        <v>4.5359057520944508E-3</v>
      </c>
      <c r="AQ18" s="179"/>
      <c r="AR18" s="173">
        <f>'INN Income Splits'!X17</f>
        <v>914811</v>
      </c>
      <c r="AS18" s="176">
        <f t="shared" si="37"/>
        <v>0.48197781337598794</v>
      </c>
      <c r="AT18" s="179"/>
      <c r="AU18" s="173">
        <f>'INN Income Splits'!X36</f>
        <v>240996</v>
      </c>
      <c r="AV18" s="178">
        <f t="shared" si="38"/>
        <v>0.45394871299008677</v>
      </c>
      <c r="AW18" s="179"/>
      <c r="AX18" s="173">
        <f>'INN Income Splits'!X54</f>
        <v>0</v>
      </c>
      <c r="AY18" s="176">
        <f t="shared" si="39"/>
        <v>0</v>
      </c>
      <c r="AZ18" s="179"/>
      <c r="BA18" s="256">
        <f>'INN Income Splits'!X72</f>
        <v>577903.5</v>
      </c>
      <c r="BB18" s="179">
        <f t="shared" si="40"/>
        <v>0.43278716491400204</v>
      </c>
      <c r="BC18" s="179"/>
      <c r="BD18" s="256">
        <f>'INN Income Splits'!X90</f>
        <v>0</v>
      </c>
      <c r="BE18" s="179">
        <f t="shared" si="41"/>
        <v>0</v>
      </c>
      <c r="BF18" s="179"/>
      <c r="BG18" s="256">
        <f>'INN Income Splits'!X108</f>
        <v>0</v>
      </c>
      <c r="BH18" s="179">
        <f t="shared" si="42"/>
        <v>0</v>
      </c>
      <c r="BI18" s="179"/>
      <c r="BJ18" s="173">
        <f>'INN Income Splits'!AG17</f>
        <v>25000</v>
      </c>
      <c r="BK18" s="178">
        <f t="shared" si="43"/>
        <v>6.2302835149908864E-2</v>
      </c>
      <c r="BL18" s="179"/>
      <c r="BM18" s="173">
        <f>'INN Income Splits'!AG36</f>
        <v>289866.16666666669</v>
      </c>
      <c r="BN18" s="178">
        <f t="shared" si="44"/>
        <v>0.29558785209842353</v>
      </c>
      <c r="BO18" s="179"/>
      <c r="BP18" s="173">
        <f>'INN Income Splits'!AG54</f>
        <v>94587.372499999998</v>
      </c>
      <c r="BQ18" s="178">
        <f t="shared" si="45"/>
        <v>0.21016695375351391</v>
      </c>
      <c r="BR18" s="179"/>
      <c r="BS18" s="256">
        <f>'INN Income Splits'!AG72</f>
        <v>217480.43625</v>
      </c>
      <c r="BT18" s="179">
        <f t="shared" si="46"/>
        <v>0.38312633625741987</v>
      </c>
      <c r="BU18" s="179"/>
      <c r="BV18" s="256">
        <f>'INN Income Splits'!AG90</f>
        <v>59330</v>
      </c>
      <c r="BW18" s="179">
        <f t="shared" si="47"/>
        <v>0.13808429140911296</v>
      </c>
      <c r="BX18" s="179"/>
      <c r="BY18" s="256">
        <f>'INN Income Splits'!AG108</f>
        <v>171686.5</v>
      </c>
      <c r="BZ18" s="179">
        <f t="shared" si="48"/>
        <v>0.17744627464648413</v>
      </c>
      <c r="CA18" s="179"/>
      <c r="CB18" s="173"/>
      <c r="CC18" s="178"/>
      <c r="CD18" s="179"/>
      <c r="CE18" s="173"/>
      <c r="CF18" s="178"/>
      <c r="CG18" s="179"/>
      <c r="CH18" s="173"/>
      <c r="CI18" s="178"/>
      <c r="CJ18" s="179"/>
      <c r="CK18" s="173"/>
      <c r="CL18" s="178"/>
      <c r="CM18" s="179"/>
      <c r="CN18" s="173"/>
      <c r="CO18" s="178"/>
      <c r="CP18" s="179"/>
    </row>
    <row r="19" spans="1:94" x14ac:dyDescent="0.15">
      <c r="A19" s="137">
        <f t="shared" si="0"/>
        <v>14</v>
      </c>
      <c r="B19" s="171"/>
      <c r="C19" s="136"/>
      <c r="D19" s="136" t="s">
        <v>140</v>
      </c>
      <c r="E19" s="177"/>
      <c r="F19" s="178"/>
      <c r="G19" s="179"/>
      <c r="H19" s="256">
        <f>'INN Income Splits'!F18</f>
        <v>38085.548461538463</v>
      </c>
      <c r="I19" s="178">
        <f t="shared" si="25"/>
        <v>9.4669017436642786E-2</v>
      </c>
      <c r="J19" s="179"/>
      <c r="K19" s="173">
        <f>'INN Income Splits'!F37</f>
        <v>22715</v>
      </c>
      <c r="L19" s="178">
        <f t="shared" si="26"/>
        <v>5.900411415947017E-2</v>
      </c>
      <c r="N19" s="173">
        <f>'INN Income Splits'!F55</f>
        <v>33994.285000000003</v>
      </c>
      <c r="O19" s="179">
        <f t="shared" si="27"/>
        <v>0.11770304200351146</v>
      </c>
      <c r="P19" s="179"/>
      <c r="Q19" s="256">
        <f>'INN Income Splits'!F73</f>
        <v>18363.142500000002</v>
      </c>
      <c r="R19" s="179">
        <f t="shared" si="28"/>
        <v>5.0633336598542411E-2</v>
      </c>
      <c r="S19" s="179"/>
      <c r="T19" s="256">
        <f>'INN Income Splits'!F91</f>
        <v>18553.599999999999</v>
      </c>
      <c r="U19" s="179">
        <f t="shared" si="29"/>
        <v>6.931332631970423E-2</v>
      </c>
      <c r="V19" s="179"/>
      <c r="W19" s="256">
        <f>'INN Income Splits'!F109</f>
        <v>51669.45888888889</v>
      </c>
      <c r="X19" s="179">
        <f t="shared" si="30"/>
        <v>0.11206525549870111</v>
      </c>
      <c r="Y19" s="179"/>
      <c r="Z19" s="173">
        <f>'INN Income Splits'!O18</f>
        <v>86295.495999999999</v>
      </c>
      <c r="AA19" s="178">
        <f t="shared" si="31"/>
        <v>3.5481000026438447E-2</v>
      </c>
      <c r="AB19" s="179"/>
      <c r="AC19" s="173">
        <f>'INN Income Splits'!O37</f>
        <v>229109.72111111111</v>
      </c>
      <c r="AD19" s="176">
        <f t="shared" si="32"/>
        <v>0.3330621059745843</v>
      </c>
      <c r="AE19" s="179"/>
      <c r="AF19" s="173">
        <f>'INN Income Splits'!O55</f>
        <v>0</v>
      </c>
      <c r="AG19" s="178">
        <f t="shared" si="33"/>
        <v>0</v>
      </c>
      <c r="AH19" s="179"/>
      <c r="AI19" s="173">
        <f>'INN Income Splits'!O73</f>
        <v>50562.128333333334</v>
      </c>
      <c r="AJ19" s="179">
        <f t="shared" si="34"/>
        <v>0.13734587963237677</v>
      </c>
      <c r="AK19" s="179"/>
      <c r="AL19" s="256">
        <f>'INN Income Splits'!O91</f>
        <v>661761.73333333328</v>
      </c>
      <c r="AM19" s="179">
        <f t="shared" si="35"/>
        <v>0.20594536426786539</v>
      </c>
      <c r="AN19" s="179"/>
      <c r="AO19" s="256">
        <f>'INN Income Splits'!O109</f>
        <v>50651.75</v>
      </c>
      <c r="AP19" s="179">
        <f t="shared" si="36"/>
        <v>4.5155574720646637E-2</v>
      </c>
      <c r="AQ19" s="179"/>
      <c r="AR19" s="173">
        <f>'INN Income Splits'!X18</f>
        <v>80483.5</v>
      </c>
      <c r="AS19" s="176">
        <f t="shared" si="37"/>
        <v>4.2403579911966874E-2</v>
      </c>
      <c r="AT19" s="179"/>
      <c r="AU19" s="173">
        <f>'INN Income Splits'!X37</f>
        <v>7690.333333333333</v>
      </c>
      <c r="AV19" s="178">
        <f t="shared" si="38"/>
        <v>1.4485787810301543E-2</v>
      </c>
      <c r="AW19" s="179"/>
      <c r="AX19" s="173">
        <f>'INN Income Splits'!X55</f>
        <v>0</v>
      </c>
      <c r="AY19" s="176">
        <f t="shared" si="39"/>
        <v>0</v>
      </c>
      <c r="AZ19" s="179"/>
      <c r="BA19" s="256">
        <f>'INN Income Splits'!X73</f>
        <v>45634.5</v>
      </c>
      <c r="BB19" s="179">
        <f t="shared" si="40"/>
        <v>3.4175300681286803E-2</v>
      </c>
      <c r="BC19" s="179"/>
      <c r="BD19" s="256">
        <f>'INN Income Splits'!X91</f>
        <v>1500</v>
      </c>
      <c r="BE19" s="179">
        <f t="shared" si="41"/>
        <v>2.1126165460127883E-2</v>
      </c>
      <c r="BF19" s="179"/>
      <c r="BG19" s="256">
        <f>'INN Income Splits'!X109</f>
        <v>0</v>
      </c>
      <c r="BH19" s="179">
        <f t="shared" si="42"/>
        <v>0</v>
      </c>
      <c r="BI19" s="179"/>
      <c r="BJ19" s="173">
        <f>'INN Income Splits'!AG18</f>
        <v>15504</v>
      </c>
      <c r="BK19" s="178">
        <f t="shared" si="43"/>
        <v>3.8637726246567486E-2</v>
      </c>
      <c r="BL19" s="179"/>
      <c r="BM19" s="173">
        <f>'INN Income Splits'!AG37</f>
        <v>88074.666666666672</v>
      </c>
      <c r="BN19" s="178">
        <f t="shared" si="44"/>
        <v>8.9813177728404386E-2</v>
      </c>
      <c r="BO19" s="179"/>
      <c r="BP19" s="173">
        <f>'INN Income Splits'!AG55</f>
        <v>30288.2</v>
      </c>
      <c r="BQ19" s="178">
        <f t="shared" si="45"/>
        <v>6.72983989345637E-2</v>
      </c>
      <c r="BR19" s="179"/>
      <c r="BS19" s="256">
        <f>'INN Income Splits'!AG73</f>
        <v>79741.2</v>
      </c>
      <c r="BT19" s="179">
        <f t="shared" si="46"/>
        <v>0.14047679106938599</v>
      </c>
      <c r="BU19" s="179"/>
      <c r="BV19" s="256">
        <f>'INN Income Splits'!AG91</f>
        <v>11999</v>
      </c>
      <c r="BW19" s="179">
        <f t="shared" si="47"/>
        <v>2.7926401695903359E-2</v>
      </c>
      <c r="BX19" s="179"/>
      <c r="BY19" s="256">
        <f>'INN Income Splits'!AG109</f>
        <v>4232.5</v>
      </c>
      <c r="BZ19" s="179">
        <f t="shared" si="48"/>
        <v>4.3744927961210933E-3</v>
      </c>
      <c r="CA19" s="179"/>
      <c r="CB19" s="173"/>
      <c r="CC19" s="178"/>
      <c r="CD19" s="179"/>
      <c r="CE19" s="173"/>
      <c r="CF19" s="178"/>
      <c r="CG19" s="179"/>
      <c r="CH19" s="173"/>
      <c r="CI19" s="178"/>
      <c r="CJ19" s="179"/>
      <c r="CK19" s="173"/>
      <c r="CL19" s="178"/>
      <c r="CM19" s="179"/>
      <c r="CN19" s="173"/>
      <c r="CO19" s="178"/>
      <c r="CP19" s="179"/>
    </row>
    <row r="20" spans="1:94" x14ac:dyDescent="0.15">
      <c r="A20" s="137">
        <f t="shared" si="0"/>
        <v>15</v>
      </c>
      <c r="B20" s="193"/>
      <c r="C20" s="136"/>
      <c r="D20" s="136" t="s">
        <v>251</v>
      </c>
      <c r="E20" s="177"/>
      <c r="F20" s="178"/>
      <c r="G20" s="179"/>
      <c r="H20" s="256">
        <f>'INN Income Splits'!F19</f>
        <v>220.74</v>
      </c>
      <c r="I20" s="178">
        <f t="shared" si="25"/>
        <v>5.486920827743382E-4</v>
      </c>
      <c r="J20" s="179"/>
      <c r="K20" s="173">
        <f>'INN Income Splits'!F38</f>
        <v>41965</v>
      </c>
      <c r="L20" s="178">
        <f t="shared" si="26"/>
        <v>0.10900760073529234</v>
      </c>
      <c r="N20" s="173">
        <f>'INN Income Splits'!F56</f>
        <v>8982.369999999999</v>
      </c>
      <c r="O20" s="179">
        <f t="shared" si="27"/>
        <v>3.1100882792536481E-2</v>
      </c>
      <c r="P20" s="179"/>
      <c r="Q20" s="256">
        <f>'INN Income Splits'!F74</f>
        <v>6696.5</v>
      </c>
      <c r="R20" s="179">
        <f t="shared" si="28"/>
        <v>1.8464494218902849E-2</v>
      </c>
      <c r="S20" s="179"/>
      <c r="T20" s="256">
        <f>'INN Income Splits'!F92</f>
        <v>44251.666666666664</v>
      </c>
      <c r="U20" s="179">
        <f t="shared" si="29"/>
        <v>0.1653172544335032</v>
      </c>
      <c r="V20" s="179"/>
      <c r="W20" s="256">
        <f>'INN Income Splits'!F110</f>
        <v>13372.74</v>
      </c>
      <c r="X20" s="179">
        <f t="shared" si="30"/>
        <v>2.9003971728064033E-2</v>
      </c>
      <c r="Y20" s="179"/>
      <c r="Z20" s="173">
        <f>'INN Income Splits'!O19</f>
        <v>94092.274285714288</v>
      </c>
      <c r="AA20" s="178">
        <f t="shared" si="31"/>
        <v>3.8686700247010368E-2</v>
      </c>
      <c r="AB20" s="179"/>
      <c r="AC20" s="173">
        <f>'INN Income Splits'!O38</f>
        <v>46890.400000000001</v>
      </c>
      <c r="AD20" s="176">
        <f t="shared" si="32"/>
        <v>6.8165660096180233E-2</v>
      </c>
      <c r="AE20" s="179"/>
      <c r="AF20" s="173">
        <f>'INN Income Splits'!O56</f>
        <v>18000</v>
      </c>
      <c r="AG20" s="178">
        <f t="shared" si="33"/>
        <v>0.17639427177241845</v>
      </c>
      <c r="AH20" s="179"/>
      <c r="AI20" s="173">
        <f>'INN Income Splits'!O74</f>
        <v>121522.75</v>
      </c>
      <c r="AJ20" s="179">
        <f t="shared" si="34"/>
        <v>0.33010178851771199</v>
      </c>
      <c r="AK20" s="179"/>
      <c r="AL20" s="256">
        <f>'INN Income Splits'!O92</f>
        <v>55800.5</v>
      </c>
      <c r="AM20" s="179">
        <f t="shared" si="35"/>
        <v>1.7365546721693725E-2</v>
      </c>
      <c r="AN20" s="179"/>
      <c r="AO20" s="256">
        <f>'INN Income Splits'!O110</f>
        <v>40360.984000000004</v>
      </c>
      <c r="AP20" s="179">
        <f t="shared" si="36"/>
        <v>3.5981450370635243E-2</v>
      </c>
      <c r="AQ20" s="179"/>
      <c r="AR20" s="173">
        <f>'INN Income Splits'!X19</f>
        <v>6129</v>
      </c>
      <c r="AS20" s="176">
        <f t="shared" si="37"/>
        <v>3.2291282223119639E-3</v>
      </c>
      <c r="AT20" s="179"/>
      <c r="AU20" s="173">
        <f>'INN Income Splits'!X38</f>
        <v>5000</v>
      </c>
      <c r="AV20" s="178">
        <f t="shared" si="38"/>
        <v>9.4181794094110854E-3</v>
      </c>
      <c r="AW20" s="179"/>
      <c r="AX20" s="173">
        <f>'INN Income Splits'!X56</f>
        <v>647.5</v>
      </c>
      <c r="AY20" s="178">
        <f t="shared" si="39"/>
        <v>8.0084433936010776E-3</v>
      </c>
      <c r="AZ20" s="179"/>
      <c r="BA20" s="256">
        <f>'INN Income Splits'!X74</f>
        <v>3164.5</v>
      </c>
      <c r="BB20" s="179">
        <f t="shared" si="40"/>
        <v>2.3698679509128419E-3</v>
      </c>
      <c r="BC20" s="179"/>
      <c r="BD20" s="256">
        <f>'INN Income Splits'!X92</f>
        <v>5000</v>
      </c>
      <c r="BE20" s="179">
        <f t="shared" si="41"/>
        <v>7.0420551533759618E-2</v>
      </c>
      <c r="BF20" s="179"/>
      <c r="BG20" s="256">
        <f>'INN Income Splits'!X110</f>
        <v>1095</v>
      </c>
      <c r="BH20" s="179">
        <f t="shared" si="42"/>
        <v>1.1373551040757822E-2</v>
      </c>
      <c r="BI20" s="179"/>
      <c r="BJ20" s="173">
        <f>'INN Income Splits'!AG19</f>
        <v>131278.33333333334</v>
      </c>
      <c r="BK20" s="178">
        <f t="shared" si="43"/>
        <v>0.32716049441685813</v>
      </c>
      <c r="BL20" s="179"/>
      <c r="BM20" s="173">
        <f>'INN Income Splits'!AG38</f>
        <v>18873</v>
      </c>
      <c r="BN20" s="178">
        <f t="shared" si="44"/>
        <v>1.9245535264792477E-2</v>
      </c>
      <c r="BO20" s="179"/>
      <c r="BP20" s="173">
        <f>'INN Income Splits'!AG56</f>
        <v>18031.396000000001</v>
      </c>
      <c r="BQ20" s="178">
        <f t="shared" si="45"/>
        <v>4.0064582291291534E-2</v>
      </c>
      <c r="BR20" s="179"/>
      <c r="BS20" s="256">
        <f>'INN Income Splits'!AG74</f>
        <v>46110.22</v>
      </c>
      <c r="BT20" s="179">
        <f t="shared" si="46"/>
        <v>8.1230477358046074E-2</v>
      </c>
      <c r="BU20" s="179"/>
      <c r="BV20" s="256">
        <f>'INN Income Splits'!AG92</f>
        <v>17982</v>
      </c>
      <c r="BW20" s="179">
        <f t="shared" si="47"/>
        <v>4.1851200541356298E-2</v>
      </c>
      <c r="BX20" s="179"/>
      <c r="BY20" s="256">
        <f>'INN Income Splits'!AG110</f>
        <v>48758</v>
      </c>
      <c r="BZ20" s="179">
        <f t="shared" si="48"/>
        <v>5.0393743592031248E-2</v>
      </c>
      <c r="CA20" s="179"/>
      <c r="CB20" s="173"/>
      <c r="CC20" s="178"/>
      <c r="CD20" s="179"/>
      <c r="CE20" s="173"/>
      <c r="CF20" s="178"/>
      <c r="CG20" s="179"/>
      <c r="CH20" s="173"/>
      <c r="CI20" s="178"/>
      <c r="CJ20" s="179"/>
      <c r="CK20" s="173"/>
      <c r="CL20" s="178"/>
      <c r="CM20" s="179"/>
      <c r="CN20" s="173"/>
      <c r="CO20" s="178"/>
      <c r="CP20" s="179"/>
    </row>
    <row r="21" spans="1:94" x14ac:dyDescent="0.15">
      <c r="A21" s="137">
        <f t="shared" si="0"/>
        <v>16</v>
      </c>
      <c r="B21" s="193"/>
      <c r="C21" s="181"/>
      <c r="D21" s="181" t="s">
        <v>248</v>
      </c>
      <c r="E21" s="182"/>
      <c r="F21" s="183"/>
      <c r="G21" s="305"/>
      <c r="H21" s="184">
        <f>'INN Income Splits'!F20</f>
        <v>22520.766875000001</v>
      </c>
      <c r="I21" s="183">
        <f t="shared" si="25"/>
        <v>5.5979733996190419E-2</v>
      </c>
      <c r="J21" s="179"/>
      <c r="K21" s="184">
        <f>'INN Income Splits'!F39</f>
        <v>56979.208571428571</v>
      </c>
      <c r="L21" s="183">
        <f t="shared" si="26"/>
        <v>0.14800826446246235</v>
      </c>
      <c r="N21" s="184">
        <f>'INN Income Splits'!F57</f>
        <v>14767.333333333334</v>
      </c>
      <c r="O21" s="185">
        <f t="shared" si="27"/>
        <v>5.1130949087859569E-2</v>
      </c>
      <c r="P21" s="179"/>
      <c r="Q21" s="256">
        <f>'INN Income Splits'!F75</f>
        <v>22615.821666666667</v>
      </c>
      <c r="R21" s="185">
        <f t="shared" si="28"/>
        <v>6.2359397957127527E-2</v>
      </c>
      <c r="S21" s="179"/>
      <c r="T21" s="184">
        <f>'INN Income Splits'!F93</f>
        <v>35455</v>
      </c>
      <c r="U21" s="185">
        <f t="shared" si="29"/>
        <v>0.13245429375782133</v>
      </c>
      <c r="V21" s="179"/>
      <c r="W21" s="184">
        <f>'INN Income Splits'!F111</f>
        <v>32873.362500000003</v>
      </c>
      <c r="X21" s="185">
        <f t="shared" si="30"/>
        <v>7.129863263298325E-2</v>
      </c>
      <c r="Y21" s="179"/>
      <c r="Z21" s="184">
        <f>'INN Income Splits'!O20</f>
        <v>615836.75</v>
      </c>
      <c r="AA21" s="183">
        <f t="shared" si="31"/>
        <v>0.25320561044149709</v>
      </c>
      <c r="AB21" s="179"/>
      <c r="AC21" s="184">
        <f>'INN Income Splits'!O39</f>
        <v>17989.142857142859</v>
      </c>
      <c r="AD21" s="183">
        <f t="shared" si="32"/>
        <v>2.6151233459762096E-2</v>
      </c>
      <c r="AE21" s="179"/>
      <c r="AF21" s="184">
        <f>'INN Income Splits'!O57</f>
        <v>60724.13</v>
      </c>
      <c r="AG21" s="183">
        <f t="shared" si="33"/>
        <v>0.59507714946464818</v>
      </c>
      <c r="AH21" s="179"/>
      <c r="AI21" s="184">
        <f>'INN Income Splits'!O75</f>
        <v>26703.322857142859</v>
      </c>
      <c r="AJ21" s="179">
        <f t="shared" si="34"/>
        <v>7.2536332781382551E-2</v>
      </c>
      <c r="AK21" s="179"/>
      <c r="AL21" s="184">
        <f>'INN Income Splits'!O93</f>
        <v>1061453.6000000001</v>
      </c>
      <c r="AM21" s="185">
        <f t="shared" si="35"/>
        <v>0.33033256124425414</v>
      </c>
      <c r="AN21" s="179"/>
      <c r="AO21" s="184">
        <f>'INN Income Splits'!O111</f>
        <v>238135.77777777778</v>
      </c>
      <c r="AP21" s="185">
        <f t="shared" si="36"/>
        <v>0.21229588132895208</v>
      </c>
      <c r="AQ21" s="179"/>
      <c r="AR21" s="184">
        <f>'INN Income Splits'!X20</f>
        <v>141252</v>
      </c>
      <c r="AS21" s="183">
        <f t="shared" si="37"/>
        <v>7.4420104365803486E-2</v>
      </c>
      <c r="AT21" s="179"/>
      <c r="AU21" s="184">
        <f>'INN Income Splits'!X39</f>
        <v>73510.333333333328</v>
      </c>
      <c r="AV21" s="183">
        <f t="shared" si="38"/>
        <v>0.13846670155578905</v>
      </c>
      <c r="AW21" s="179"/>
      <c r="AX21" s="184">
        <f>'INN Income Splits'!X57</f>
        <v>64502</v>
      </c>
      <c r="AY21" s="183">
        <f t="shared" si="39"/>
        <v>0.79777701277846602</v>
      </c>
      <c r="AZ21" s="179"/>
      <c r="BA21" s="184">
        <f>'INN Income Splits'!X75</f>
        <v>109821.2</v>
      </c>
      <c r="BB21" s="185">
        <f t="shared" si="40"/>
        <v>8.2244190934046252E-2</v>
      </c>
      <c r="BC21" s="179"/>
      <c r="BD21" s="184">
        <f>'INN Income Splits'!X93</f>
        <v>64502</v>
      </c>
      <c r="BE21" s="185">
        <f t="shared" si="41"/>
        <v>0.9084532830061125</v>
      </c>
      <c r="BF21" s="179"/>
      <c r="BG21" s="184">
        <f>'INN Income Splits'!X111</f>
        <v>95181</v>
      </c>
      <c r="BH21" s="185">
        <f t="shared" si="42"/>
        <v>0.98862644895924223</v>
      </c>
      <c r="BI21" s="179"/>
      <c r="BJ21" s="184">
        <f>'INN Income Splits'!AG20</f>
        <v>62487.950000000004</v>
      </c>
      <c r="BK21" s="183">
        <f t="shared" si="43"/>
        <v>0.15572705790822991</v>
      </c>
      <c r="BL21" s="179"/>
      <c r="BM21" s="184">
        <f>'INN Income Splits'!AG39</f>
        <v>194359.1</v>
      </c>
      <c r="BN21" s="183">
        <f t="shared" si="44"/>
        <v>0.19819556578621988</v>
      </c>
      <c r="BO21" s="179"/>
      <c r="BP21" s="184">
        <f>'INN Income Splits'!AG57</f>
        <v>24183.583333333332</v>
      </c>
      <c r="BQ21" s="183">
        <f t="shared" si="45"/>
        <v>5.3734340067548826E-2</v>
      </c>
      <c r="BR21" s="179"/>
      <c r="BS21" s="184">
        <f>'INN Income Splits'!AG75</f>
        <v>33078.029166666667</v>
      </c>
      <c r="BT21" s="185">
        <f t="shared" si="46"/>
        <v>5.8272202979549964E-2</v>
      </c>
      <c r="BU21" s="179"/>
      <c r="BV21" s="184">
        <f>'INN Income Splits'!AG93</f>
        <v>119575.27222222222</v>
      </c>
      <c r="BW21" s="185">
        <f t="shared" si="47"/>
        <v>0.27829878197972935</v>
      </c>
      <c r="BX21" s="179"/>
      <c r="BY21" s="184">
        <f>'INN Income Splits'!AG111</f>
        <v>202126.4</v>
      </c>
      <c r="BZ21" s="185">
        <f t="shared" si="48"/>
        <v>0.20890737878461677</v>
      </c>
      <c r="CA21" s="179"/>
      <c r="CB21" s="184"/>
      <c r="CC21" s="183">
        <v>0</v>
      </c>
      <c r="CD21" s="179"/>
      <c r="CE21" s="184"/>
      <c r="CF21" s="183">
        <f>CE21/$CE$22</f>
        <v>0</v>
      </c>
      <c r="CG21" s="179"/>
      <c r="CH21" s="184"/>
      <c r="CI21" s="183"/>
      <c r="CJ21" s="179"/>
      <c r="CK21" s="184"/>
      <c r="CL21" s="183"/>
      <c r="CM21" s="179"/>
      <c r="CN21" s="184"/>
      <c r="CO21" s="183"/>
      <c r="CP21" s="179"/>
    </row>
    <row r="22" spans="1:94" x14ac:dyDescent="0.15">
      <c r="A22" s="137">
        <f t="shared" si="0"/>
        <v>17</v>
      </c>
      <c r="B22" s="193"/>
      <c r="C22" s="302"/>
      <c r="D22" s="302" t="s">
        <v>252</v>
      </c>
      <c r="E22" s="303"/>
      <c r="F22" s="304"/>
      <c r="G22" s="189"/>
      <c r="H22" s="306">
        <f>SUM(H16:H21)</f>
        <v>402302.14163812576</v>
      </c>
      <c r="I22" s="304">
        <f>SUM(I16:I21)</f>
        <v>1</v>
      </c>
      <c r="J22" s="189"/>
      <c r="K22" s="306">
        <f>SUM(K16:K21)</f>
        <v>384973.15523809521</v>
      </c>
      <c r="L22" s="312">
        <f>SUM(L16:L21)</f>
        <v>1</v>
      </c>
      <c r="N22" s="306">
        <f>SUM(N16:N21)</f>
        <v>288813.98833333334</v>
      </c>
      <c r="O22" s="313">
        <f>SUM(O16:O21)</f>
        <v>1</v>
      </c>
      <c r="P22" s="190"/>
      <c r="Q22" s="306">
        <f>SUM(Q16:Q21)</f>
        <v>362669.01874542126</v>
      </c>
      <c r="R22" s="313">
        <f>SUM(R16:R21)</f>
        <v>1</v>
      </c>
      <c r="S22" s="190"/>
      <c r="T22" s="306">
        <f>SUM(T16:T21)</f>
        <v>267677.2416666667</v>
      </c>
      <c r="U22" s="313">
        <f>SUM(U16:U21)</f>
        <v>0.99999999999999978</v>
      </c>
      <c r="V22" s="190"/>
      <c r="W22" s="306">
        <f>SUM(W16:W21)</f>
        <v>461065.81972222216</v>
      </c>
      <c r="X22" s="313">
        <f>SUM(X16:X21)</f>
        <v>1.0000000000000002</v>
      </c>
      <c r="Y22" s="190"/>
      <c r="Z22" s="306">
        <f>SUM(Z16:Z21)</f>
        <v>2432160.7602857146</v>
      </c>
      <c r="AA22" s="312">
        <f>SUM(AA16:AA21)</f>
        <v>0.99999999999999978</v>
      </c>
      <c r="AB22" s="190"/>
      <c r="AC22" s="306">
        <f>SUM(AC16:AC21)</f>
        <v>687888.88619047613</v>
      </c>
      <c r="AD22" s="312">
        <f>SUM(AD16:AD21)</f>
        <v>1</v>
      </c>
      <c r="AE22" s="190"/>
      <c r="AF22" s="306">
        <f>SUM(AF16:AF21)</f>
        <v>102044.13</v>
      </c>
      <c r="AG22" s="314">
        <f>SUM(AG16:AG21)</f>
        <v>0.99999999999999989</v>
      </c>
      <c r="AH22" s="190"/>
      <c r="AI22" s="184">
        <f>SUM(AI16:AI21)</f>
        <v>368137.20563492057</v>
      </c>
      <c r="AJ22" s="314">
        <f>SUM(AJ16:AJ21)</f>
        <v>1.0000000000000002</v>
      </c>
      <c r="AK22" s="190"/>
      <c r="AL22" s="184">
        <f>SUM(AL16:AL21)</f>
        <v>3213287.8333333335</v>
      </c>
      <c r="AM22" s="314">
        <f>SUM(AM16:AM21)</f>
        <v>1</v>
      </c>
      <c r="AN22" s="190"/>
      <c r="AO22" s="184">
        <f>SUM(AO16:AO21)</f>
        <v>1121716.4284444447</v>
      </c>
      <c r="AP22" s="314">
        <f>SUM(AP16:AP21)</f>
        <v>1</v>
      </c>
      <c r="AQ22" s="190"/>
      <c r="AR22" s="306">
        <f>SUM(AR16:AR21)</f>
        <v>1898035.5</v>
      </c>
      <c r="AS22" s="314">
        <f>SUM(AS16:AS21)</f>
        <v>0.99999999999999989</v>
      </c>
      <c r="AT22" s="190"/>
      <c r="AU22" s="306">
        <f>SUM(AU16:AU21)</f>
        <v>530888.16666666663</v>
      </c>
      <c r="AV22" s="314">
        <f>SUM(AV16:AV21)</f>
        <v>1</v>
      </c>
      <c r="AW22" s="190"/>
      <c r="AX22" s="306">
        <f>SUM(AX16:AX21)</f>
        <v>80852.166666666672</v>
      </c>
      <c r="AY22" s="314">
        <f>SUM(AY16:AY21)</f>
        <v>1</v>
      </c>
      <c r="AZ22" s="190"/>
      <c r="BA22" s="306">
        <f>SUM(BA16:BA21)</f>
        <v>1335306.4666666666</v>
      </c>
      <c r="BB22" s="314">
        <f>SUM(BB16:BB21)</f>
        <v>1</v>
      </c>
      <c r="BC22" s="190"/>
      <c r="BD22" s="306">
        <f>SUM(BD16:BD21)</f>
        <v>71002</v>
      </c>
      <c r="BE22" s="314">
        <f>SUM(BE16:BE21)</f>
        <v>1</v>
      </c>
      <c r="BF22" s="190"/>
      <c r="BG22" s="306">
        <f>SUM(BG16:BG21)</f>
        <v>96276</v>
      </c>
      <c r="BH22" s="314">
        <f>SUM(BH16:BH21)</f>
        <v>1</v>
      </c>
      <c r="BI22" s="190"/>
      <c r="BJ22" s="306">
        <f>SUM(BJ16:BJ21)</f>
        <v>401265.84833333333</v>
      </c>
      <c r="BK22" s="314">
        <f>SUM(BK16:BK21)</f>
        <v>1</v>
      </c>
      <c r="BL22" s="190"/>
      <c r="BM22" s="306">
        <f>SUM(BM16:BM21)</f>
        <v>980643.02916666656</v>
      </c>
      <c r="BN22" s="314">
        <f>SUM(BN16:BN21)</f>
        <v>1</v>
      </c>
      <c r="BO22" s="190"/>
      <c r="BP22" s="306">
        <f>SUM(BP16:BP21)</f>
        <v>450058.2551666667</v>
      </c>
      <c r="BQ22" s="314">
        <f>SUM(BQ16:BQ21)</f>
        <v>0.99999999999999989</v>
      </c>
      <c r="BR22" s="190"/>
      <c r="BS22" s="306">
        <f>SUM(BS16:BS21)</f>
        <v>567646.79341666668</v>
      </c>
      <c r="BT22" s="314">
        <f>SUM(BT16:BT21)</f>
        <v>1</v>
      </c>
      <c r="BU22" s="190"/>
      <c r="BV22" s="306">
        <f>SUM(BV16:BV21)</f>
        <v>429665.09365079366</v>
      </c>
      <c r="BW22" s="314">
        <f>SUM(BW16:BW21)</f>
        <v>0.99999999999999989</v>
      </c>
      <c r="BX22" s="190"/>
      <c r="BY22" s="306">
        <f>SUM(BY16:BY21)</f>
        <v>967540.74066666665</v>
      </c>
      <c r="BZ22" s="314">
        <f>SUM(BZ16:BZ21)</f>
        <v>1</v>
      </c>
      <c r="CA22" s="190"/>
      <c r="CB22" s="306">
        <f>'Hub Data'!G3</f>
        <v>0</v>
      </c>
      <c r="CC22" s="314">
        <v>0</v>
      </c>
      <c r="CD22" s="190"/>
      <c r="CE22" s="306">
        <f>'Hub Data'!G2</f>
        <v>50000</v>
      </c>
      <c r="CF22" s="314">
        <f>SUM(CF16:CF21)</f>
        <v>0</v>
      </c>
      <c r="CG22" s="190"/>
      <c r="CH22" s="306"/>
      <c r="CI22" s="314"/>
      <c r="CJ22" s="190"/>
      <c r="CK22" s="306"/>
      <c r="CL22" s="314"/>
      <c r="CM22" s="190"/>
      <c r="CN22" s="306"/>
      <c r="CO22" s="314"/>
      <c r="CP22" s="190"/>
    </row>
    <row r="23" spans="1:94" x14ac:dyDescent="0.15">
      <c r="A23" s="137">
        <f t="shared" si="0"/>
        <v>18</v>
      </c>
      <c r="C23" s="136" t="s">
        <v>253</v>
      </c>
      <c r="E23" s="299">
        <v>80000</v>
      </c>
      <c r="F23" s="300"/>
      <c r="G23" s="136"/>
      <c r="H23" s="204">
        <f>H22+H14</f>
        <v>872391.03508144873</v>
      </c>
      <c r="I23" s="300"/>
      <c r="J23" s="136"/>
      <c r="K23" s="204">
        <f>K22+K14</f>
        <v>1089930.8758095237</v>
      </c>
      <c r="L23" s="300"/>
      <c r="M23" s="136"/>
      <c r="N23" s="204">
        <f>N22+N14</f>
        <v>747407.91899999999</v>
      </c>
      <c r="O23" s="136"/>
      <c r="P23" s="136"/>
      <c r="Q23" s="204">
        <f>Q22+Q14</f>
        <v>792117.53556360304</v>
      </c>
      <c r="R23" s="136"/>
      <c r="S23" s="136"/>
      <c r="T23" s="204">
        <f>T22+T14</f>
        <v>708654.80641304352</v>
      </c>
      <c r="U23" s="136"/>
      <c r="V23" s="136"/>
      <c r="W23" s="204">
        <f>W22+W14</f>
        <v>1126157.1721416132</v>
      </c>
      <c r="X23" s="136"/>
      <c r="Y23" s="136"/>
      <c r="Z23" s="204">
        <f>Z22+Z14</f>
        <v>3577655.3090357147</v>
      </c>
      <c r="AA23" s="301"/>
      <c r="AB23" s="136"/>
      <c r="AC23" s="204">
        <f>AC22+AC14</f>
        <v>2260279.5896143895</v>
      </c>
      <c r="AD23" s="301"/>
      <c r="AE23" s="136"/>
      <c r="AF23" s="204">
        <f>AF22+AF14</f>
        <v>1012815.8507142857</v>
      </c>
      <c r="AG23" s="301"/>
      <c r="AH23" s="136"/>
      <c r="AI23" s="251">
        <f>AI14+AI22</f>
        <v>2113935.1256349208</v>
      </c>
      <c r="AJ23" s="136"/>
      <c r="AK23" s="136"/>
      <c r="AL23" s="251">
        <f>AL14+AL22</f>
        <v>4423481.0986666661</v>
      </c>
      <c r="AM23" s="136"/>
      <c r="AN23" s="136"/>
      <c r="AO23" s="251">
        <f>AO14+AO22</f>
        <v>2030220.8554980159</v>
      </c>
      <c r="AP23" s="136"/>
      <c r="AQ23" s="136"/>
      <c r="AR23" s="204">
        <f>AR22+AR14</f>
        <v>4786106.9474999998</v>
      </c>
      <c r="AS23" s="301"/>
      <c r="AT23" s="136"/>
      <c r="AU23" s="204">
        <f>AU22+AU14</f>
        <v>900540.46222222224</v>
      </c>
      <c r="AV23" s="301"/>
      <c r="AW23" s="136"/>
      <c r="AX23" s="204">
        <f>AX22+AX14</f>
        <v>768836.84791666665</v>
      </c>
      <c r="AY23" s="301"/>
      <c r="AZ23" s="136"/>
      <c r="BA23" s="204">
        <f>BA22+BA14</f>
        <v>2964621.2051515151</v>
      </c>
      <c r="BB23" s="301"/>
      <c r="BC23" s="136"/>
      <c r="BD23" s="204">
        <f>BD22+BD14</f>
        <v>429401.52309523808</v>
      </c>
      <c r="BE23" s="301"/>
      <c r="BF23" s="136"/>
      <c r="BG23" s="204">
        <f>BG22+BG14</f>
        <v>332944.5</v>
      </c>
      <c r="BH23" s="301"/>
      <c r="BI23" s="136"/>
      <c r="BJ23" s="204">
        <f>BJ22+BJ14</f>
        <v>8867552.9133333322</v>
      </c>
      <c r="BK23" s="301"/>
      <c r="BL23" s="136"/>
      <c r="BM23" s="204">
        <f>BM22+BM14</f>
        <v>3261732.6722916663</v>
      </c>
      <c r="BN23" s="301"/>
      <c r="BO23" s="136"/>
      <c r="BP23" s="204">
        <f>BP22+BP14</f>
        <v>3906765.6297222218</v>
      </c>
      <c r="BQ23" s="301"/>
      <c r="BR23" s="136"/>
      <c r="BS23" s="204">
        <f>BS22+BS14</f>
        <v>2485483.6522177206</v>
      </c>
      <c r="BT23" s="301"/>
      <c r="BU23" s="136"/>
      <c r="BV23" s="204">
        <f>BV22+BV14</f>
        <v>6145979.6182020754</v>
      </c>
      <c r="BW23" s="301"/>
      <c r="BX23" s="136"/>
      <c r="BY23" s="204">
        <f>BY22+BY14</f>
        <v>7787658.6960833343</v>
      </c>
      <c r="BZ23" s="301"/>
      <c r="CA23" s="136"/>
      <c r="CB23" s="204">
        <f>CB22+CB14</f>
        <v>1142108</v>
      </c>
      <c r="CC23" s="301"/>
      <c r="CD23" s="136"/>
      <c r="CE23" s="204">
        <f>CE22+CE14</f>
        <v>888500</v>
      </c>
      <c r="CF23" s="301"/>
      <c r="CG23" s="136"/>
      <c r="CH23" s="136"/>
      <c r="CI23" s="301"/>
      <c r="CJ23" s="136"/>
      <c r="CK23" s="136"/>
      <c r="CL23" s="301"/>
      <c r="CM23" s="136"/>
      <c r="CN23" s="136"/>
      <c r="CO23" s="301"/>
    </row>
    <row r="24" spans="1:94" x14ac:dyDescent="0.15">
      <c r="A24" s="137">
        <f t="shared" si="0"/>
        <v>19</v>
      </c>
      <c r="E24" s="187"/>
      <c r="F24" s="192"/>
      <c r="H24" s="194"/>
      <c r="I24" s="192"/>
      <c r="L24" s="192"/>
      <c r="AA24" s="176"/>
      <c r="AD24" s="176"/>
      <c r="AF24" s="173"/>
      <c r="AG24" s="176"/>
      <c r="AS24" s="176"/>
      <c r="AV24" s="176"/>
      <c r="AY24" s="176"/>
      <c r="BK24" s="176"/>
      <c r="BN24" s="176"/>
      <c r="BQ24" s="176"/>
      <c r="CC24" s="176"/>
      <c r="CF24" s="176"/>
      <c r="CI24" s="176"/>
      <c r="CL24" s="176"/>
      <c r="CO24" s="176"/>
    </row>
    <row r="25" spans="1:94" x14ac:dyDescent="0.15">
      <c r="A25" s="137">
        <f t="shared" si="0"/>
        <v>20</v>
      </c>
      <c r="B25" s="136" t="s">
        <v>254</v>
      </c>
      <c r="E25" s="187"/>
      <c r="F25" s="192"/>
      <c r="H25" s="194"/>
      <c r="I25" s="192"/>
      <c r="L25" s="192"/>
      <c r="AA25" s="176"/>
      <c r="AD25" s="176"/>
      <c r="AF25" s="173"/>
      <c r="AG25" s="176"/>
      <c r="AS25" s="176"/>
      <c r="AV25" s="176"/>
      <c r="AY25" s="176"/>
      <c r="BK25" s="176"/>
      <c r="BN25" s="176"/>
      <c r="BQ25" s="176"/>
      <c r="CC25" s="176"/>
      <c r="CF25" s="176"/>
      <c r="CI25" s="176"/>
      <c r="CL25" s="176"/>
      <c r="CO25" s="176"/>
    </row>
    <row r="26" spans="1:94" x14ac:dyDescent="0.15">
      <c r="A26" s="137">
        <f t="shared" si="0"/>
        <v>21</v>
      </c>
      <c r="C26" s="136" t="s">
        <v>112</v>
      </c>
      <c r="E26" s="177">
        <f>0.6*E28</f>
        <v>37920</v>
      </c>
      <c r="F26" s="178"/>
      <c r="G26" s="179"/>
      <c r="H26" s="256">
        <f>'INN Rollups 2021'!E17</f>
        <v>387710.28823529411</v>
      </c>
      <c r="I26" s="178">
        <f>H26/H$28</f>
        <v>0.60679800927563121</v>
      </c>
      <c r="J26" s="179"/>
      <c r="K26" s="173">
        <f>'INN Rollups 2021'!E32</f>
        <v>280046.55809523811</v>
      </c>
      <c r="L26" s="176">
        <f>K26/$K$28</f>
        <v>0.58919688284393557</v>
      </c>
      <c r="M26" s="256"/>
      <c r="N26" s="173">
        <f>'INN Rollups 2021'!E47</f>
        <v>195557</v>
      </c>
      <c r="O26" s="179">
        <f>N26/$N$28</f>
        <v>0.56566267024924544</v>
      </c>
      <c r="P26" s="179"/>
      <c r="Q26" s="173">
        <f>'INN Rollups 2021'!E62</f>
        <v>191722.71458333335</v>
      </c>
      <c r="R26" s="179">
        <f>Q26/Q28</f>
        <v>0.60395769820616452</v>
      </c>
      <c r="S26" s="179"/>
      <c r="T26" s="173">
        <f>'INN Rollups 2021'!E77</f>
        <v>263905.73181818181</v>
      </c>
      <c r="U26" s="179">
        <f>T26/T28</f>
        <v>0.6807342546592734</v>
      </c>
      <c r="V26" s="179"/>
      <c r="W26" s="173">
        <f>'INN Rollups 2021'!E92</f>
        <v>513133.53656249994</v>
      </c>
      <c r="X26" s="179">
        <f>W26/W28</f>
        <v>0.57626670521744894</v>
      </c>
      <c r="Y26" s="179"/>
      <c r="Z26" s="173">
        <f>'INN Rollups 2021'!K17</f>
        <v>694815.35583333333</v>
      </c>
      <c r="AA26" s="176">
        <f>Z26/Z28</f>
        <v>0.63758537397859216</v>
      </c>
      <c r="AB26" s="179"/>
      <c r="AC26" s="173">
        <f>'INN Rollups 2021'!K32</f>
        <v>835167.6508695652</v>
      </c>
      <c r="AD26" s="176">
        <f>AC26/AC28</f>
        <v>0.59488710387656019</v>
      </c>
      <c r="AE26" s="179"/>
      <c r="AF26" s="173">
        <f>'INN Rollups 2021'!K47</f>
        <v>566330.125</v>
      </c>
      <c r="AG26" s="176">
        <f>AF26/AF28</f>
        <v>0.73847670712718272</v>
      </c>
      <c r="AH26" s="179"/>
      <c r="AI26" s="256">
        <f>'INN Rollups 2021'!K62</f>
        <v>732092.87555555557</v>
      </c>
      <c r="AJ26" s="179">
        <f>AI26/AI28</f>
        <v>0.55849413940011061</v>
      </c>
      <c r="AK26" s="179"/>
      <c r="AL26" s="173">
        <f>'INN Rollups 2021'!K77</f>
        <v>962756.5135</v>
      </c>
      <c r="AM26" s="179">
        <f>AL26/AL28</f>
        <v>0.72719135026851167</v>
      </c>
      <c r="AN26" s="179"/>
      <c r="AO26" s="173">
        <f>'INN Rollups 2021'!K92</f>
        <v>493891.46750000003</v>
      </c>
      <c r="AP26" s="179">
        <f>AO26/AO28</f>
        <v>0.55529610214584613</v>
      </c>
      <c r="AQ26" s="179"/>
      <c r="AR26" s="173">
        <f>'INN Rollups 2021'!Q17</f>
        <v>1657087.8</v>
      </c>
      <c r="AS26" s="176">
        <f>AR26/AR28</f>
        <v>0.49850681504235156</v>
      </c>
      <c r="AT26" s="179"/>
      <c r="AU26" s="173">
        <f>'INN Rollups 2021'!Q32</f>
        <v>155283.5</v>
      </c>
      <c r="AV26" s="176">
        <f>AU26/AU28</f>
        <v>0.46081437490030824</v>
      </c>
      <c r="AW26" s="179"/>
      <c r="AX26" s="173">
        <f>'INN Rollups 2021'!Q47</f>
        <v>304670.5</v>
      </c>
      <c r="AY26" s="176">
        <f>AX26/AX28</f>
        <v>0.74679930766692393</v>
      </c>
      <c r="AZ26" s="179"/>
      <c r="BA26" s="256">
        <f>'INN Rollups 2021'!Q62</f>
        <v>980631.1</v>
      </c>
      <c r="BB26" s="179">
        <f>BA26/BA28</f>
        <v>0.58391429653271543</v>
      </c>
      <c r="BC26" s="179"/>
      <c r="BD26" s="173">
        <f>'INN Rollups 2021'!Q77</f>
        <v>197626.66666666666</v>
      </c>
      <c r="BE26" s="179">
        <f>BD26/BD28</f>
        <v>0.71756694360513007</v>
      </c>
      <c r="BF26" s="179"/>
      <c r="BG26" s="173">
        <f>'INN Rollups 2021'!Q92</f>
        <v>194600</v>
      </c>
      <c r="BH26" s="179">
        <f>BG26/BG28</f>
        <v>0.23539350633264172</v>
      </c>
      <c r="BI26" s="179"/>
      <c r="BJ26" s="173">
        <f>'INN Rollups 2021'!W17</f>
        <v>6396387.25</v>
      </c>
      <c r="BK26" s="176">
        <f>BJ26/BJ28</f>
        <v>0.59927809282305844</v>
      </c>
      <c r="BL26" s="179"/>
      <c r="BM26" s="173">
        <f>'INN Rollups 2021'!W32</f>
        <v>1300633.6666666667</v>
      </c>
      <c r="BN26" s="176">
        <f>BM26/BM28</f>
        <v>0.5804436261807544</v>
      </c>
      <c r="BO26" s="179"/>
      <c r="BP26" s="173">
        <f>'INN Rollups 2021'!W47</f>
        <v>1375785.7085000002</v>
      </c>
      <c r="BQ26" s="176">
        <f>BP26/BP28</f>
        <v>0.62287298093414223</v>
      </c>
      <c r="BR26" s="179"/>
      <c r="BS26" s="256">
        <f>'INN Rollups 2021'!W62</f>
        <v>1051833.1813043479</v>
      </c>
      <c r="BT26" s="179">
        <f>BS26/BS28</f>
        <v>0.50686053790850805</v>
      </c>
      <c r="BU26" s="179"/>
      <c r="BV26" s="173">
        <f>'INN Rollups 2021'!W77</f>
        <v>2726156.8</v>
      </c>
      <c r="BW26" s="179">
        <f>BV26/BV28</f>
        <v>0.55979947709604505</v>
      </c>
      <c r="BX26" s="179"/>
      <c r="BY26" s="173">
        <f>'INN Rollups 2021'!W92</f>
        <v>4626712.875</v>
      </c>
      <c r="BZ26" s="179">
        <f>BY26/BY28</f>
        <v>0.7535457488636258</v>
      </c>
      <c r="CA26" s="179"/>
      <c r="CB26" s="173">
        <f>'Hub Data'!$H$3*Assumptions!B32</f>
        <v>568822.79999999993</v>
      </c>
      <c r="CC26" s="176">
        <f>CB26/CB28</f>
        <v>0.6</v>
      </c>
      <c r="CD26" s="179"/>
      <c r="CE26" s="173">
        <f>(AVERAGE('Hub Data'!$H$2,'Hub Data'!$H$4))*Assumptions!B32</f>
        <v>479525.69999999995</v>
      </c>
      <c r="CF26" s="176">
        <f>CE26/CE28</f>
        <v>0.6</v>
      </c>
      <c r="CG26" s="179"/>
      <c r="CH26" s="173">
        <f>AVERAGEIF('Public Radio Data'!$C$2:$C$9,"Small",'Public Radio Data'!I2:I9)</f>
        <v>497469</v>
      </c>
      <c r="CI26" s="176">
        <f>CH26/CH28</f>
        <v>0.63278541513627995</v>
      </c>
      <c r="CJ26" s="179"/>
      <c r="CK26" s="173">
        <f>AVERAGEIF('Public Radio Data'!C2:C9,"Medium",'Public Radio Data'!I2:I9)</f>
        <v>2467649.5</v>
      </c>
      <c r="CL26" s="176">
        <f>CK26/CK28</f>
        <v>0.72614094696873277</v>
      </c>
      <c r="CM26" s="179"/>
      <c r="CN26" s="173">
        <f>AVERAGEIF('Public Radio Data'!C2:C9,"Large",'Public Radio Data'!I2:I9)</f>
        <v>3949969</v>
      </c>
      <c r="CO26" s="176">
        <f>CN26/CN28</f>
        <v>0.83445868187660877</v>
      </c>
      <c r="CP26" s="179"/>
    </row>
    <row r="27" spans="1:94" x14ac:dyDescent="0.15">
      <c r="A27" s="137">
        <f t="shared" si="0"/>
        <v>22</v>
      </c>
      <c r="C27" s="181" t="s">
        <v>113</v>
      </c>
      <c r="D27" s="195"/>
      <c r="E27" s="182">
        <f>0.4*E28</f>
        <v>25280</v>
      </c>
      <c r="F27" s="183"/>
      <c r="G27" s="179"/>
      <c r="H27" s="184">
        <f>'INN Rollups 2021'!E18</f>
        <v>251234.2737254902</v>
      </c>
      <c r="I27" s="183">
        <f>H27/H$28</f>
        <v>0.39320199072436884</v>
      </c>
      <c r="J27" s="179"/>
      <c r="K27" s="184">
        <f>'INN Rollups 2021'!E33</f>
        <v>195255.61380952378</v>
      </c>
      <c r="L27" s="183">
        <f>K27/$K$28</f>
        <v>0.41080311715606443</v>
      </c>
      <c r="M27" s="256"/>
      <c r="N27" s="184">
        <f>'INN Rollups 2021'!E48</f>
        <v>150156.10833333334</v>
      </c>
      <c r="O27" s="185">
        <f>N27/$N$28</f>
        <v>0.43433732975075456</v>
      </c>
      <c r="P27" s="179"/>
      <c r="Q27" s="184">
        <f>'INN Rollups 2021'!E63</f>
        <v>125721.23083333332</v>
      </c>
      <c r="R27" s="185">
        <f>Q27/Q28</f>
        <v>0.39604230179383543</v>
      </c>
      <c r="S27" s="179"/>
      <c r="T27" s="184">
        <f>'INN Rollups 2021'!E78</f>
        <v>123772.3231818182</v>
      </c>
      <c r="U27" s="185">
        <f>T27/T28</f>
        <v>0.3192657453407266</v>
      </c>
      <c r="V27" s="179"/>
      <c r="W27" s="184">
        <f>'INN Rollups 2021'!E93</f>
        <v>377310.99531250005</v>
      </c>
      <c r="X27" s="185">
        <f>W27/W28</f>
        <v>0.42373329478255106</v>
      </c>
      <c r="Y27" s="179"/>
      <c r="Z27" s="184">
        <f>'INN Rollups 2021'!K18</f>
        <v>394945.14399999997</v>
      </c>
      <c r="AA27" s="183">
        <f>Z27/Z28</f>
        <v>0.36241462602140784</v>
      </c>
      <c r="AB27" s="179"/>
      <c r="AC27" s="184">
        <f>'INN Rollups 2021'!K33</f>
        <v>568741.83956521738</v>
      </c>
      <c r="AD27" s="183">
        <f>AC27/AC28</f>
        <v>0.40511289612343981</v>
      </c>
      <c r="AE27" s="179"/>
      <c r="AF27" s="184">
        <f>'INN Rollups 2021'!K48</f>
        <v>200559.5</v>
      </c>
      <c r="AG27" s="183">
        <f>AF27/AF28</f>
        <v>0.26152329287281728</v>
      </c>
      <c r="AH27" s="179"/>
      <c r="AI27" s="184">
        <f>'INN Rollups 2021'!K63</f>
        <v>578740.71052631584</v>
      </c>
      <c r="AJ27" s="185">
        <f>AI27/AI28</f>
        <v>0.44150586059988944</v>
      </c>
      <c r="AK27" s="179"/>
      <c r="AL27" s="184">
        <f>'INN Rollups 2021'!K78</f>
        <v>361181.83250000002</v>
      </c>
      <c r="AM27" s="185">
        <f>AL27/AL28</f>
        <v>0.27280864973148838</v>
      </c>
      <c r="AN27" s="179"/>
      <c r="AO27" s="184">
        <f>'INN Rollups 2021'!K93</f>
        <v>395528.54749999999</v>
      </c>
      <c r="AP27" s="185">
        <f>AO27/AO28</f>
        <v>0.44470389785415382</v>
      </c>
      <c r="AQ27" s="179"/>
      <c r="AR27" s="184">
        <f>'INN Rollups 2021'!Q18</f>
        <v>1667014.8</v>
      </c>
      <c r="AS27" s="183">
        <f>AR27/AR28</f>
        <v>0.50149318495764839</v>
      </c>
      <c r="AT27" s="179"/>
      <c r="AU27" s="184">
        <f>'INN Rollups 2021'!Q33</f>
        <v>181692.75</v>
      </c>
      <c r="AV27" s="183">
        <f>AU27/AU28</f>
        <v>0.5391856250996917</v>
      </c>
      <c r="AW27" s="179"/>
      <c r="AX27" s="184">
        <f>'INN Rollups 2021'!Q48</f>
        <v>103297.875</v>
      </c>
      <c r="AY27" s="183">
        <f>AX27/AX28</f>
        <v>0.25320069233307607</v>
      </c>
      <c r="AZ27" s="179"/>
      <c r="BA27" s="184">
        <f>'INN Rollups 2021'!Q63</f>
        <v>698778.2</v>
      </c>
      <c r="BB27" s="185">
        <f>BA27/BA28</f>
        <v>0.41608570346728463</v>
      </c>
      <c r="BC27" s="179"/>
      <c r="BD27" s="184">
        <f>'INN Rollups 2021'!Q78</f>
        <v>77785.5</v>
      </c>
      <c r="BE27" s="185">
        <f>BD27/BD28</f>
        <v>0.28243305639487004</v>
      </c>
      <c r="BF27" s="179"/>
      <c r="BG27" s="184">
        <f>'INN Rollups 2021'!Q93</f>
        <v>632100.80000000005</v>
      </c>
      <c r="BH27" s="185">
        <f>BG27/BG28</f>
        <v>0.76460649366735822</v>
      </c>
      <c r="BI27" s="179"/>
      <c r="BJ27" s="184">
        <f>'INN Rollups 2021'!W18</f>
        <v>4277100.2787500005</v>
      </c>
      <c r="BK27" s="183">
        <f>BJ27/BJ28</f>
        <v>0.40072190717694151</v>
      </c>
      <c r="BL27" s="179"/>
      <c r="BM27" s="184">
        <f>'INN Rollups 2021'!W33</f>
        <v>940124.27777777775</v>
      </c>
      <c r="BN27" s="183">
        <f>BM27/BM28</f>
        <v>0.4195563738192456</v>
      </c>
      <c r="BO27" s="179"/>
      <c r="BP27" s="184">
        <f>'INN Rollups 2021'!W48</f>
        <v>832988.39249999996</v>
      </c>
      <c r="BQ27" s="183">
        <f>BP27/BP28</f>
        <v>0.37712701906585777</v>
      </c>
      <c r="BR27" s="179"/>
      <c r="BS27" s="184">
        <f>'INN Rollups 2021'!W63</f>
        <v>1023359.307826087</v>
      </c>
      <c r="BT27" s="185">
        <f>BS27/BS28</f>
        <v>0.49313946209149195</v>
      </c>
      <c r="BU27" s="179"/>
      <c r="BV27" s="184">
        <f>'INN Rollups 2021'!W78</f>
        <v>2143724.1333333333</v>
      </c>
      <c r="BW27" s="185">
        <f>BV27/BV28</f>
        <v>0.44020052290395489</v>
      </c>
      <c r="BX27" s="179"/>
      <c r="BY27" s="184">
        <f>'INN Rollups 2021'!W93</f>
        <v>1513210.125</v>
      </c>
      <c r="BZ27" s="185">
        <f>BY27/BY28</f>
        <v>0.24645425113637418</v>
      </c>
      <c r="CA27" s="179"/>
      <c r="CB27" s="184">
        <f>'Hub Data'!$H$3*Assumptions!B33</f>
        <v>379215.2</v>
      </c>
      <c r="CC27" s="183">
        <f>CB27/CB28</f>
        <v>0.4</v>
      </c>
      <c r="CD27" s="179"/>
      <c r="CE27" s="184">
        <f>(AVERAGE('Hub Data'!$H$2,'Hub Data'!$H$4))*Assumptions!B33</f>
        <v>319683.80000000005</v>
      </c>
      <c r="CF27" s="183">
        <f>CE27/CE28</f>
        <v>0.40000000000000008</v>
      </c>
      <c r="CG27" s="179"/>
      <c r="CH27" s="184">
        <f>AVERAGEIF('Public Radio Data'!$C$2:$C$9,"Small",'Public Radio Data'!J2:J9)</f>
        <v>288688.5</v>
      </c>
      <c r="CI27" s="183">
        <f>CH27/CH28</f>
        <v>0.36721458486372005</v>
      </c>
      <c r="CJ27" s="179"/>
      <c r="CK27" s="184">
        <f>AVERAGEIF('Public Radio Data'!C2:C9,"Medium",'Public Radio Data'!J2:J9)</f>
        <v>930657</v>
      </c>
      <c r="CL27" s="183">
        <f>CK27/CK28</f>
        <v>0.27385905303126717</v>
      </c>
      <c r="CM27" s="179"/>
      <c r="CN27" s="184">
        <f>AVERAGEIF('Public Radio Data'!C2:C9,"Large",'Public Radio Data'!J2:J9)</f>
        <v>783601.5</v>
      </c>
      <c r="CO27" s="183">
        <f>CN27/CN28</f>
        <v>0.16554131812339121</v>
      </c>
      <c r="CP27" s="179"/>
    </row>
    <row r="28" spans="1:94" s="136" customFormat="1" x14ac:dyDescent="0.15">
      <c r="A28" s="136">
        <f t="shared" si="0"/>
        <v>23</v>
      </c>
      <c r="C28" s="136" t="s">
        <v>255</v>
      </c>
      <c r="D28" s="307"/>
      <c r="E28" s="308">
        <f>0.79*E23</f>
        <v>63200</v>
      </c>
      <c r="F28" s="309"/>
      <c r="G28" s="218"/>
      <c r="H28" s="204">
        <f>SUM(H26:H27)</f>
        <v>638944.56196078425</v>
      </c>
      <c r="I28" s="309">
        <f>SUM(I26:I27)</f>
        <v>1</v>
      </c>
      <c r="J28" s="218"/>
      <c r="K28" s="251">
        <f>SUM(K26:K27)</f>
        <v>475302.17190476193</v>
      </c>
      <c r="L28" s="301">
        <f>SUM(L26:L27)</f>
        <v>1</v>
      </c>
      <c r="M28" s="310"/>
      <c r="N28" s="251">
        <f>SUM(N26:N27)</f>
        <v>345713.10833333334</v>
      </c>
      <c r="O28" s="168">
        <f>SUM(O26:O27)</f>
        <v>1</v>
      </c>
      <c r="P28" s="305"/>
      <c r="Q28" s="251">
        <f>SUM(Q26:Q27)</f>
        <v>317443.94541666668</v>
      </c>
      <c r="R28" s="168">
        <f>SUM(R26:R27)</f>
        <v>1</v>
      </c>
      <c r="S28" s="305"/>
      <c r="T28" s="251">
        <f>SUM(T26:T27)</f>
        <v>387678.05499999999</v>
      </c>
      <c r="U28" s="168">
        <f>SUM(U26:U27)</f>
        <v>1</v>
      </c>
      <c r="V28" s="305"/>
      <c r="W28" s="251">
        <f>SUM(W26:W27)</f>
        <v>890444.53187499999</v>
      </c>
      <c r="X28" s="168">
        <f>SUM(X26:X27)</f>
        <v>1</v>
      </c>
      <c r="Y28" s="305"/>
      <c r="Z28" s="251">
        <f>SUM(Z26:Z27)</f>
        <v>1089760.4998333333</v>
      </c>
      <c r="AA28" s="301">
        <f>SUM(AA26:AA27)</f>
        <v>1</v>
      </c>
      <c r="AB28" s="305"/>
      <c r="AC28" s="251">
        <f>SUM(AC26:AC27)</f>
        <v>1403909.4904347826</v>
      </c>
      <c r="AD28" s="301">
        <f>SUM(AD26:AD27)</f>
        <v>1</v>
      </c>
      <c r="AE28" s="305"/>
      <c r="AF28" s="251">
        <f>SUM(AF26:AF27)</f>
        <v>766889.625</v>
      </c>
      <c r="AG28" s="301">
        <f>SUM(AG26:AG27)</f>
        <v>1</v>
      </c>
      <c r="AH28" s="305"/>
      <c r="AI28" s="251">
        <f>SUM(AI26:AI27)</f>
        <v>1310833.5860818713</v>
      </c>
      <c r="AJ28" s="301">
        <f>SUM(AJ26:AJ27)</f>
        <v>1</v>
      </c>
      <c r="AK28" s="305"/>
      <c r="AL28" s="251">
        <f>SUM(AL26:AL27)</f>
        <v>1323938.3459999999</v>
      </c>
      <c r="AM28" s="301">
        <f>SUM(AM26:AM27)</f>
        <v>1</v>
      </c>
      <c r="AN28" s="305"/>
      <c r="AO28" s="251">
        <f>SUM(AO26:AO27)</f>
        <v>889420.01500000001</v>
      </c>
      <c r="AP28" s="301">
        <f>SUM(AP26:AP27)</f>
        <v>1</v>
      </c>
      <c r="AQ28" s="305"/>
      <c r="AR28" s="251">
        <f>SUM(AR26:AR27)</f>
        <v>3324102.6</v>
      </c>
      <c r="AS28" s="301">
        <f>SUM(AS26:AS27)</f>
        <v>1</v>
      </c>
      <c r="AT28" s="305"/>
      <c r="AU28" s="251">
        <f>SUM(AU26:AU27)</f>
        <v>336976.25</v>
      </c>
      <c r="AV28" s="301">
        <f>SUM(AV26:AV27)</f>
        <v>1</v>
      </c>
      <c r="AW28" s="305"/>
      <c r="AX28" s="251">
        <f>SUM(AX26:AX27)</f>
        <v>407968.375</v>
      </c>
      <c r="AY28" s="301">
        <f>SUM(AY26:AY27)</f>
        <v>1</v>
      </c>
      <c r="AZ28" s="305"/>
      <c r="BA28" s="251">
        <f>SUM(BA26:BA27)</f>
        <v>1679409.2999999998</v>
      </c>
      <c r="BB28" s="301">
        <f>SUM(BB26:BB27)</f>
        <v>1</v>
      </c>
      <c r="BC28" s="305"/>
      <c r="BD28" s="251">
        <f>SUM(BD26:BD27)</f>
        <v>275412.16666666663</v>
      </c>
      <c r="BE28" s="301">
        <f>SUM(BE26:BE27)</f>
        <v>1</v>
      </c>
      <c r="BF28" s="305"/>
      <c r="BG28" s="251">
        <f>SUM(BG26:BG27)</f>
        <v>826700.80000000005</v>
      </c>
      <c r="BH28" s="301">
        <f>SUM(BH26:BH27)</f>
        <v>1</v>
      </c>
      <c r="BI28" s="305"/>
      <c r="BJ28" s="251">
        <f>SUM(BJ26:BJ27)</f>
        <v>10673487.528750001</v>
      </c>
      <c r="BK28" s="301">
        <f>SUM(BK26:BK27)</f>
        <v>1</v>
      </c>
      <c r="BL28" s="305"/>
      <c r="BM28" s="251">
        <f>SUM(BM26:BM27)</f>
        <v>2240757.9444444445</v>
      </c>
      <c r="BN28" s="301">
        <f>SUM(BN26:BN27)</f>
        <v>1</v>
      </c>
      <c r="BO28" s="305"/>
      <c r="BP28" s="251">
        <f>SUM(BP26:BP27)</f>
        <v>2208774.1010000003</v>
      </c>
      <c r="BQ28" s="301">
        <f>SUM(BQ26:BQ27)</f>
        <v>1</v>
      </c>
      <c r="BR28" s="305"/>
      <c r="BS28" s="251">
        <f>SUM(BS26:BS27)</f>
        <v>2075192.489130435</v>
      </c>
      <c r="BT28" s="301">
        <f>SUM(BT26:BT27)</f>
        <v>1</v>
      </c>
      <c r="BU28" s="305"/>
      <c r="BV28" s="251">
        <f>SUM(BV26:BV27)</f>
        <v>4869880.9333333336</v>
      </c>
      <c r="BW28" s="301">
        <f>SUM(BW26:BW27)</f>
        <v>1</v>
      </c>
      <c r="BX28" s="305"/>
      <c r="BY28" s="251">
        <f>SUM(BY26:BY27)</f>
        <v>6139923</v>
      </c>
      <c r="BZ28" s="301">
        <f>SUM(BZ26:BZ27)</f>
        <v>1</v>
      </c>
      <c r="CA28" s="305"/>
      <c r="CB28" s="311">
        <f>SUM(CB26:CB27)</f>
        <v>948038</v>
      </c>
      <c r="CC28" s="301">
        <f>SUM(CC26:CC27)</f>
        <v>1</v>
      </c>
      <c r="CD28" s="305"/>
      <c r="CE28" s="311">
        <f>SUM(CE26:CE27)</f>
        <v>799209.5</v>
      </c>
      <c r="CF28" s="301">
        <f>SUM(CF26:CF27)</f>
        <v>1</v>
      </c>
      <c r="CG28" s="305"/>
      <c r="CH28" s="311">
        <f>SUM(CH26:CH27)</f>
        <v>786157.5</v>
      </c>
      <c r="CI28" s="301">
        <f>SUM(CI26:CI27)</f>
        <v>1</v>
      </c>
      <c r="CJ28" s="305"/>
      <c r="CK28" s="311">
        <f>SUM(CK26:CK27)</f>
        <v>3398306.5</v>
      </c>
      <c r="CL28" s="301">
        <f>SUM(CL26:CL27)</f>
        <v>1</v>
      </c>
      <c r="CM28" s="305"/>
      <c r="CN28" s="311">
        <f>SUM(CN26:CN27)</f>
        <v>4733570.5</v>
      </c>
      <c r="CO28" s="301">
        <f>SUM(CO26:CO27)</f>
        <v>1</v>
      </c>
      <c r="CP28" s="305"/>
    </row>
    <row r="29" spans="1:94" x14ac:dyDescent="0.15">
      <c r="A29" s="137">
        <f t="shared" si="0"/>
        <v>24</v>
      </c>
      <c r="D29" s="196"/>
      <c r="F29" s="192"/>
      <c r="I29" s="192"/>
      <c r="L29" s="192"/>
      <c r="AA29" s="176"/>
      <c r="AD29" s="176"/>
      <c r="AG29" s="176"/>
      <c r="AS29" s="176"/>
      <c r="AV29" s="176"/>
      <c r="AY29" s="176"/>
      <c r="BK29" s="176"/>
      <c r="BN29" s="176"/>
      <c r="BQ29" s="176"/>
      <c r="CC29" s="176"/>
      <c r="CF29" s="176"/>
      <c r="CI29" s="176"/>
      <c r="CL29" s="176"/>
      <c r="CO29" s="176"/>
    </row>
    <row r="30" spans="1:94" x14ac:dyDescent="0.15">
      <c r="A30" s="137">
        <f t="shared" si="0"/>
        <v>25</v>
      </c>
      <c r="B30" s="136" t="s">
        <v>256</v>
      </c>
      <c r="C30" s="136"/>
      <c r="E30" s="172"/>
      <c r="F30" s="192"/>
      <c r="I30" s="192"/>
      <c r="L30" s="192"/>
      <c r="AA30" s="176"/>
      <c r="AD30" s="176"/>
      <c r="AG30" s="176"/>
      <c r="AS30" s="176"/>
      <c r="AV30" s="176"/>
      <c r="AY30" s="176"/>
      <c r="BK30" s="176"/>
      <c r="BN30" s="176"/>
      <c r="BQ30" s="176"/>
      <c r="CC30" s="176"/>
      <c r="CF30" s="176"/>
      <c r="CI30" s="176"/>
      <c r="CL30" s="176"/>
      <c r="CO30" s="176"/>
    </row>
    <row r="31" spans="1:94" x14ac:dyDescent="0.15">
      <c r="A31" s="137">
        <f t="shared" si="0"/>
        <v>26</v>
      </c>
      <c r="B31" s="136"/>
      <c r="C31" s="136" t="s">
        <v>112</v>
      </c>
      <c r="E31" s="198">
        <f>0.6*E33</f>
        <v>3</v>
      </c>
      <c r="F31" s="178"/>
      <c r="G31" s="179"/>
      <c r="H31" s="199">
        <f>'INN Rollups 2021'!E21</f>
        <v>5.35</v>
      </c>
      <c r="I31" s="178">
        <f>H31/H$33</f>
        <v>0.64703562508216117</v>
      </c>
      <c r="J31" s="179"/>
      <c r="K31" s="199">
        <f>'INN Rollups 2021'!E36</f>
        <v>4.7613636363636367</v>
      </c>
      <c r="L31" s="178">
        <f>K31/K33</f>
        <v>0.69326479737033686</v>
      </c>
      <c r="N31" s="199">
        <f>'INN Rollups 2021'!E51</f>
        <v>2.4166666666666665</v>
      </c>
      <c r="O31" s="167">
        <f>N31/N33</f>
        <v>0.29546612328069277</v>
      </c>
      <c r="P31" s="179"/>
      <c r="Q31" s="199">
        <f>'INN Rollups 2021'!E66</f>
        <v>3.6847826086956523</v>
      </c>
      <c r="R31" s="167">
        <f>Q31/Q33</f>
        <v>0.5505760544079582</v>
      </c>
      <c r="S31" s="179"/>
      <c r="T31" s="199">
        <f>'INN Rollups 2021'!E81</f>
        <v>4.6108695652173912</v>
      </c>
      <c r="U31" s="167">
        <f>T31/T33</f>
        <v>0.69470254615663085</v>
      </c>
      <c r="V31" s="179"/>
      <c r="W31" s="199">
        <f>'INN Rollups 2021'!E96</f>
        <v>6.0189189189189189</v>
      </c>
      <c r="X31" s="167">
        <f>W31/W33</f>
        <v>0.64999192148728024</v>
      </c>
      <c r="Y31" s="179"/>
      <c r="Z31" s="199">
        <f>'INN Rollups 2021'!K21</f>
        <v>7.3055555555555554</v>
      </c>
      <c r="AA31" s="176">
        <f>Z31/Z33</f>
        <v>0.66576329739710527</v>
      </c>
      <c r="AB31" s="179"/>
      <c r="AC31" s="199">
        <f>'INN Rollups 2021'!K36</f>
        <v>9.08</v>
      </c>
      <c r="AD31" s="176">
        <f>AC31/AC33</f>
        <v>0.66102466102466106</v>
      </c>
      <c r="AE31" s="179"/>
      <c r="AF31" s="199">
        <f>'INN Rollups 2021'!K51</f>
        <v>5.4428571428571431</v>
      </c>
      <c r="AG31" s="176">
        <f>AF31/AF33</f>
        <v>0.43164652567975825</v>
      </c>
      <c r="AH31" s="179"/>
      <c r="AI31" s="199">
        <f>'INN Rollups 2021'!K66</f>
        <v>9.448888888888888</v>
      </c>
      <c r="AJ31" s="167">
        <f>AI31/AI33</f>
        <v>0.67739365939142904</v>
      </c>
      <c r="AK31" s="179"/>
      <c r="AL31" s="199">
        <f>'INN Rollups 2021'!K81</f>
        <v>8.4130434782608692</v>
      </c>
      <c r="AM31" s="167">
        <f>AL31/AL33</f>
        <v>0.61575178997613367</v>
      </c>
      <c r="AN31" s="179"/>
      <c r="AO31" s="199">
        <f>'INN Rollups 2021'!K96</f>
        <v>5.9361111111111109</v>
      </c>
      <c r="AP31" s="167">
        <f>AO31/AO33</f>
        <v>0.64877321778489216</v>
      </c>
      <c r="AQ31" s="179"/>
      <c r="AR31" s="199">
        <f>'INN Rollups 2021'!Q21</f>
        <v>13.61</v>
      </c>
      <c r="AS31" s="176">
        <f>AR31/AR33</f>
        <v>0.49428000726348281</v>
      </c>
      <c r="AT31" s="179"/>
      <c r="AU31" s="199">
        <f>'INN Rollups 2021'!Q36</f>
        <v>6.1363636363636367</v>
      </c>
      <c r="AV31" s="176">
        <f>AU31/AU33</f>
        <v>0.69053708439897699</v>
      </c>
      <c r="AW31" s="179"/>
      <c r="AX31" s="199">
        <f>'INN Rollups 2021'!Q51</f>
        <v>4.9285714285714288</v>
      </c>
      <c r="AY31" s="176">
        <f>AX31/AX33</f>
        <v>0.73796791443850274</v>
      </c>
      <c r="AZ31" s="179"/>
      <c r="BA31" s="199">
        <f>'INN Rollups 2021'!Q66</f>
        <v>13.862499999999999</v>
      </c>
      <c r="BB31" s="167">
        <f>BA31/BA33</f>
        <v>0.61948385655234051</v>
      </c>
      <c r="BC31" s="179"/>
      <c r="BD31" s="199">
        <f>'INN Rollups 2021'!Q81</f>
        <v>3.1111111111111112</v>
      </c>
      <c r="BE31" s="167">
        <f>BD31/BD33</f>
        <v>0.6534422403733956</v>
      </c>
      <c r="BF31" s="179"/>
      <c r="BG31" s="199">
        <f>'INN Rollups 2021'!Q96</f>
        <v>6.25</v>
      </c>
      <c r="BH31" s="167">
        <f>BG31/BG33</f>
        <v>0.36101083032490977</v>
      </c>
      <c r="BI31" s="179"/>
      <c r="BJ31" s="199">
        <f>'INN Rollups 2021'!W21</f>
        <v>39.25</v>
      </c>
      <c r="BK31" s="176">
        <f>BJ31/BJ33</f>
        <v>0.80395025603511339</v>
      </c>
      <c r="BL31" s="179"/>
      <c r="BM31" s="199">
        <f>'INN Rollups 2021'!W36</f>
        <v>12.79</v>
      </c>
      <c r="BN31" s="176">
        <f>BM31/BM33</f>
        <v>0.603942863888561</v>
      </c>
      <c r="BO31" s="179"/>
      <c r="BP31" s="199">
        <f>'INN Rollups 2021'!W51</f>
        <v>11.3925</v>
      </c>
      <c r="BQ31" s="176">
        <f>BP31/BP33</f>
        <v>0.57372120063097554</v>
      </c>
      <c r="BR31" s="179"/>
      <c r="BS31" s="199">
        <f>'INN Rollups 2021'!W66</f>
        <v>11.964583333333335</v>
      </c>
      <c r="BT31" s="167">
        <f>BS31/BS33</f>
        <v>0.58210324721396833</v>
      </c>
      <c r="BU31" s="179"/>
      <c r="BV31" s="199">
        <f>'INN Rollups 2021'!W81</f>
        <v>17</v>
      </c>
      <c r="BW31" s="167">
        <f>BV31/BV33</f>
        <v>0.70663469224620312</v>
      </c>
      <c r="BX31" s="179"/>
      <c r="BY31" s="199">
        <f>'INN Rollups 2021'!W96</f>
        <v>29.8125</v>
      </c>
      <c r="BZ31" s="167">
        <f>BY31/BY33</f>
        <v>0.72569602921040621</v>
      </c>
      <c r="CA31" s="179"/>
      <c r="CB31" s="199">
        <v>0</v>
      </c>
      <c r="CC31" s="176">
        <f>CB31/CB33</f>
        <v>0</v>
      </c>
      <c r="CD31" s="179"/>
      <c r="CE31" s="199">
        <f>AVERAGE('Hub Data'!$I$2,'Hub Data'!$I$4)*Assumptions!B32</f>
        <v>6</v>
      </c>
      <c r="CF31" s="176">
        <f>CE31/CE33</f>
        <v>0.6</v>
      </c>
      <c r="CG31" s="179"/>
      <c r="CH31" s="199">
        <f>0.6*CH33</f>
        <v>6.6654213695636555</v>
      </c>
      <c r="CI31" s="176">
        <f>CH31/CH33</f>
        <v>0.6</v>
      </c>
      <c r="CJ31" s="179"/>
      <c r="CK31" s="199">
        <f>0.6*CK33</f>
        <v>15.618828585621223</v>
      </c>
      <c r="CL31" s="176">
        <f>CK31/CK33</f>
        <v>0.6</v>
      </c>
      <c r="CM31" s="179"/>
      <c r="CN31" s="199">
        <f>0.6*CN33</f>
        <v>18.794457026485585</v>
      </c>
      <c r="CO31" s="176">
        <f>CN31/CN33</f>
        <v>0.6</v>
      </c>
      <c r="CP31" s="179"/>
    </row>
    <row r="32" spans="1:94" x14ac:dyDescent="0.15">
      <c r="A32" s="137">
        <f t="shared" si="0"/>
        <v>27</v>
      </c>
      <c r="B32" s="136"/>
      <c r="C32" s="181" t="s">
        <v>113</v>
      </c>
      <c r="D32" s="195"/>
      <c r="E32" s="200">
        <f>0.4*E33</f>
        <v>2</v>
      </c>
      <c r="F32" s="183"/>
      <c r="G32" s="179"/>
      <c r="H32" s="201">
        <f>'INN Rollups 2021'!E22</f>
        <v>2.9184782608695654</v>
      </c>
      <c r="I32" s="183">
        <f>H32/H$33</f>
        <v>0.35296437491783889</v>
      </c>
      <c r="J32" s="179"/>
      <c r="K32" s="201">
        <f>'INN Rollups 2021'!E37</f>
        <v>2.1066666666666669</v>
      </c>
      <c r="L32" s="183">
        <f>K32/K33</f>
        <v>0.30673520262966314</v>
      </c>
      <c r="N32" s="201">
        <f>'INN Rollups 2021'!E52</f>
        <v>5.7625000000000002</v>
      </c>
      <c r="O32" s="185">
        <f>N32/N33</f>
        <v>0.70453387671930712</v>
      </c>
      <c r="P32" s="179"/>
      <c r="Q32" s="201">
        <f>'INN Rollups 2021'!E67</f>
        <v>3.0078125</v>
      </c>
      <c r="R32" s="185">
        <f>Q32/Q33</f>
        <v>0.4494239455920418</v>
      </c>
      <c r="S32" s="179"/>
      <c r="T32" s="201">
        <f>'INN Rollups 2021'!E82</f>
        <v>2.0263157894736841</v>
      </c>
      <c r="U32" s="185">
        <f>T32/T33</f>
        <v>0.30529745384336915</v>
      </c>
      <c r="V32" s="179"/>
      <c r="W32" s="201">
        <f>'INN Rollups 2021'!E97</f>
        <v>3.2410714285714284</v>
      </c>
      <c r="X32" s="185">
        <f>W32/W33</f>
        <v>0.3500080785127197</v>
      </c>
      <c r="Y32" s="179"/>
      <c r="Z32" s="201">
        <f>'INN Rollups 2021'!K22</f>
        <v>3.6676470588235297</v>
      </c>
      <c r="AA32" s="183">
        <f>Z32/Z33</f>
        <v>0.33423670260289479</v>
      </c>
      <c r="AB32" s="179"/>
      <c r="AC32" s="201">
        <f>'INN Rollups 2021'!K37</f>
        <v>4.65625</v>
      </c>
      <c r="AD32" s="183">
        <f>AC32/AC33</f>
        <v>0.33897533897533899</v>
      </c>
      <c r="AE32" s="179"/>
      <c r="AF32" s="201">
        <f>'INN Rollups 2021'!K52</f>
        <v>7.166666666666667</v>
      </c>
      <c r="AG32" s="183">
        <f>AF32/AF33</f>
        <v>0.56835347432024164</v>
      </c>
      <c r="AH32" s="179"/>
      <c r="AI32" s="201">
        <f>'INN Rollups 2021'!K67</f>
        <v>4.5</v>
      </c>
      <c r="AJ32" s="185">
        <f>AI32/AI33</f>
        <v>0.32260634060857102</v>
      </c>
      <c r="AK32" s="179"/>
      <c r="AL32" s="201">
        <f>'INN Rollups 2021'!K82</f>
        <v>5.25</v>
      </c>
      <c r="AM32" s="185">
        <f>AL32/AL33</f>
        <v>0.38424821002386633</v>
      </c>
      <c r="AN32" s="179"/>
      <c r="AO32" s="201">
        <f>'INN Rollups 2021'!K97</f>
        <v>3.2136363636363638</v>
      </c>
      <c r="AP32" s="185">
        <f>AO32/AO33</f>
        <v>0.35122678221510778</v>
      </c>
      <c r="AQ32" s="179"/>
      <c r="AR32" s="201">
        <f>'INN Rollups 2021'!Q22</f>
        <v>13.925000000000001</v>
      </c>
      <c r="AS32" s="183">
        <f>AR32/AR33</f>
        <v>0.50571999273651713</v>
      </c>
      <c r="AT32" s="179"/>
      <c r="AU32" s="201">
        <f>'INN Rollups 2021'!Q37</f>
        <v>2.75</v>
      </c>
      <c r="AV32" s="183">
        <f>AU32/AU33</f>
        <v>0.30946291560102301</v>
      </c>
      <c r="AW32" s="179"/>
      <c r="AX32" s="201">
        <f>'INN Rollups 2021'!Q52</f>
        <v>1.75</v>
      </c>
      <c r="AY32" s="183">
        <f>AX32/AX33</f>
        <v>0.26203208556149732</v>
      </c>
      <c r="AZ32" s="179"/>
      <c r="BA32" s="201">
        <f>'INN Rollups 2021'!Q67</f>
        <v>8.5150000000000006</v>
      </c>
      <c r="BB32" s="185">
        <f>BA32/BA33</f>
        <v>0.38051614344765955</v>
      </c>
      <c r="BC32" s="179"/>
      <c r="BD32" s="201">
        <f>'INN Rollups 2021'!Q82</f>
        <v>1.65</v>
      </c>
      <c r="BE32" s="185">
        <f>BD32/BD33</f>
        <v>0.3465577596266044</v>
      </c>
      <c r="BF32" s="179"/>
      <c r="BG32" s="201">
        <f>'INN Rollups 2021'!Q97</f>
        <v>11.0625</v>
      </c>
      <c r="BH32" s="185">
        <f>BG32/BG33</f>
        <v>0.63898916967509023</v>
      </c>
      <c r="BI32" s="179"/>
      <c r="BJ32" s="201">
        <f>'INN Rollups 2021'!W22</f>
        <v>9.5714285714285712</v>
      </c>
      <c r="BK32" s="183">
        <f>BJ32/BJ33</f>
        <v>0.19604974396488661</v>
      </c>
      <c r="BL32" s="179"/>
      <c r="BM32" s="201">
        <f>'INN Rollups 2021'!W37</f>
        <v>8.3874999999999993</v>
      </c>
      <c r="BN32" s="183">
        <f>BM32/BM33</f>
        <v>0.396057136111439</v>
      </c>
      <c r="BO32" s="179"/>
      <c r="BP32" s="201">
        <f>'INN Rollups 2021'!W52</f>
        <v>8.4647058823529413</v>
      </c>
      <c r="BQ32" s="183">
        <f>BP32/BP33</f>
        <v>0.42627879936902441</v>
      </c>
      <c r="BR32" s="179"/>
      <c r="BS32" s="201">
        <f>'INN Rollups 2021'!W67</f>
        <v>8.5894736842105264</v>
      </c>
      <c r="BT32" s="185">
        <f>BS32/BS33</f>
        <v>0.41789675278603167</v>
      </c>
      <c r="BU32" s="179"/>
      <c r="BV32" s="201">
        <f>'INN Rollups 2021'!W82</f>
        <v>7.0576923076923075</v>
      </c>
      <c r="BW32" s="185">
        <f>BV32/BV33</f>
        <v>0.29336530775379699</v>
      </c>
      <c r="BX32" s="179"/>
      <c r="BY32" s="201">
        <f>'INN Rollups 2021'!W97</f>
        <v>11.268750000000001</v>
      </c>
      <c r="BZ32" s="185">
        <f>BY32/BY33</f>
        <v>0.27430397078959384</v>
      </c>
      <c r="CA32" s="179"/>
      <c r="CB32" s="201">
        <f>'Hub Data'!$I$3</f>
        <v>3</v>
      </c>
      <c r="CC32" s="183">
        <f>CB32/CB33</f>
        <v>1</v>
      </c>
      <c r="CD32" s="179"/>
      <c r="CE32" s="201">
        <f>AVERAGE('Hub Data'!$I$2,'Hub Data'!$I$4)*Assumptions!B33</f>
        <v>4</v>
      </c>
      <c r="CF32" s="183">
        <f>CE32/CE33</f>
        <v>0.4</v>
      </c>
      <c r="CG32" s="179"/>
      <c r="CH32" s="201">
        <f>0.4*CH33</f>
        <v>4.4436142463757706</v>
      </c>
      <c r="CI32" s="183">
        <f>CH32/CH33</f>
        <v>0.4</v>
      </c>
      <c r="CJ32" s="179"/>
      <c r="CK32" s="201">
        <f>0.4*CK33</f>
        <v>10.412552390414149</v>
      </c>
      <c r="CL32" s="183">
        <f>CK32/CK33</f>
        <v>0.4</v>
      </c>
      <c r="CM32" s="179"/>
      <c r="CN32" s="201">
        <f>0.4*CN33</f>
        <v>12.529638017657058</v>
      </c>
      <c r="CO32" s="183">
        <f>CN32/CN33</f>
        <v>0.4</v>
      </c>
      <c r="CP32" s="179"/>
    </row>
    <row r="33" spans="1:94" s="136" customFormat="1" x14ac:dyDescent="0.15">
      <c r="A33" s="136">
        <f t="shared" si="0"/>
        <v>28</v>
      </c>
      <c r="C33" s="136" t="s">
        <v>257</v>
      </c>
      <c r="E33" s="315">
        <v>5</v>
      </c>
      <c r="F33" s="309"/>
      <c r="G33" s="218"/>
      <c r="H33" s="316">
        <f>SUM(H31:H32)</f>
        <v>8.2684782608695642</v>
      </c>
      <c r="I33" s="309">
        <f>SUM(I31:I32)</f>
        <v>1</v>
      </c>
      <c r="J33" s="218"/>
      <c r="K33" s="316">
        <f>SUM(K31:K32)</f>
        <v>6.868030303030304</v>
      </c>
      <c r="L33" s="301">
        <f t="shared" ref="L33:BY33" si="49">SUM(L31:L32)</f>
        <v>1</v>
      </c>
      <c r="M33" s="316"/>
      <c r="N33" s="316">
        <f t="shared" si="49"/>
        <v>8.1791666666666671</v>
      </c>
      <c r="O33" s="168">
        <f t="shared" si="49"/>
        <v>0.99999999999999989</v>
      </c>
      <c r="P33" s="305"/>
      <c r="Q33" s="316">
        <f t="shared" si="49"/>
        <v>6.6925951086956523</v>
      </c>
      <c r="R33" s="168">
        <f t="shared" si="49"/>
        <v>1</v>
      </c>
      <c r="S33" s="305"/>
      <c r="T33" s="316">
        <f t="shared" si="49"/>
        <v>6.6371853546910753</v>
      </c>
      <c r="U33" s="168">
        <f t="shared" si="49"/>
        <v>1</v>
      </c>
      <c r="V33" s="305"/>
      <c r="W33" s="316">
        <f t="shared" si="49"/>
        <v>9.2599903474903478</v>
      </c>
      <c r="X33" s="168">
        <f t="shared" si="49"/>
        <v>1</v>
      </c>
      <c r="Y33" s="305"/>
      <c r="Z33" s="316">
        <f t="shared" si="49"/>
        <v>10.973202614379085</v>
      </c>
      <c r="AA33" s="301">
        <f t="shared" si="49"/>
        <v>1</v>
      </c>
      <c r="AB33" s="305"/>
      <c r="AC33" s="316">
        <f t="shared" si="49"/>
        <v>13.73625</v>
      </c>
      <c r="AD33" s="301">
        <f t="shared" si="49"/>
        <v>1</v>
      </c>
      <c r="AE33" s="305"/>
      <c r="AF33" s="316">
        <f t="shared" si="49"/>
        <v>12.609523809523811</v>
      </c>
      <c r="AG33" s="301">
        <f t="shared" si="49"/>
        <v>0.99999999999999989</v>
      </c>
      <c r="AH33" s="305"/>
      <c r="AI33" s="316">
        <f t="shared" si="49"/>
        <v>13.948888888888888</v>
      </c>
      <c r="AJ33" s="301">
        <f t="shared" si="49"/>
        <v>1</v>
      </c>
      <c r="AK33" s="305"/>
      <c r="AL33" s="316">
        <f t="shared" si="49"/>
        <v>13.663043478260869</v>
      </c>
      <c r="AM33" s="301">
        <f t="shared" si="49"/>
        <v>1</v>
      </c>
      <c r="AN33" s="305"/>
      <c r="AO33" s="316">
        <f t="shared" si="49"/>
        <v>9.1497474747474747</v>
      </c>
      <c r="AP33" s="301">
        <f t="shared" si="49"/>
        <v>1</v>
      </c>
      <c r="AQ33" s="301"/>
      <c r="AR33" s="316">
        <f t="shared" si="49"/>
        <v>27.535</v>
      </c>
      <c r="AS33" s="301">
        <f t="shared" si="49"/>
        <v>1</v>
      </c>
      <c r="AT33" s="305"/>
      <c r="AU33" s="316">
        <f t="shared" si="49"/>
        <v>8.8863636363636367</v>
      </c>
      <c r="AV33" s="301">
        <f t="shared" si="49"/>
        <v>1</v>
      </c>
      <c r="AW33" s="305"/>
      <c r="AX33" s="316">
        <f t="shared" si="49"/>
        <v>6.6785714285714288</v>
      </c>
      <c r="AY33" s="301">
        <f t="shared" si="49"/>
        <v>1</v>
      </c>
      <c r="AZ33" s="305"/>
      <c r="BA33" s="316">
        <f t="shared" si="49"/>
        <v>22.377499999999998</v>
      </c>
      <c r="BB33" s="301">
        <f t="shared" si="49"/>
        <v>1</v>
      </c>
      <c r="BC33" s="305"/>
      <c r="BD33" s="316">
        <f t="shared" si="49"/>
        <v>4.7611111111111111</v>
      </c>
      <c r="BE33" s="301">
        <f t="shared" si="49"/>
        <v>1</v>
      </c>
      <c r="BF33" s="305"/>
      <c r="BG33" s="316">
        <f t="shared" si="49"/>
        <v>17.3125</v>
      </c>
      <c r="BH33" s="301">
        <f t="shared" si="49"/>
        <v>1</v>
      </c>
      <c r="BI33" s="305"/>
      <c r="BJ33" s="316">
        <f t="shared" si="49"/>
        <v>48.821428571428569</v>
      </c>
      <c r="BK33" s="301">
        <f t="shared" si="49"/>
        <v>1</v>
      </c>
      <c r="BL33" s="305"/>
      <c r="BM33" s="316">
        <f t="shared" si="49"/>
        <v>21.177499999999998</v>
      </c>
      <c r="BN33" s="301">
        <f t="shared" si="49"/>
        <v>1</v>
      </c>
      <c r="BO33" s="305"/>
      <c r="BP33" s="316">
        <f t="shared" si="49"/>
        <v>19.857205882352943</v>
      </c>
      <c r="BQ33" s="301">
        <f t="shared" si="49"/>
        <v>1</v>
      </c>
      <c r="BR33" s="305"/>
      <c r="BS33" s="316">
        <f t="shared" si="49"/>
        <v>20.554057017543862</v>
      </c>
      <c r="BT33" s="301">
        <f t="shared" si="49"/>
        <v>1</v>
      </c>
      <c r="BU33" s="305"/>
      <c r="BV33" s="316">
        <f t="shared" si="49"/>
        <v>24.057692307692307</v>
      </c>
      <c r="BW33" s="301">
        <f t="shared" si="49"/>
        <v>1</v>
      </c>
      <c r="BX33" s="305"/>
      <c r="BY33" s="316">
        <f t="shared" si="49"/>
        <v>41.081249999999997</v>
      </c>
      <c r="BZ33" s="301">
        <f t="shared" ref="BZ33" si="50">SUM(BZ31:BZ32)</f>
        <v>1</v>
      </c>
      <c r="CA33" s="305"/>
      <c r="CB33" s="316">
        <f t="shared" ref="CB33" si="51">SUM(CB31:CB32)</f>
        <v>3</v>
      </c>
      <c r="CC33" s="301">
        <f t="shared" ref="CC33" si="52">SUM(CC31:CC32)</f>
        <v>1</v>
      </c>
      <c r="CD33" s="305"/>
      <c r="CE33" s="316">
        <f t="shared" ref="CE33" si="53">SUM(CE31:CE32)</f>
        <v>10</v>
      </c>
      <c r="CF33" s="301">
        <f t="shared" ref="CF33" si="54">SUM(CF31:CF32)</f>
        <v>1</v>
      </c>
      <c r="CG33" s="305"/>
      <c r="CH33" s="316">
        <f>AVERAGEIF('Public Radio Data'!C2:C9,"Small",'Public Radio Data'!N2:N9)</f>
        <v>11.109035615939426</v>
      </c>
      <c r="CI33" s="301">
        <f t="shared" ref="CI33" si="55">SUM(CI31:CI32)</f>
        <v>1</v>
      </c>
      <c r="CJ33" s="305"/>
      <c r="CK33" s="316">
        <f>AVERAGEIF('Public Radio Data'!C2:C9,"Medium",'Public Radio Data'!N2:N9)</f>
        <v>26.031380976035372</v>
      </c>
      <c r="CL33" s="301">
        <f t="shared" ref="CL33" si="56">SUM(CL31:CL32)</f>
        <v>1</v>
      </c>
      <c r="CM33" s="305"/>
      <c r="CN33" s="316">
        <f>AVERAGEIF('Public Radio Data'!C2:C9,"Large",'Public Radio Data'!N2:N9)</f>
        <v>31.324095044142645</v>
      </c>
      <c r="CO33" s="301">
        <f t="shared" ref="CO33" si="57">SUM(CO31:CO32)</f>
        <v>1</v>
      </c>
      <c r="CP33" s="305"/>
    </row>
    <row r="34" spans="1:94" x14ac:dyDescent="0.15">
      <c r="A34" s="137">
        <f t="shared" si="0"/>
        <v>29</v>
      </c>
      <c r="AA34" s="167"/>
      <c r="AS34" s="176"/>
      <c r="AV34" s="167"/>
      <c r="AY34" s="176"/>
      <c r="BK34" s="176"/>
      <c r="BQ34" s="176"/>
      <c r="CC34" s="176"/>
      <c r="CF34" s="176"/>
      <c r="CI34" s="176"/>
      <c r="CL34" s="176"/>
      <c r="CO34" s="176"/>
    </row>
    <row r="35" spans="1:94" x14ac:dyDescent="0.15">
      <c r="A35" s="137">
        <f t="shared" si="0"/>
        <v>30</v>
      </c>
      <c r="B35" s="136" t="s">
        <v>258</v>
      </c>
      <c r="AS35" s="176"/>
      <c r="AV35" s="167"/>
      <c r="BK35" s="176"/>
    </row>
    <row r="36" spans="1:94" x14ac:dyDescent="0.15">
      <c r="A36" s="137">
        <f t="shared" si="0"/>
        <v>31</v>
      </c>
      <c r="C36" s="136" t="s">
        <v>259</v>
      </c>
      <c r="E36" s="194">
        <f>E26/E31</f>
        <v>12640</v>
      </c>
      <c r="F36" s="194"/>
      <c r="G36" s="194"/>
      <c r="H36" s="194">
        <f>H26/H31</f>
        <v>72469.212754260589</v>
      </c>
      <c r="I36" s="194"/>
      <c r="J36" s="194"/>
      <c r="K36" s="194">
        <f>K26/K31</f>
        <v>58816.460888737354</v>
      </c>
      <c r="L36" s="194"/>
      <c r="M36" s="194"/>
      <c r="N36" s="194">
        <f>N26/N31</f>
        <v>80920.137931034493</v>
      </c>
      <c r="O36" s="194"/>
      <c r="P36" s="194"/>
      <c r="Q36" s="194">
        <f>Q26/Q31</f>
        <v>52030.943190757134</v>
      </c>
      <c r="R36" s="194"/>
      <c r="S36" s="194"/>
      <c r="T36" s="194">
        <f>T26/T31</f>
        <v>57235.56654236852</v>
      </c>
      <c r="U36" s="194"/>
      <c r="V36" s="194"/>
      <c r="W36" s="194">
        <f>W26/W31</f>
        <v>85253.438943926798</v>
      </c>
      <c r="X36" s="194"/>
      <c r="Y36" s="194"/>
      <c r="Z36" s="194">
        <f>Z26/Z31</f>
        <v>95107.805361216728</v>
      </c>
      <c r="AA36" s="194"/>
      <c r="AB36" s="194"/>
      <c r="AC36" s="194">
        <f>AC26/AC31</f>
        <v>91978.816175062253</v>
      </c>
      <c r="AD36" s="194"/>
      <c r="AE36" s="194"/>
      <c r="AF36" s="194">
        <f>AF26/AF31</f>
        <v>104050.15419947506</v>
      </c>
      <c r="AG36" s="194"/>
      <c r="AH36" s="194"/>
      <c r="AI36" s="194">
        <f>AI26/AI31</f>
        <v>77479.2554092192</v>
      </c>
      <c r="AJ36" s="194"/>
      <c r="AK36" s="194"/>
      <c r="AL36" s="194">
        <f>AL26/AL31</f>
        <v>114436.17473126616</v>
      </c>
      <c r="AM36" s="194"/>
      <c r="AN36" s="194"/>
      <c r="AO36" s="194">
        <f>AO26/AO31</f>
        <v>83201.183107159581</v>
      </c>
      <c r="AP36" s="194"/>
      <c r="AQ36" s="194"/>
      <c r="AR36" s="194">
        <f>AR26/AR31</f>
        <v>121755.16531961794</v>
      </c>
      <c r="AS36" s="194"/>
      <c r="AT36" s="194"/>
      <c r="AU36" s="194">
        <f>AU26/AU31</f>
        <v>25305.459259259256</v>
      </c>
      <c r="AV36" s="202"/>
      <c r="AW36" s="194"/>
      <c r="AX36" s="194">
        <f>AX26/AX31</f>
        <v>61817.20289855072</v>
      </c>
      <c r="AY36" s="194"/>
      <c r="AZ36" s="194"/>
      <c r="BA36" s="194">
        <f>BA26/BA31</f>
        <v>70739.844905320118</v>
      </c>
      <c r="BB36" s="194"/>
      <c r="BC36" s="194"/>
      <c r="BD36" s="194">
        <f>BD26/BD31</f>
        <v>63522.857142857138</v>
      </c>
      <c r="BE36" s="194"/>
      <c r="BF36" s="194"/>
      <c r="BG36" s="194">
        <f>BG26/BG31</f>
        <v>31136</v>
      </c>
      <c r="BH36" s="194"/>
      <c r="BI36" s="194"/>
      <c r="BJ36" s="194">
        <f>BJ26/BJ31</f>
        <v>162965.28025477708</v>
      </c>
      <c r="BK36" s="194"/>
      <c r="BL36" s="194"/>
      <c r="BM36" s="194">
        <f>BM26/BM31</f>
        <v>101691.45165493876</v>
      </c>
      <c r="BN36" s="194"/>
      <c r="BO36" s="194"/>
      <c r="BP36" s="194">
        <f>BP26/BP31</f>
        <v>120762.40583717359</v>
      </c>
      <c r="BS36" s="194">
        <f>BS26/BS31</f>
        <v>87912.228282445925</v>
      </c>
      <c r="BT36" s="194"/>
      <c r="BU36" s="194"/>
      <c r="BV36" s="194">
        <f>BV26/BV31</f>
        <v>160362.16470588234</v>
      </c>
      <c r="BW36" s="194"/>
      <c r="BX36" s="194"/>
      <c r="BY36" s="194">
        <f>BY26/BY31</f>
        <v>155193.72327044024</v>
      </c>
      <c r="BZ36" s="194"/>
      <c r="CA36" s="194"/>
      <c r="CB36" s="194">
        <v>0</v>
      </c>
      <c r="CE36" s="194">
        <f>CE26/CE31</f>
        <v>79920.95</v>
      </c>
      <c r="CH36" s="194">
        <f>CH26/CH31</f>
        <v>74634.291280007441</v>
      </c>
      <c r="CK36" s="194">
        <f>CK26/CK31</f>
        <v>157991.97017065232</v>
      </c>
      <c r="CN36" s="194">
        <f>CN26/CN31</f>
        <v>210166.69938554821</v>
      </c>
    </row>
    <row r="37" spans="1:94" x14ac:dyDescent="0.15">
      <c r="A37" s="137">
        <f t="shared" si="0"/>
        <v>32</v>
      </c>
      <c r="C37" s="136" t="s">
        <v>260</v>
      </c>
      <c r="E37" s="194">
        <f>E27/E32</f>
        <v>12640</v>
      </c>
      <c r="F37" s="194"/>
      <c r="G37" s="194"/>
      <c r="H37" s="194">
        <f>H27/H32</f>
        <v>86083.9969562201</v>
      </c>
      <c r="I37" s="194"/>
      <c r="J37" s="194"/>
      <c r="K37" s="194">
        <f>K27/K32</f>
        <v>92684.626808318237</v>
      </c>
      <c r="L37" s="194"/>
      <c r="M37" s="194"/>
      <c r="N37" s="194">
        <f>N27/N32</f>
        <v>26057.459146782356</v>
      </c>
      <c r="O37" s="194"/>
      <c r="P37" s="194"/>
      <c r="Q37" s="194">
        <f>Q27/Q32</f>
        <v>41798.227393939393</v>
      </c>
      <c r="R37" s="194"/>
      <c r="S37" s="194"/>
      <c r="T37" s="194">
        <f>T27/T32</f>
        <v>61082.445206611585</v>
      </c>
      <c r="U37" s="194"/>
      <c r="V37" s="194"/>
      <c r="W37" s="194">
        <f>W27/W32</f>
        <v>116415.51370523417</v>
      </c>
      <c r="X37" s="194"/>
      <c r="Y37" s="194"/>
      <c r="Z37" s="194">
        <f>Z27/Z32</f>
        <v>107683.51961507616</v>
      </c>
      <c r="AA37" s="194"/>
      <c r="AB37" s="194"/>
      <c r="AC37" s="194">
        <f>AC27/AC32</f>
        <v>122145.8984301138</v>
      </c>
      <c r="AD37" s="194"/>
      <c r="AE37" s="194"/>
      <c r="AF37" s="194">
        <f>AF27/AF32</f>
        <v>27985.046511627905</v>
      </c>
      <c r="AG37" s="194"/>
      <c r="AH37" s="194"/>
      <c r="AI37" s="194">
        <f>AI27/AI32</f>
        <v>128609.04678362574</v>
      </c>
      <c r="AJ37" s="194"/>
      <c r="AK37" s="194"/>
      <c r="AL37" s="194">
        <f>AL27/AL32</f>
        <v>68796.539523809523</v>
      </c>
      <c r="AM37" s="194"/>
      <c r="AN37" s="194"/>
      <c r="AO37" s="194">
        <f>AO27/AO32</f>
        <v>123078.19016973124</v>
      </c>
      <c r="AP37" s="194"/>
      <c r="AQ37" s="194"/>
      <c r="AR37" s="194">
        <f>AR27/AR32</f>
        <v>119713.80969479354</v>
      </c>
      <c r="AS37" s="194"/>
      <c r="AT37" s="194"/>
      <c r="AU37" s="194">
        <f>AU27/AU32</f>
        <v>66070.090909090912</v>
      </c>
      <c r="AV37" s="194"/>
      <c r="AW37" s="194"/>
      <c r="AX37" s="194">
        <f>AX27/AX32</f>
        <v>59027.357142857145</v>
      </c>
      <c r="AY37" s="194"/>
      <c r="AZ37" s="194"/>
      <c r="BA37" s="194">
        <f>BA27/BA32</f>
        <v>82064.380504991175</v>
      </c>
      <c r="BB37" s="194"/>
      <c r="BC37" s="194"/>
      <c r="BD37" s="194">
        <f>BD27/BD32</f>
        <v>47142.727272727272</v>
      </c>
      <c r="BE37" s="194"/>
      <c r="BF37" s="194"/>
      <c r="BG37" s="194">
        <f>BG27/BG32</f>
        <v>57139.055367231646</v>
      </c>
      <c r="BH37" s="194"/>
      <c r="BI37" s="194"/>
      <c r="BJ37" s="194">
        <f>BJ27/BJ32</f>
        <v>446861.22315298516</v>
      </c>
      <c r="BK37" s="194"/>
      <c r="BL37" s="194"/>
      <c r="BM37" s="194">
        <f>BM27/BM32</f>
        <v>112086.35204504058</v>
      </c>
      <c r="BN37" s="194"/>
      <c r="BO37" s="194"/>
      <c r="BP37" s="194">
        <f>BP27/BP32</f>
        <v>98407.245813064626</v>
      </c>
      <c r="BS37" s="194">
        <f>BS27/BS32</f>
        <v>119141.09588661551</v>
      </c>
      <c r="BT37" s="194"/>
      <c r="BU37" s="194"/>
      <c r="BV37" s="194">
        <f>BV27/BV32</f>
        <v>303742.92897366034</v>
      </c>
      <c r="BW37" s="194"/>
      <c r="BX37" s="194"/>
      <c r="BY37" s="194">
        <f>BY27/BY32</f>
        <v>134283.76039933442</v>
      </c>
      <c r="BZ37" s="194"/>
      <c r="CA37" s="194"/>
      <c r="CB37" s="194">
        <f>CB27/CB32</f>
        <v>126405.06666666667</v>
      </c>
      <c r="CE37" s="194">
        <f>CE27/CE32</f>
        <v>79920.950000000012</v>
      </c>
      <c r="CH37" s="194">
        <f>CH27/CH32</f>
        <v>64967.047991498242</v>
      </c>
      <c r="CK37" s="194">
        <f>CK27/CK32</f>
        <v>89378.37382280716</v>
      </c>
      <c r="CN37" s="194">
        <f>CN27/CN32</f>
        <v>62539.835460188915</v>
      </c>
    </row>
    <row r="38" spans="1:94" x14ac:dyDescent="0.15">
      <c r="A38" s="137">
        <f t="shared" si="0"/>
        <v>33</v>
      </c>
      <c r="C38" s="136" t="s">
        <v>261</v>
      </c>
      <c r="E38" s="199">
        <f>E32/E31</f>
        <v>0.66666666666666663</v>
      </c>
      <c r="H38" s="199">
        <f>H32/H31</f>
        <v>0.5455099553027225</v>
      </c>
      <c r="K38" s="199">
        <f>K32/K31</f>
        <v>0.44245027844073193</v>
      </c>
      <c r="N38" s="199">
        <f>N32/N31</f>
        <v>2.38448275862069</v>
      </c>
      <c r="Q38" s="199">
        <f>Q32/Q31</f>
        <v>0.81627949852507375</v>
      </c>
      <c r="T38" s="199">
        <f>T32/T31</f>
        <v>0.43946499913149206</v>
      </c>
      <c r="W38" s="199">
        <f>W32/W31</f>
        <v>0.5384806594393482</v>
      </c>
      <c r="Z38" s="199">
        <f>Z32/Z31</f>
        <v>0.50203533885036911</v>
      </c>
      <c r="AC38" s="199">
        <f>AC32/AC31</f>
        <v>0.51280286343612336</v>
      </c>
      <c r="AF38" s="199">
        <f>AF32/AF31</f>
        <v>1.3167104111986001</v>
      </c>
      <c r="AI38" s="199">
        <f>AI32/AI31</f>
        <v>0.47624647224835376</v>
      </c>
      <c r="AL38" s="199">
        <f>AL32/AL31</f>
        <v>0.62403100775193798</v>
      </c>
      <c r="AO38" s="199">
        <f>AO32/AO31</f>
        <v>0.54137065554941088</v>
      </c>
      <c r="AR38" s="199">
        <f>AR32/AR31</f>
        <v>1.0231447465099193</v>
      </c>
      <c r="AU38" s="199">
        <f>AU32/AU31</f>
        <v>0.44814814814814813</v>
      </c>
      <c r="AX38" s="199">
        <f>AX32/AX31</f>
        <v>0.35507246376811591</v>
      </c>
      <c r="BA38" s="199">
        <f>BA32/BA31</f>
        <v>0.61424706943192076</v>
      </c>
      <c r="BD38" s="199">
        <f>BD32/BD31</f>
        <v>0.53035714285714286</v>
      </c>
      <c r="BG38" s="199">
        <f>BG32/BG31</f>
        <v>1.77</v>
      </c>
      <c r="BJ38" s="199">
        <f>BJ32/BJ31</f>
        <v>0.24385805277525022</v>
      </c>
      <c r="BM38" s="199">
        <f>BM32/BM31</f>
        <v>0.65578577013291628</v>
      </c>
      <c r="BP38" s="199">
        <f>BP32/BP31</f>
        <v>0.74300688017142347</v>
      </c>
      <c r="BS38" s="199">
        <f>BS32/BS31</f>
        <v>0.71790830026485319</v>
      </c>
      <c r="BV38" s="199">
        <f>BV32/BV31</f>
        <v>0.41515837104072395</v>
      </c>
      <c r="BY38" s="199">
        <f>BY32/BY31</f>
        <v>0.37798742138364783</v>
      </c>
      <c r="CB38" s="320" t="s">
        <v>262</v>
      </c>
      <c r="CE38" s="199">
        <f>CE32/CE31</f>
        <v>0.66666666666666663</v>
      </c>
      <c r="CH38" s="199">
        <f>CH32/CH31</f>
        <v>0.66666666666666674</v>
      </c>
      <c r="CK38" s="199">
        <f>CK32/CK31</f>
        <v>0.66666666666666663</v>
      </c>
      <c r="CN38" s="199">
        <f>CN32/CN31</f>
        <v>0.66666666666666674</v>
      </c>
    </row>
  </sheetData>
  <pageMargins left="0.7" right="0.7" top="0.75" bottom="0.75" header="0.3" footer="0.3"/>
  <pageSetup scale="43" orientation="portrait" horizontalDpi="1200" verticalDpi="1200" r:id="rId1"/>
  <colBreaks count="1" manualBreakCount="1">
    <brk id="43" max="37"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2516-C747-4FA8-8645-10219597711E}">
  <sheetPr>
    <tabColor theme="7" tint="0.39997558519241921"/>
  </sheetPr>
  <dimension ref="A1:W101"/>
  <sheetViews>
    <sheetView view="pageBreakPreview" zoomScale="130" zoomScaleNormal="115" zoomScaleSheetLayoutView="130" workbookViewId="0">
      <selection activeCell="B5" sqref="B5"/>
    </sheetView>
  </sheetViews>
  <sheetFormatPr baseColWidth="10" defaultColWidth="9.1640625" defaultRowHeight="12" x14ac:dyDescent="0.15"/>
  <cols>
    <col min="1" max="1" width="3.83203125" style="137" customWidth="1"/>
    <col min="2" max="2" width="37.1640625" style="137" bestFit="1" customWidth="1"/>
    <col min="3" max="3" width="15.33203125" style="137" bestFit="1" customWidth="1"/>
    <col min="4" max="4" width="9.1640625" style="137" customWidth="1"/>
    <col min="5" max="5" width="12.5" style="137" bestFit="1" customWidth="1"/>
    <col min="6" max="6" width="5.6640625" style="137" customWidth="1"/>
    <col min="7" max="7" width="3.5" style="137" customWidth="1"/>
    <col min="8" max="8" width="24.83203125" style="137" customWidth="1"/>
    <col min="9" max="9" width="15.33203125" style="137" bestFit="1" customWidth="1"/>
    <col min="10" max="10" width="9.1640625" style="137"/>
    <col min="11" max="11" width="14.33203125" style="137" bestFit="1" customWidth="1"/>
    <col min="12" max="12" width="5.6640625" style="137" customWidth="1"/>
    <col min="13" max="13" width="3.83203125" style="137" customWidth="1"/>
    <col min="14" max="14" width="27.1640625" style="137" customWidth="1"/>
    <col min="15" max="15" width="15.33203125" style="137" bestFit="1" customWidth="1"/>
    <col min="16" max="16" width="6.1640625" style="137" bestFit="1" customWidth="1"/>
    <col min="17" max="17" width="14.33203125" style="137" bestFit="1" customWidth="1"/>
    <col min="18" max="18" width="5.6640625" style="137" customWidth="1"/>
    <col min="19" max="19" width="3.6640625" style="137" customWidth="1"/>
    <col min="20" max="20" width="28.83203125" style="137" customWidth="1"/>
    <col min="21" max="21" width="15.33203125" style="137" bestFit="1" customWidth="1"/>
    <col min="22" max="22" width="9.1640625" style="137"/>
    <col min="23" max="23" width="15.33203125" style="137" bestFit="1" customWidth="1"/>
    <col min="24" max="16384" width="9.1640625" style="137"/>
  </cols>
  <sheetData>
    <row r="1" spans="1:23" x14ac:dyDescent="0.15">
      <c r="A1" s="136" t="s">
        <v>0</v>
      </c>
    </row>
    <row r="2" spans="1:23" x14ac:dyDescent="0.15">
      <c r="A2" s="136" t="s">
        <v>2</v>
      </c>
    </row>
    <row r="3" spans="1:23" x14ac:dyDescent="0.15">
      <c r="A3" s="138" t="str">
        <f>INSTRUCTIONS!A3</f>
        <v>March 2022</v>
      </c>
    </row>
    <row r="4" spans="1:23" x14ac:dyDescent="0.15">
      <c r="A4" s="136" t="s">
        <v>263</v>
      </c>
    </row>
    <row r="6" spans="1:23" x14ac:dyDescent="0.15">
      <c r="A6" s="136" t="s">
        <v>264</v>
      </c>
      <c r="C6" s="136">
        <f>C8+I8+O8+U8</f>
        <v>234</v>
      </c>
    </row>
    <row r="8" spans="1:23" x14ac:dyDescent="0.15">
      <c r="A8" s="136" t="s">
        <v>265</v>
      </c>
      <c r="C8" s="136">
        <f>C10+C25+C40</f>
        <v>92</v>
      </c>
      <c r="G8" s="136" t="s">
        <v>266</v>
      </c>
      <c r="I8" s="136">
        <f>I10+I25+I40</f>
        <v>63</v>
      </c>
      <c r="M8" s="136" t="s">
        <v>267</v>
      </c>
      <c r="N8" s="136"/>
      <c r="O8" s="136">
        <f>O10+O25+O40</f>
        <v>30</v>
      </c>
      <c r="S8" s="136" t="s">
        <v>268</v>
      </c>
      <c r="T8" s="136"/>
      <c r="U8" s="136">
        <f>U10+U25+U40</f>
        <v>49</v>
      </c>
    </row>
    <row r="9" spans="1:23" s="159" customFormat="1" ht="13" thickBot="1" x14ac:dyDescent="0.2"/>
    <row r="10" spans="1:23" x14ac:dyDescent="0.15">
      <c r="A10" s="136" t="s">
        <v>120</v>
      </c>
      <c r="C10" s="136">
        <f>COUNTIF(Table13[Scope/Sub-Type],'INN Rollups 2021'!A10)</f>
        <v>60</v>
      </c>
      <c r="E10" s="244"/>
      <c r="G10" s="136" t="s">
        <v>123</v>
      </c>
      <c r="I10" s="136">
        <f>COUNTIF(Table13[Scope/Sub-Type],'INN Rollups 2021'!G10)</f>
        <v>29</v>
      </c>
      <c r="M10" s="136" t="s">
        <v>126</v>
      </c>
      <c r="O10" s="136">
        <f>COUNTIF(Table13[Scope/Sub-Type],'INN Rollups 2021'!M10)</f>
        <v>11</v>
      </c>
      <c r="S10" s="136" t="s">
        <v>129</v>
      </c>
      <c r="U10" s="136">
        <f>COUNTIF(Table13[Scope/Sub-Type],'INN Rollups 2021'!S10)</f>
        <v>8</v>
      </c>
    </row>
    <row r="11" spans="1:23" x14ac:dyDescent="0.15">
      <c r="B11" s="136"/>
    </row>
    <row r="12" spans="1:23" x14ac:dyDescent="0.15">
      <c r="B12" s="136"/>
      <c r="C12" s="288" t="s">
        <v>269</v>
      </c>
      <c r="D12" s="288" t="s">
        <v>270</v>
      </c>
      <c r="E12" s="288" t="s">
        <v>271</v>
      </c>
      <c r="H12" s="136"/>
      <c r="I12" s="288" t="s">
        <v>269</v>
      </c>
      <c r="J12" s="288" t="s">
        <v>270</v>
      </c>
      <c r="K12" s="288" t="s">
        <v>271</v>
      </c>
      <c r="N12" s="136"/>
      <c r="O12" s="288" t="s">
        <v>269</v>
      </c>
      <c r="P12" s="288" t="s">
        <v>270</v>
      </c>
      <c r="Q12" s="288" t="s">
        <v>271</v>
      </c>
      <c r="T12" s="136"/>
      <c r="U12" s="288" t="s">
        <v>269</v>
      </c>
      <c r="V12" s="288" t="s">
        <v>270</v>
      </c>
      <c r="W12" s="288" t="s">
        <v>271</v>
      </c>
    </row>
    <row r="13" spans="1:23" x14ac:dyDescent="0.15">
      <c r="B13" s="137" t="s">
        <v>272</v>
      </c>
      <c r="C13" s="173">
        <f>SUMIF(Table13[Scope/Sub-Type],'INN Rollups 2021'!A10,Table13[Total Contributed Income])</f>
        <v>17527333.109999999</v>
      </c>
      <c r="D13" s="176">
        <f>C13/C15</f>
        <v>0.69192340303138311</v>
      </c>
      <c r="E13" s="194">
        <f>AVERAGEIFS(Table13[Total Contributed Income],Table13[Scope/Sub-Type],'INN Rollups 2021'!A10,Table13[Total Contributed Income],"&gt;0")</f>
        <v>357700.67571428569</v>
      </c>
      <c r="F13" s="167"/>
      <c r="H13" s="137" t="s">
        <v>272</v>
      </c>
      <c r="I13" s="173">
        <f>SUMIF(Table13[Scope/Sub-Type],'INN Rollups 2021'!G10,Table13[Total Contributed Income])</f>
        <v>19170336.259999998</v>
      </c>
      <c r="J13" s="176">
        <f>I13/I15</f>
        <v>0.53605304278489208</v>
      </c>
      <c r="K13" s="194">
        <f>AVERAGEIFS(Table13[Total Contributed Income],Table13[Scope/Sub-Type],'INN Rollups 2021'!G10,Table13[Total Contributed Income],"&gt;0")</f>
        <v>766813.45039999997</v>
      </c>
      <c r="L13" s="167"/>
      <c r="N13" s="137" t="s">
        <v>272</v>
      </c>
      <c r="O13" s="173">
        <f>SUMIF(Table13[Scope/Sub-Type],'INN Rollups 2021'!M10,Table13[Total Contributed Income])</f>
        <v>10680936.789999999</v>
      </c>
      <c r="P13" s="176">
        <f>O13/O15</f>
        <v>0.71766561306580945</v>
      </c>
      <c r="Q13" s="194">
        <f>AVERAGEIFS(Table13[Total Contributed Income],Table13[Scope/Sub-Type],'INN Rollups 2021'!M10,Table13[Total Contributed Income],"&gt;0")</f>
        <v>2136187.358</v>
      </c>
      <c r="R13" s="167"/>
      <c r="T13" s="137" t="s">
        <v>272</v>
      </c>
      <c r="U13" s="173">
        <f>SUMIF(Table13[Scope/Sub-Type],'INN Rollups 2021'!S10,Table13[Total Contributed Income])</f>
        <v>52656780.479999997</v>
      </c>
      <c r="V13" s="176">
        <f>U13/U15</f>
        <v>0.97285476522517167</v>
      </c>
      <c r="W13" s="194">
        <f>AVERAGEIFS(Table13[Total Contributed Income],Table13[Scope/Sub-Type],'INN Rollups 2021'!S10,Table13[Total Contributed Income],"&gt;0")</f>
        <v>6582097.5599999996</v>
      </c>
    </row>
    <row r="14" spans="1:23" x14ac:dyDescent="0.15">
      <c r="B14" s="140" t="s">
        <v>273</v>
      </c>
      <c r="C14" s="184">
        <f>SUMIF(Table13[Scope/Sub-Type],'INN Rollups 2021'!A10,Table13[Total Earned Income])</f>
        <v>7803986.8500000006</v>
      </c>
      <c r="D14" s="183">
        <f>C14/C15</f>
        <v>0.30807659696861689</v>
      </c>
      <c r="E14" s="253">
        <f>AVERAGEIFS(Table13[Total Earned Income],Table13[Scope/Sub-Type],'INN Rollups 2021'!A10,Table13[Total Earned Income],"&gt;0")</f>
        <v>185809.21071428573</v>
      </c>
      <c r="H14" s="140" t="s">
        <v>273</v>
      </c>
      <c r="I14" s="184">
        <f>SUMIF(Table13[Scope/Sub-Type],'INN Rollups 2021'!G10,Table13[Total Earned Income])</f>
        <v>16591677.440000001</v>
      </c>
      <c r="J14" s="183">
        <f>I14/I15</f>
        <v>0.46394695721510781</v>
      </c>
      <c r="K14" s="253">
        <f>AVERAGEIFS(Table13[Total Earned Income],Table13[Scope/Sub-Type],'INN Rollups 2021'!G10,Table13[Total Earned Income],"&gt;0")</f>
        <v>975981.02588235307</v>
      </c>
      <c r="N14" s="140" t="s">
        <v>273</v>
      </c>
      <c r="O14" s="184">
        <f>SUMIF(Table13[Scope/Sub-Type],'INN Rollups 2021'!M10,Table13[Total Earned Income])</f>
        <v>4201951</v>
      </c>
      <c r="P14" s="183">
        <f>O14/O15</f>
        <v>0.28233438693419055</v>
      </c>
      <c r="Q14" s="253">
        <f>AVERAGEIFS(Table13[Total Earned Income],Table13[Scope/Sub-Type],'INN Rollups 2021'!M10,Table13[Total Earned Income],"&gt;0")</f>
        <v>840390.2</v>
      </c>
      <c r="T14" s="140" t="s">
        <v>273</v>
      </c>
      <c r="U14" s="184">
        <f>SUMIF(Table13[Scope/Sub-Type],'INN Rollups 2021'!S10,Table13[Total Earned Income])</f>
        <v>1469264.19</v>
      </c>
      <c r="V14" s="183">
        <f>U14/U15</f>
        <v>2.7145234774828414E-2</v>
      </c>
      <c r="W14" s="253">
        <f>AVERAGEIFS(Table13[Total Earned Income],Table13[Scope/Sub-Type],'INN Rollups 2021'!S10,Table13[Total Earned Income],"&gt;0")</f>
        <v>183658.02374999999</v>
      </c>
    </row>
    <row r="15" spans="1:23" x14ac:dyDescent="0.15">
      <c r="B15" s="137" t="s">
        <v>274</v>
      </c>
      <c r="C15" s="173">
        <f>SUM(C13:C14)</f>
        <v>25331319.960000001</v>
      </c>
      <c r="D15" s="188">
        <f>SUM(D13:D14)</f>
        <v>1</v>
      </c>
      <c r="E15" s="194">
        <f>AVERAGEIFS(Table13[TOTAL INCOME],Table13[Scope/Sub-Type],'INN Rollups 2021'!A10,Table13[TOTAL INCOME],"&gt;0")</f>
        <v>506626.39920000004</v>
      </c>
      <c r="H15" s="137" t="s">
        <v>274</v>
      </c>
      <c r="I15" s="173">
        <f>SUM(I13:I14)</f>
        <v>35762013.700000003</v>
      </c>
      <c r="J15" s="188">
        <f>SUM(J13:J14)</f>
        <v>0.99999999999999989</v>
      </c>
      <c r="K15" s="194">
        <f>AVERAGEIFS(Table13[TOTAL INCOME],Table13[Scope/Sub-Type],'INN Rollups 2021'!G10,Table13[TOTAL INCOME],"&gt;0")</f>
        <v>1430480.5480000002</v>
      </c>
      <c r="N15" s="137" t="s">
        <v>274</v>
      </c>
      <c r="O15" s="173">
        <f>SUM(O13:O14)</f>
        <v>14882887.789999999</v>
      </c>
      <c r="P15" s="188">
        <f>SUM(P13:P14)</f>
        <v>1</v>
      </c>
      <c r="Q15" s="194">
        <f>AVERAGEIFS(Table13[TOTAL INCOME],Table13[Scope/Sub-Type],'INN Rollups 2021'!M10,Table13[TOTAL INCOME],"&gt;0")</f>
        <v>2976577.5579999997</v>
      </c>
      <c r="T15" s="137" t="s">
        <v>274</v>
      </c>
      <c r="U15" s="173">
        <f>SUM(U13:U14)</f>
        <v>54126044.669999994</v>
      </c>
      <c r="V15" s="188">
        <f>SUM(V13:V14)</f>
        <v>1</v>
      </c>
      <c r="W15" s="194">
        <f>AVERAGEIFS(Table13[TOTAL INCOME],Table13[Scope/Sub-Type],'INN Rollups 2021'!S10,Table13[TOTAL INCOME],"&gt;0")</f>
        <v>6765755.5837500002</v>
      </c>
    </row>
    <row r="16" spans="1:23" x14ac:dyDescent="0.15">
      <c r="C16" s="194"/>
      <c r="E16" s="194"/>
      <c r="I16" s="194"/>
      <c r="K16" s="194"/>
      <c r="O16" s="194"/>
      <c r="Q16" s="194"/>
      <c r="U16" s="194"/>
      <c r="W16" s="194"/>
    </row>
    <row r="17" spans="1:23" x14ac:dyDescent="0.15">
      <c r="B17" s="137" t="s">
        <v>275</v>
      </c>
      <c r="C17" s="173">
        <f>SUMIF(Table13[Scope/Sub-Type],'INN Rollups 2021'!A10,Table13[Expenses - Editorial])</f>
        <v>19773224.699999999</v>
      </c>
      <c r="D17" s="176">
        <f>C17/C19</f>
        <v>0.60679800927563121</v>
      </c>
      <c r="E17" s="194">
        <f>AVERAGEIFS(Table13[Expenses - Editorial],Table13[Scope/Sub-Type],'INN Rollups 2021'!A10,Table13[Expenses - Editorial],"&gt;0")</f>
        <v>387710.28823529411</v>
      </c>
      <c r="H17" s="137" t="s">
        <v>275</v>
      </c>
      <c r="I17" s="173">
        <f>SUMIF(Table13[Scope/Sub-Type],'INN Rollups 2021'!G10,Table13[Expenses - Editorial])</f>
        <v>16675568.539999999</v>
      </c>
      <c r="J17" s="176">
        <f>I17/I19</f>
        <v>0.62810067106985967</v>
      </c>
      <c r="K17" s="194">
        <f>AVERAGEIFS(Table13[Expenses - Editorial],Table13[Scope/Sub-Type],'INN Rollups 2021'!G10,Table13[Expenses - Editorial],"&gt;0")</f>
        <v>694815.35583333333</v>
      </c>
      <c r="N17" s="137" t="s">
        <v>275</v>
      </c>
      <c r="O17" s="173">
        <f>SUMIF(Table13[Scope/Sub-Type],'INN Rollups 2021'!M10,Table13[Expenses - Editorial])</f>
        <v>8285439</v>
      </c>
      <c r="P17" s="176">
        <f>O17/O19</f>
        <v>0.49850681504235156</v>
      </c>
      <c r="Q17" s="194">
        <f>AVERAGEIFS(Table13[Expenses - Editorial],Table13[Scope/Sub-Type],'INN Rollups 2021'!M10,Table13[Expenses - Editorial],"&gt;0")</f>
        <v>1657087.8</v>
      </c>
      <c r="T17" s="137" t="s">
        <v>275</v>
      </c>
      <c r="U17" s="173">
        <f>SUMIF(Table13[Scope/Sub-Type],'INN Rollups 2021'!S10,Table13[Expenses - Editorial])</f>
        <v>51171098</v>
      </c>
      <c r="V17" s="176">
        <f>U17/U19</f>
        <v>0.59927809282305844</v>
      </c>
      <c r="W17" s="194">
        <f>AVERAGEIFS(Table13[Expenses - Editorial],Table13[Scope/Sub-Type],'INN Rollups 2021'!S10,Table13[Expenses - Editorial],"&gt;0")</f>
        <v>6396387.25</v>
      </c>
    </row>
    <row r="18" spans="1:23" x14ac:dyDescent="0.15">
      <c r="B18" s="140" t="s">
        <v>276</v>
      </c>
      <c r="C18" s="184">
        <f>SUMIF(Table13[Scope/Sub-Type],'INN Rollups 2021'!A10,Table13[Expenses - Non-Editorial])</f>
        <v>12812947.960000001</v>
      </c>
      <c r="D18" s="183">
        <f>C18/C19</f>
        <v>0.39320199072436884</v>
      </c>
      <c r="E18" s="253">
        <f>AVERAGEIFS(Table13[Expenses - Non-Editorial],Table13[Scope/Sub-Type],'INN Rollups 2021'!A10,Table13[Expenses - Non-Editorial],"&gt;0")</f>
        <v>251234.2737254902</v>
      </c>
      <c r="H18" s="140" t="s">
        <v>276</v>
      </c>
      <c r="I18" s="184">
        <f>SUMIF(Table13[Scope/Sub-Type],'INN Rollups 2021'!G10,Table13[Expenses - Non-Editorial])</f>
        <v>9873628.5999999996</v>
      </c>
      <c r="J18" s="183">
        <f>I18/I19</f>
        <v>0.37189932893014027</v>
      </c>
      <c r="K18" s="253">
        <f>AVERAGEIFS(Table13[Expenses - Non-Editorial],Table13[Scope/Sub-Type],'INN Rollups 2021'!G10,Table13[Expenses - Non-Editorial],"&gt;0")</f>
        <v>394945.14399999997</v>
      </c>
      <c r="N18" s="140" t="s">
        <v>276</v>
      </c>
      <c r="O18" s="184">
        <f>SUMIF(Table13[Scope/Sub-Type],'INN Rollups 2021'!M10,Table13[Expenses - Non-Editorial])</f>
        <v>8335074</v>
      </c>
      <c r="P18" s="183">
        <f>O18/O19</f>
        <v>0.50149318495764839</v>
      </c>
      <c r="Q18" s="253">
        <f>AVERAGEIFS(Table13[Expenses - Non-Editorial],Table13[Scope/Sub-Type],'INN Rollups 2021'!M10,Table13[Expenses - Non-Editorial],"&gt;0")</f>
        <v>1667014.8</v>
      </c>
      <c r="T18" s="140" t="s">
        <v>276</v>
      </c>
      <c r="U18" s="184">
        <f>SUMIF(Table13[Scope/Sub-Type],'INN Rollups 2021'!S10,Table13[Expenses - Non-Editorial])</f>
        <v>34216802.230000004</v>
      </c>
      <c r="V18" s="183">
        <f>U18/U19</f>
        <v>0.40072190717694151</v>
      </c>
      <c r="W18" s="253">
        <f>AVERAGEIFS(Table13[Expenses - Non-Editorial],Table13[Scope/Sub-Type],'INN Rollups 2021'!S10,Table13[Expenses - Non-Editorial],"&gt;0")</f>
        <v>4277100.2787500005</v>
      </c>
    </row>
    <row r="19" spans="1:23" x14ac:dyDescent="0.15">
      <c r="B19" s="137" t="s">
        <v>277</v>
      </c>
      <c r="C19" s="173">
        <f>SUM(C17:C18)</f>
        <v>32586172.66</v>
      </c>
      <c r="D19" s="176">
        <f>SUM(D17:D18)</f>
        <v>1</v>
      </c>
      <c r="E19" s="194">
        <f>AVERAGEIFS(Table13[TOTAL EXPENSES],Table13[Scope/Sub-Type],'INN Rollups 2021'!A10,Table13[TOTAL EXPENSES],"&gt;0")</f>
        <v>638944.56196078437</v>
      </c>
      <c r="F19" s="244"/>
      <c r="H19" s="137" t="s">
        <v>277</v>
      </c>
      <c r="I19" s="173">
        <f>SUM(I17:I18)</f>
        <v>26549197.140000001</v>
      </c>
      <c r="J19" s="176">
        <f>SUM(J17:J18)</f>
        <v>1</v>
      </c>
      <c r="K19" s="194">
        <f>AVERAGEIFS(Table13[TOTAL EXPENSES],Table13[Scope/Sub-Type],'INN Rollups 2021'!G10,Table13[TOTAL EXPENSES],"&gt;0")</f>
        <v>1061967.8855999999</v>
      </c>
      <c r="L19" s="244"/>
      <c r="N19" s="137" t="s">
        <v>277</v>
      </c>
      <c r="O19" s="173">
        <f>SUM(O17:O18)</f>
        <v>16620513</v>
      </c>
      <c r="P19" s="176">
        <f>SUM(P17:P18)</f>
        <v>1</v>
      </c>
      <c r="Q19" s="194">
        <f>AVERAGEIFS(Table13[TOTAL EXPENSES],Table13[Scope/Sub-Type],'INN Rollups 2021'!M10,Table13[TOTAL EXPENSES],"&gt;0")</f>
        <v>3324102.6</v>
      </c>
      <c r="R19" s="244"/>
      <c r="T19" s="137" t="s">
        <v>277</v>
      </c>
      <c r="U19" s="173">
        <f>SUM(U17:U18)</f>
        <v>85387900.230000004</v>
      </c>
      <c r="V19" s="176">
        <f>SUM(V17:V18)</f>
        <v>1</v>
      </c>
      <c r="W19" s="194">
        <f>AVERAGEIFS(Table13[TOTAL EXPENSES],Table13[Scope/Sub-Type],'INN Rollups 2021'!S10,Table13[TOTAL EXPENSES],"&gt;0")</f>
        <v>10673487.528750001</v>
      </c>
    </row>
    <row r="21" spans="1:23" x14ac:dyDescent="0.15">
      <c r="B21" s="137" t="s">
        <v>278</v>
      </c>
      <c r="C21" s="137">
        <f>SUMIF(Table13[Scope/Sub-Type],'INN Rollups 2021'!A10,Table13[Total FTE - Editorial])</f>
        <v>294.25</v>
      </c>
      <c r="D21" s="167">
        <f>C21/C23</f>
        <v>0.68669778296382733</v>
      </c>
      <c r="E21" s="199">
        <f>AVERAGEIFS(Table13[Total FTE - Editorial],Table13[Scope/Sub-Type],'INN Rollups 2021'!A10,Table13[Total FTE - Editorial],"&gt;0")</f>
        <v>5.35</v>
      </c>
      <c r="H21" s="137" t="s">
        <v>278</v>
      </c>
      <c r="I21" s="137">
        <f>SUMIF(Table13[Scope/Sub-Type],'INN Rollups 2021'!G10,Table13[Total FTE - Editorial])</f>
        <v>197.25</v>
      </c>
      <c r="J21" s="167">
        <f>I21/I23</f>
        <v>0.75982280431432969</v>
      </c>
      <c r="K21" s="199">
        <f>AVERAGEIFS(Table13[Total FTE - Editorial],Table13[Scope/Sub-Type],'INN Rollups 2021'!G10,Table13[Total FTE - Editorial],"&gt;0")</f>
        <v>7.3055555555555554</v>
      </c>
      <c r="N21" s="137" t="s">
        <v>278</v>
      </c>
      <c r="O21" s="137">
        <f>SUMIF(Table13[Scope/Sub-Type],'INN Rollups 2021'!M10,Table13[Total FTE - Editorial])</f>
        <v>136.1</v>
      </c>
      <c r="P21" s="167">
        <f>O21/O23</f>
        <v>0.54989898989898989</v>
      </c>
      <c r="Q21" s="199">
        <f>AVERAGEIFS(Table13[Total FTE - Editorial],Table13[Scope/Sub-Type],'INN Rollups 2021'!M10,Table13[Total FTE - Editorial],"&gt;0")</f>
        <v>13.61</v>
      </c>
      <c r="T21" s="137" t="s">
        <v>278</v>
      </c>
      <c r="U21" s="137">
        <f>SUMIF(Table13[Scope/Sub-Type],'INN Rollups 2021'!S10,Table13[Total FTE - Editorial])</f>
        <v>314</v>
      </c>
      <c r="V21" s="167">
        <f>U21/U23</f>
        <v>0.8241469816272966</v>
      </c>
      <c r="W21" s="199">
        <f>AVERAGEIFS(Table13[Total FTE - Editorial],Table13[Scope/Sub-Type],'INN Rollups 2021'!S10,Table13[Total FTE - Editorial],"&gt;0")</f>
        <v>39.25</v>
      </c>
    </row>
    <row r="22" spans="1:23" x14ac:dyDescent="0.15">
      <c r="B22" s="140" t="s">
        <v>279</v>
      </c>
      <c r="C22" s="140">
        <f>SUMIF(Table13[Scope/Sub-Type],'INN Rollups 2021'!A10,Table13[Total FTE - Non-Editorial])</f>
        <v>134.25</v>
      </c>
      <c r="D22" s="185">
        <f>C22/C23</f>
        <v>0.31330221703617267</v>
      </c>
      <c r="E22" s="201">
        <f>AVERAGEIFS(Table13[Total FTE - Non-Editorial],Table13[Scope/Sub-Type],'INN Rollups 2021'!A10,Table13[Total FTE - Non-Editorial],"&gt;0")</f>
        <v>2.9184782608695654</v>
      </c>
      <c r="H22" s="140" t="s">
        <v>279</v>
      </c>
      <c r="I22" s="140">
        <f>SUMIF(Table13[Scope/Sub-Type],'INN Rollups 2021'!G10,Table13[Total FTE - Non-Editorial])</f>
        <v>62.35</v>
      </c>
      <c r="J22" s="185">
        <f>I22/I23</f>
        <v>0.24017719568567025</v>
      </c>
      <c r="K22" s="201">
        <f>AVERAGEIFS(Table13[Total FTE - Non-Editorial],Table13[Scope/Sub-Type],'INN Rollups 2021'!G10,Table13[Total FTE - Non-Editorial],"&gt;0")</f>
        <v>3.6676470588235297</v>
      </c>
      <c r="N22" s="140" t="s">
        <v>279</v>
      </c>
      <c r="O22" s="140">
        <f>SUMIF(Table13[Scope/Sub-Type],'INN Rollups 2021'!M10,Table13[Total FTE - Non-Editorial])</f>
        <v>111.4</v>
      </c>
      <c r="P22" s="185">
        <f>O22/O23</f>
        <v>0.45010101010101011</v>
      </c>
      <c r="Q22" s="201">
        <f>AVERAGEIFS(Table13[Total FTE - Non-Editorial],Table13[Scope/Sub-Type],'INN Rollups 2021'!M10,Table13[Total FTE - Non-Editorial],"&gt;0")</f>
        <v>13.925000000000001</v>
      </c>
      <c r="T22" s="140" t="s">
        <v>279</v>
      </c>
      <c r="U22" s="140">
        <f>SUMIF(Table13[Scope/Sub-Type],'INN Rollups 2021'!S10,Table13[Total FTE - Non-Editorial])</f>
        <v>67</v>
      </c>
      <c r="V22" s="185">
        <f>U22/U23</f>
        <v>0.17585301837270342</v>
      </c>
      <c r="W22" s="201">
        <f>AVERAGEIFS(Table13[Total FTE - Non-Editorial],Table13[Scope/Sub-Type],'INN Rollups 2021'!S10,Table13[Total FTE - Non-Editorial],"&gt;0")</f>
        <v>9.5714285714285712</v>
      </c>
    </row>
    <row r="23" spans="1:23" x14ac:dyDescent="0.15">
      <c r="B23" s="137" t="s">
        <v>280</v>
      </c>
      <c r="C23" s="137">
        <f>SUM(C21:C22)</f>
        <v>428.5</v>
      </c>
      <c r="D23" s="189">
        <f>SUM(D21:D22)</f>
        <v>1</v>
      </c>
      <c r="E23" s="199">
        <f>AVERAGEIFS(Table13[Total FTE],Table13[Scope/Sub-Type],'INN Rollups 2021'!A10,Table13[Total FTE],"&gt;0")</f>
        <v>7.6517857142857144</v>
      </c>
      <c r="H23" s="137" t="s">
        <v>280</v>
      </c>
      <c r="I23" s="137">
        <f>SUM(I21:I22)</f>
        <v>259.60000000000002</v>
      </c>
      <c r="J23" s="189">
        <f>SUM(J21:J22)</f>
        <v>1</v>
      </c>
      <c r="K23" s="199">
        <f>AVERAGEIFS(Table13[Total FTE],Table13[Scope/Sub-Type],'INN Rollups 2021'!G10,Table13[Total FTE],"&gt;0")</f>
        <v>9.6148148148148156</v>
      </c>
      <c r="N23" s="137" t="s">
        <v>280</v>
      </c>
      <c r="O23" s="137">
        <f>SUM(O21:O22)</f>
        <v>247.5</v>
      </c>
      <c r="P23" s="189">
        <f>SUM(P21:P22)</f>
        <v>1</v>
      </c>
      <c r="Q23" s="199">
        <f>AVERAGEIFS(Table13[Total FTE],Table13[Scope/Sub-Type],'INN Rollups 2021'!M10,Table13[Total FTE],"&gt;0")</f>
        <v>24.75</v>
      </c>
      <c r="T23" s="137" t="s">
        <v>280</v>
      </c>
      <c r="U23" s="137">
        <f>SUM(U21:U22)</f>
        <v>381</v>
      </c>
      <c r="V23" s="189">
        <f>SUM(V21:V22)</f>
        <v>1</v>
      </c>
      <c r="W23" s="199">
        <f>AVERAGEIFS(Table13[Total FTE],Table13[Scope/Sub-Type],'INN Rollups 2021'!S10,Table13[Total FTE],"&gt;0")</f>
        <v>47.625</v>
      </c>
    </row>
    <row r="25" spans="1:23" x14ac:dyDescent="0.15">
      <c r="A25" s="136" t="s">
        <v>121</v>
      </c>
      <c r="C25" s="136">
        <f>COUNTIF(Table13[Scope/Sub-Type],'INN Rollups 2021'!A25)</f>
        <v>25</v>
      </c>
      <c r="G25" s="136" t="s">
        <v>124</v>
      </c>
      <c r="I25" s="136">
        <f>COUNTIF(Table13[Scope/Sub-Type],'INN Rollups 2021'!G25)</f>
        <v>26</v>
      </c>
      <c r="M25" s="136" t="s">
        <v>127</v>
      </c>
      <c r="O25" s="136">
        <f>COUNTIF(Table13[Scope/Sub-Type],'INN Rollups 2021'!M25)</f>
        <v>11</v>
      </c>
      <c r="S25" s="136" t="s">
        <v>130</v>
      </c>
      <c r="U25" s="136">
        <f>COUNTIF(Table13[Scope/Sub-Type],'INN Rollups 2021'!S25)</f>
        <v>20</v>
      </c>
    </row>
    <row r="26" spans="1:23" x14ac:dyDescent="0.15">
      <c r="B26" s="136"/>
    </row>
    <row r="27" spans="1:23" x14ac:dyDescent="0.15">
      <c r="B27" s="136"/>
      <c r="C27" s="288" t="s">
        <v>269</v>
      </c>
      <c r="D27" s="288" t="s">
        <v>270</v>
      </c>
      <c r="E27" s="288" t="s">
        <v>271</v>
      </c>
      <c r="H27" s="136"/>
      <c r="I27" s="288" t="s">
        <v>269</v>
      </c>
      <c r="J27" s="288" t="s">
        <v>270</v>
      </c>
      <c r="K27" s="288" t="s">
        <v>271</v>
      </c>
      <c r="N27" s="136"/>
      <c r="O27" s="288" t="s">
        <v>269</v>
      </c>
      <c r="P27" s="288" t="s">
        <v>270</v>
      </c>
      <c r="Q27" s="288" t="s">
        <v>271</v>
      </c>
      <c r="T27" s="136"/>
      <c r="U27" s="288" t="s">
        <v>269</v>
      </c>
      <c r="V27" s="288" t="s">
        <v>270</v>
      </c>
      <c r="W27" s="288" t="s">
        <v>271</v>
      </c>
    </row>
    <row r="28" spans="1:23" x14ac:dyDescent="0.15">
      <c r="B28" s="137" t="s">
        <v>272</v>
      </c>
      <c r="C28" s="173">
        <f>SUMIF(Table13[Scope/Sub-Type],'INN Rollups 2021'!A25,Table13[Total Contributed Income])</f>
        <v>12121443.360000001</v>
      </c>
      <c r="D28" s="176">
        <f>C28/C30</f>
        <v>0.91315181378983579</v>
      </c>
      <c r="E28" s="194">
        <f>AVERAGEIFS(Table13[Total Contributed Income],Table13[Scope/Sub-Type],'INN Rollups 2021'!A25,Table13[Total Contributed Income],"&gt;0")</f>
        <v>550974.69818181824</v>
      </c>
      <c r="H28" s="137" t="s">
        <v>272</v>
      </c>
      <c r="I28" s="173">
        <f>SUMIF(Table13[Scope/Sub-Type],'INN Rollups 2021'!G25,Table13[Total Contributed Income])</f>
        <v>30977651.860000003</v>
      </c>
      <c r="J28" s="176">
        <f>I28/I30</f>
        <v>0.87391664217828968</v>
      </c>
      <c r="K28" s="194">
        <f>AVERAGEIFS(Table13[Total Contributed Income],Table13[Scope/Sub-Type],'INN Rollups 2021'!G25,Table13[Total Contributed Income],"&gt;0")</f>
        <v>1346854.4286956524</v>
      </c>
      <c r="N28" s="137" t="s">
        <v>272</v>
      </c>
      <c r="O28" s="173">
        <f>SUMIF(Table13[Scope/Sub-Type],'INN Rollups 2021'!M25,Table13[Total Contributed Income])</f>
        <v>2989775.2600000002</v>
      </c>
      <c r="P28" s="176">
        <f>O28/O30</f>
        <v>0.7884059881736647</v>
      </c>
      <c r="Q28" s="194">
        <f>AVERAGEIFS(Table13[Total Contributed Income],Table13[Scope/Sub-Type],'INN Rollups 2021'!M25,Table13[Total Contributed Income],"&gt;0")</f>
        <v>298977.52600000001</v>
      </c>
      <c r="T28" s="137" t="s">
        <v>272</v>
      </c>
      <c r="U28" s="173">
        <f>SUMIF(Table13[Scope/Sub-Type],'INN Rollups 2021'!S25,Table13[Total Contributed Income])</f>
        <v>31388154.289999999</v>
      </c>
      <c r="V28" s="176">
        <f>U28/U30</f>
        <v>0.83663118314773333</v>
      </c>
      <c r="W28" s="194">
        <f>AVERAGEIFS(Table13[Total Contributed Income],Table13[Scope/Sub-Type],'INN Rollups 2021'!S25,Table13[Total Contributed Income],"&gt;0")</f>
        <v>1961759.6431249999</v>
      </c>
    </row>
    <row r="29" spans="1:23" x14ac:dyDescent="0.15">
      <c r="B29" s="140" t="s">
        <v>273</v>
      </c>
      <c r="C29" s="184">
        <f>SUMIF(Table13[Scope/Sub-Type],'INN Rollups 2021'!A25,Table13[Total Earned Income])</f>
        <v>1152848.1400000001</v>
      </c>
      <c r="D29" s="183">
        <f>C29/C30</f>
        <v>8.6848186210164213E-2</v>
      </c>
      <c r="E29" s="253">
        <f>AVERAGEIFS(Table13[Total Earned Income],Table13[Scope/Sub-Type],'INN Rollups 2021'!A25,Table13[Total Earned Income],"&gt;0")</f>
        <v>67814.596470588236</v>
      </c>
      <c r="H29" s="140" t="s">
        <v>273</v>
      </c>
      <c r="I29" s="184">
        <f>SUMIF(Table13[Scope/Sub-Type],'INN Rollups 2021'!G25,Table13[Total Earned Income])</f>
        <v>4469266.49</v>
      </c>
      <c r="J29" s="183">
        <f>I29/I30</f>
        <v>0.12608335782171035</v>
      </c>
      <c r="K29" s="253">
        <f>AVERAGEIFS(Table13[Total Earned Income],Table13[Scope/Sub-Type],'INN Rollups 2021'!G25,Table13[Total Earned Income],"&gt;0")</f>
        <v>279329.15562500001</v>
      </c>
      <c r="N29" s="140" t="s">
        <v>273</v>
      </c>
      <c r="O29" s="184">
        <f>SUMIF(Table13[Scope/Sub-Type],'INN Rollups 2021'!M25,Table13[Total Earned Income])</f>
        <v>802402</v>
      </c>
      <c r="P29" s="183">
        <f>O29/O30</f>
        <v>0.21159401182633533</v>
      </c>
      <c r="Q29" s="253">
        <f>AVERAGEIFS(Table13[Total Earned Income],Table13[Scope/Sub-Type],'INN Rollups 2021'!M25,Table13[Total Earned Income],"&gt;0")</f>
        <v>133733.66666666666</v>
      </c>
      <c r="T29" s="140" t="s">
        <v>273</v>
      </c>
      <c r="U29" s="184">
        <f>SUMIF(Table13[Scope/Sub-Type],'INN Rollups 2021'!S25,Table13[Total Earned Income])</f>
        <v>6129159.0999999996</v>
      </c>
      <c r="V29" s="183">
        <f>U29/U30</f>
        <v>0.16336881685226659</v>
      </c>
      <c r="W29" s="253">
        <f>AVERAGEIFS(Table13[Total Earned Income],Table13[Scope/Sub-Type],'INN Rollups 2021'!S25,Table13[Total Earned Income],"&gt;0")</f>
        <v>408610.60666666663</v>
      </c>
    </row>
    <row r="30" spans="1:23" x14ac:dyDescent="0.15">
      <c r="B30" s="137" t="s">
        <v>274</v>
      </c>
      <c r="C30" s="173">
        <f>SUM(C28:C29)</f>
        <v>13274291.500000002</v>
      </c>
      <c r="D30" s="188">
        <f>SUM(D28:D29)</f>
        <v>1</v>
      </c>
      <c r="E30" s="194">
        <f>AVERAGEIFS(Table13[TOTAL INCOME],Table13[Scope/Sub-Type],'INN Rollups 2021'!A25,Table13[TOTAL INCOME],"&gt;0")</f>
        <v>603376.88636363635</v>
      </c>
      <c r="H30" s="137" t="s">
        <v>274</v>
      </c>
      <c r="I30" s="173">
        <f>SUM(I28:I29)</f>
        <v>35446918.350000001</v>
      </c>
      <c r="J30" s="188">
        <f>SUM(J28:J29)</f>
        <v>1</v>
      </c>
      <c r="K30" s="194">
        <f>AVERAGEIFS(Table13[TOTAL INCOME],Table13[Scope/Sub-Type],'INN Rollups 2021'!G25,Table13[TOTAL INCOME],"&gt;0")</f>
        <v>1541170.3630434782</v>
      </c>
      <c r="N30" s="137" t="s">
        <v>274</v>
      </c>
      <c r="O30" s="173">
        <f>SUM(O28:O29)</f>
        <v>3792177.2600000002</v>
      </c>
      <c r="P30" s="188">
        <f>SUM(P28:P29)</f>
        <v>1</v>
      </c>
      <c r="Q30" s="194">
        <f>AVERAGEIFS(Table13[TOTAL INCOME],Table13[Scope/Sub-Type],'INN Rollups 2021'!M25,Table13[TOTAL INCOME],"&gt;0")</f>
        <v>379217.72600000002</v>
      </c>
      <c r="T30" s="137" t="s">
        <v>274</v>
      </c>
      <c r="U30" s="173">
        <f>SUM(U28:U29)</f>
        <v>37517313.390000001</v>
      </c>
      <c r="V30" s="188">
        <f>SUM(V28:V29)</f>
        <v>0.99999999999999989</v>
      </c>
      <c r="W30" s="194">
        <f>AVERAGEIFS(Table13[TOTAL INCOME],Table13[Scope/Sub-Type],'INN Rollups 2021'!S25,Table13[TOTAL INCOME],"&gt;0")</f>
        <v>2344832.086875</v>
      </c>
    </row>
    <row r="31" spans="1:23" x14ac:dyDescent="0.15">
      <c r="C31" s="194"/>
      <c r="E31" s="194"/>
      <c r="I31" s="194"/>
      <c r="K31" s="194"/>
      <c r="O31" s="194"/>
      <c r="Q31" s="194"/>
      <c r="U31" s="194"/>
      <c r="W31" s="194"/>
    </row>
    <row r="32" spans="1:23" x14ac:dyDescent="0.15">
      <c r="B32" s="137" t="s">
        <v>275</v>
      </c>
      <c r="C32" s="173">
        <f>SUMIF(Table13[Scope/Sub-Type],'INN Rollups 2021'!A25,Table13[Expenses - Editorial])</f>
        <v>5880977.7200000007</v>
      </c>
      <c r="D32" s="176">
        <f>C32/C34</f>
        <v>0.58919688284393557</v>
      </c>
      <c r="E32" s="194">
        <f>AVERAGEIFS(Table13[Expenses - Editorial],Table13[Scope/Sub-Type],'INN Rollups 2021'!A25,Table13[Expenses - Editorial],"&gt;0")</f>
        <v>280046.55809523811</v>
      </c>
      <c r="H32" s="137" t="s">
        <v>275</v>
      </c>
      <c r="I32" s="173">
        <f>SUMIF(Table13[Scope/Sub-Type],'INN Rollups 2021'!G25,Table13[Expenses - Editorial])</f>
        <v>19208855.969999999</v>
      </c>
      <c r="J32" s="176">
        <f>I32/I34</f>
        <v>0.59488710387656019</v>
      </c>
      <c r="K32" s="194">
        <f>AVERAGEIFS(Table13[Expenses - Editorial],Table13[Scope/Sub-Type],'INN Rollups 2021'!G25,Table13[Expenses - Editorial],"&gt;0")</f>
        <v>835167.6508695652</v>
      </c>
      <c r="N32" s="137" t="s">
        <v>275</v>
      </c>
      <c r="O32" s="173">
        <f>SUMIF(Table13[Scope/Sub-Type],'INN Rollups 2021'!M25,Table13[Expenses - Editorial])</f>
        <v>1242268</v>
      </c>
      <c r="P32" s="176">
        <f>O32/O34</f>
        <v>0.46081437490030824</v>
      </c>
      <c r="Q32" s="194">
        <f>AVERAGEIFS(Table13[Expenses - Editorial],Table13[Scope/Sub-Type],'INN Rollups 2021'!M25,Table13[Expenses - Editorial],"&gt;0")</f>
        <v>155283.5</v>
      </c>
      <c r="T32" s="137" t="s">
        <v>275</v>
      </c>
      <c r="U32" s="173">
        <f>SUMIF(Table13[Scope/Sub-Type],'INN Rollups 2021'!S25,Table13[Expenses - Editorial])</f>
        <v>23411406</v>
      </c>
      <c r="V32" s="176">
        <f>U32/U34</f>
        <v>0.5804436261807544</v>
      </c>
      <c r="W32" s="194">
        <f>AVERAGEIFS(Table13[Expenses - Editorial],Table13[Scope/Sub-Type],'INN Rollups 2021'!S25,Table13[Expenses - Editorial],"&gt;0")</f>
        <v>1300633.6666666667</v>
      </c>
    </row>
    <row r="33" spans="1:23" x14ac:dyDescent="0.15">
      <c r="B33" s="140" t="s">
        <v>276</v>
      </c>
      <c r="C33" s="184">
        <f>SUMIF(Table13[Scope/Sub-Type],'INN Rollups 2021'!A25,Table13[Expenses - Non-Editorial])</f>
        <v>4100367.8899999997</v>
      </c>
      <c r="D33" s="183">
        <f>C33/C34</f>
        <v>0.41080311715606449</v>
      </c>
      <c r="E33" s="253">
        <f>AVERAGEIFS(Table13[Expenses - Non-Editorial],Table13[Scope/Sub-Type],'INN Rollups 2021'!A25,Table13[Expenses - Non-Editorial],"&gt;0")</f>
        <v>195255.61380952378</v>
      </c>
      <c r="H33" s="140" t="s">
        <v>276</v>
      </c>
      <c r="I33" s="184">
        <f>SUMIF(Table13[Scope/Sub-Type],'INN Rollups 2021'!G25,Table13[Expenses - Non-Editorial])</f>
        <v>13081062.309999999</v>
      </c>
      <c r="J33" s="183">
        <f>I33/I34</f>
        <v>0.40511289612343981</v>
      </c>
      <c r="K33" s="253">
        <f>AVERAGEIFS(Table13[Expenses - Non-Editorial],Table13[Scope/Sub-Type],'INN Rollups 2021'!G25,Table13[Expenses - Non-Editorial],"&gt;0")</f>
        <v>568741.83956521738</v>
      </c>
      <c r="N33" s="140" t="s">
        <v>276</v>
      </c>
      <c r="O33" s="184">
        <f>SUMIF(Table13[Scope/Sub-Type],'INN Rollups 2021'!M25,Table13[Expenses - Non-Editorial])</f>
        <v>1453542</v>
      </c>
      <c r="P33" s="183">
        <f>O33/O34</f>
        <v>0.5391856250996917</v>
      </c>
      <c r="Q33" s="253">
        <f>AVERAGEIFS(Table13[Expenses - Non-Editorial],Table13[Scope/Sub-Type],'INN Rollups 2021'!M25,Table13[Expenses - Non-Editorial],"&gt;0")</f>
        <v>181692.75</v>
      </c>
      <c r="T33" s="140" t="s">
        <v>276</v>
      </c>
      <c r="U33" s="184">
        <f>SUMIF(Table13[Scope/Sub-Type],'INN Rollups 2021'!S25,Table13[Expenses - Non-Editorial])</f>
        <v>16922237</v>
      </c>
      <c r="V33" s="183">
        <f>U33/U34</f>
        <v>0.41955637381924565</v>
      </c>
      <c r="W33" s="253">
        <f>AVERAGEIFS(Table13[Expenses - Non-Editorial],Table13[Scope/Sub-Type],'INN Rollups 2021'!S25,Table13[Expenses - Non-Editorial],"&gt;0")</f>
        <v>940124.27777777775</v>
      </c>
    </row>
    <row r="34" spans="1:23" x14ac:dyDescent="0.15">
      <c r="B34" s="137" t="s">
        <v>277</v>
      </c>
      <c r="C34" s="173">
        <f>SUM(C32:C33)</f>
        <v>9981345.6099999994</v>
      </c>
      <c r="D34" s="176">
        <f>SUM(D32:D33)</f>
        <v>1</v>
      </c>
      <c r="E34" s="194">
        <f>AVERAGEIFS(Table13[TOTAL EXPENSES],Table13[Scope/Sub-Type],'INN Rollups 2021'!A25,Table13[TOTAL EXPENSES],"&gt;0")</f>
        <v>475302.17190476198</v>
      </c>
      <c r="H34" s="137" t="s">
        <v>277</v>
      </c>
      <c r="I34" s="173">
        <f>SUM(I32:I33)</f>
        <v>32289918.279999997</v>
      </c>
      <c r="J34" s="176">
        <f>SUM(J32:J33)</f>
        <v>1</v>
      </c>
      <c r="K34" s="194">
        <f>AVERAGEIFS(Table13[TOTAL EXPENSES],Table13[Scope/Sub-Type],'INN Rollups 2021'!G25,Table13[TOTAL EXPENSES],"&gt;0")</f>
        <v>1403909.4904347826</v>
      </c>
      <c r="N34" s="137" t="s">
        <v>277</v>
      </c>
      <c r="O34" s="173">
        <f>SUM(O32:O33)</f>
        <v>2695810</v>
      </c>
      <c r="P34" s="176">
        <f>SUM(P32:P33)</f>
        <v>1</v>
      </c>
      <c r="Q34" s="194">
        <f>AVERAGEIFS(Table13[TOTAL EXPENSES],Table13[Scope/Sub-Type],'INN Rollups 2021'!M25,Table13[TOTAL EXPENSES],"&gt;0")</f>
        <v>336976.25</v>
      </c>
      <c r="T34" s="137" t="s">
        <v>277</v>
      </c>
      <c r="U34" s="173">
        <f>SUM(U32:U33)</f>
        <v>40333643</v>
      </c>
      <c r="V34" s="176">
        <f>SUM(V32:V33)</f>
        <v>1</v>
      </c>
      <c r="W34" s="194">
        <f>AVERAGEIFS(Table13[TOTAL EXPENSES],Table13[Scope/Sub-Type],'INN Rollups 2021'!S25,Table13[TOTAL EXPENSES],"&gt;0")</f>
        <v>2240757.9444444445</v>
      </c>
    </row>
    <row r="36" spans="1:23" x14ac:dyDescent="0.15">
      <c r="B36" s="137" t="s">
        <v>278</v>
      </c>
      <c r="C36" s="137">
        <f>SUMIF(Table13[Scope/Sub-Type],'INN Rollups 2021'!A25,Table13[Total FTE - Editorial])</f>
        <v>104.75</v>
      </c>
      <c r="D36" s="167">
        <f>C36/C38</f>
        <v>0.76824349101576828</v>
      </c>
      <c r="E36" s="199">
        <f>AVERAGEIFS(Table13[Total FTE - Editorial],Table13[Scope/Sub-Type],'INN Rollups 2021'!A25,Table13[Total FTE - Editorial],"&gt;0")</f>
        <v>4.7613636363636367</v>
      </c>
      <c r="H36" s="137" t="s">
        <v>278</v>
      </c>
      <c r="I36" s="137">
        <f>SUMIF(Table13[Scope/Sub-Type],'INN Rollups 2021'!G25,Table13[Total FTE - Editorial])</f>
        <v>236.07999999999998</v>
      </c>
      <c r="J36" s="167">
        <f>I36/I38</f>
        <v>0.76012621546783432</v>
      </c>
      <c r="K36" s="199">
        <f>AVERAGEIFS(Table13[Total FTE - Editorial],Table13[Scope/Sub-Type],'INN Rollups 2021'!G25,Table13[Total FTE - Editorial],"&gt;0")</f>
        <v>9.08</v>
      </c>
      <c r="N36" s="137" t="s">
        <v>278</v>
      </c>
      <c r="O36" s="137">
        <f>SUMIF(Table13[Scope/Sub-Type],'INN Rollups 2021'!M25,Table13[Total FTE - Editorial])</f>
        <v>67.5</v>
      </c>
      <c r="P36" s="167">
        <f>O36/O38</f>
        <v>0.77809798270893371</v>
      </c>
      <c r="Q36" s="199">
        <f>AVERAGEIFS(Table13[Total FTE - Editorial],Table13[Scope/Sub-Type],'INN Rollups 2021'!M25,Table13[Total FTE - Editorial],"&gt;0")</f>
        <v>6.1363636363636367</v>
      </c>
      <c r="T36" s="137" t="s">
        <v>278</v>
      </c>
      <c r="U36" s="137">
        <f>SUMIF(Table13[Scope/Sub-Type],'INN Rollups 2021'!S25,Table13[Total FTE - Editorial])</f>
        <v>255.79999999999998</v>
      </c>
      <c r="V36" s="167">
        <f>U36/U38</f>
        <v>0.65589743589743588</v>
      </c>
      <c r="W36" s="199">
        <f>AVERAGEIFS(Table13[Total FTE - Editorial],Table13[Scope/Sub-Type],'INN Rollups 2021'!S25,Table13[Total FTE - Editorial],"&gt;0")</f>
        <v>12.79</v>
      </c>
    </row>
    <row r="37" spans="1:23" x14ac:dyDescent="0.15">
      <c r="B37" s="140" t="s">
        <v>279</v>
      </c>
      <c r="C37" s="140">
        <f>SUMIF(Table13[Scope/Sub-Type],'INN Rollups 2021'!A25,Table13[Total FTE - Non-Editorial])</f>
        <v>31.6</v>
      </c>
      <c r="D37" s="185">
        <f>C37/C38</f>
        <v>0.23175650898423178</v>
      </c>
      <c r="E37" s="201">
        <f>AVERAGEIFS(Table13[Total FTE - Non-Editorial],Table13[Scope/Sub-Type],'INN Rollups 2021'!A25,Table13[Total FTE - Non-Editorial],"&gt;0")</f>
        <v>2.1066666666666669</v>
      </c>
      <c r="H37" s="140" t="s">
        <v>279</v>
      </c>
      <c r="I37" s="140">
        <f>SUMIF(Table13[Scope/Sub-Type],'INN Rollups 2021'!G25,Table13[Total FTE - Non-Editorial])</f>
        <v>74.5</v>
      </c>
      <c r="J37" s="185">
        <f>I37/I38</f>
        <v>0.23987378453216565</v>
      </c>
      <c r="K37" s="201">
        <f>AVERAGEIFS(Table13[Total FTE - Non-Editorial],Table13[Scope/Sub-Type],'INN Rollups 2021'!G25,Table13[Total FTE - Non-Editorial],"&gt;0")</f>
        <v>4.65625</v>
      </c>
      <c r="N37" s="140" t="s">
        <v>279</v>
      </c>
      <c r="O37" s="140">
        <f>SUMIF(Table13[Scope/Sub-Type],'INN Rollups 2021'!M25,Table13[Total FTE - Non-Editorial])</f>
        <v>19.25</v>
      </c>
      <c r="P37" s="185">
        <f>O37/O38</f>
        <v>0.22190201729106629</v>
      </c>
      <c r="Q37" s="201">
        <f>AVERAGEIFS(Table13[Total FTE - Non-Editorial],Table13[Scope/Sub-Type],'INN Rollups 2021'!M25,Table13[Total FTE - Non-Editorial],"&gt;0")</f>
        <v>2.75</v>
      </c>
      <c r="T37" s="140" t="s">
        <v>279</v>
      </c>
      <c r="U37" s="140">
        <f>SUMIF(Table13[Scope/Sub-Type],'INN Rollups 2021'!S25,Table13[Total FTE - Non-Editorial])</f>
        <v>134.19999999999999</v>
      </c>
      <c r="V37" s="185">
        <f>U37/U38</f>
        <v>0.34410256410256407</v>
      </c>
      <c r="W37" s="201">
        <f>AVERAGEIFS(Table13[Total FTE - Non-Editorial],Table13[Scope/Sub-Type],'INN Rollups 2021'!S25,Table13[Total FTE - Non-Editorial],"&gt;0")</f>
        <v>8.3874999999999993</v>
      </c>
    </row>
    <row r="38" spans="1:23" x14ac:dyDescent="0.15">
      <c r="B38" s="137" t="s">
        <v>280</v>
      </c>
      <c r="C38" s="137">
        <f>SUM(C36:C37)</f>
        <v>136.35</v>
      </c>
      <c r="D38" s="189">
        <f>SUM(D36:D37)</f>
        <v>1</v>
      </c>
      <c r="E38" s="199">
        <f>AVERAGEIFS(Table13[Total FTE],Table13[Scope/Sub-Type],'INN Rollups 2021'!A25,Table13[Total FTE],"&gt;0")</f>
        <v>6.1977272727272741</v>
      </c>
      <c r="H38" s="137" t="s">
        <v>280</v>
      </c>
      <c r="I38" s="137">
        <f>SUM(I36:I37)</f>
        <v>310.58</v>
      </c>
      <c r="J38" s="189">
        <f>SUM(J36:J37)</f>
        <v>1</v>
      </c>
      <c r="K38" s="199">
        <f>AVERAGEIFS(Table13[Total FTE],Table13[Scope/Sub-Type],'INN Rollups 2021'!G25,Table13[Total FTE],"&gt;0")</f>
        <v>11.945384615384617</v>
      </c>
      <c r="N38" s="137" t="s">
        <v>280</v>
      </c>
      <c r="O38" s="137">
        <f>SUM(O36:O37)</f>
        <v>86.75</v>
      </c>
      <c r="P38" s="189">
        <f>SUM(P36:P37)</f>
        <v>1</v>
      </c>
      <c r="Q38" s="199">
        <f>AVERAGEIFS(Table13[Total FTE],Table13[Scope/Sub-Type],'INN Rollups 2021'!M25,Table13[Total FTE],"&gt;0")</f>
        <v>7.8863636363636367</v>
      </c>
      <c r="T38" s="137" t="s">
        <v>280</v>
      </c>
      <c r="U38" s="137">
        <f>SUM(U36:U37)</f>
        <v>390</v>
      </c>
      <c r="V38" s="189">
        <f>SUM(V36:V37)</f>
        <v>1</v>
      </c>
      <c r="W38" s="199">
        <f>AVERAGEIFS(Table13[Total FTE],Table13[Scope/Sub-Type],'INN Rollups 2021'!S25,Table13[Total FTE],"&gt;0")</f>
        <v>19.5</v>
      </c>
    </row>
    <row r="40" spans="1:23" x14ac:dyDescent="0.15">
      <c r="A40" s="136" t="s">
        <v>122</v>
      </c>
      <c r="C40" s="136">
        <f>COUNTIF(Table13[Scope/Sub-Type],'INN Rollups 2021'!A40)</f>
        <v>7</v>
      </c>
      <c r="G40" s="136" t="s">
        <v>125</v>
      </c>
      <c r="I40" s="136">
        <f>COUNTIF(Table13[Scope/Sub-Type],'INN Rollups 2021'!G40)</f>
        <v>8</v>
      </c>
      <c r="M40" s="136" t="s">
        <v>128</v>
      </c>
      <c r="O40" s="136">
        <f>COUNTIF(Table13[Scope/Sub-Type],'INN Rollups 2021'!M40)</f>
        <v>8</v>
      </c>
      <c r="S40" s="136" t="s">
        <v>131</v>
      </c>
      <c r="U40" s="136">
        <f>COUNTIF(Table13[Scope/Sub-Type],'INN Rollups 2021'!S40)</f>
        <v>21</v>
      </c>
    </row>
    <row r="41" spans="1:23" x14ac:dyDescent="0.15">
      <c r="B41" s="136"/>
    </row>
    <row r="42" spans="1:23" x14ac:dyDescent="0.15">
      <c r="B42" s="136"/>
      <c r="C42" s="288" t="s">
        <v>269</v>
      </c>
      <c r="D42" s="288" t="s">
        <v>270</v>
      </c>
      <c r="E42" s="288" t="s">
        <v>271</v>
      </c>
      <c r="H42" s="136"/>
      <c r="I42" s="288" t="s">
        <v>269</v>
      </c>
      <c r="J42" s="288" t="s">
        <v>270</v>
      </c>
      <c r="K42" s="288" t="s">
        <v>271</v>
      </c>
      <c r="N42" s="136"/>
      <c r="O42" s="288" t="s">
        <v>269</v>
      </c>
      <c r="P42" s="288" t="s">
        <v>270</v>
      </c>
      <c r="Q42" s="288" t="s">
        <v>271</v>
      </c>
      <c r="T42" s="136"/>
      <c r="U42" s="288" t="s">
        <v>269</v>
      </c>
      <c r="V42" s="288" t="s">
        <v>270</v>
      </c>
      <c r="W42" s="288" t="s">
        <v>271</v>
      </c>
    </row>
    <row r="43" spans="1:23" x14ac:dyDescent="0.15">
      <c r="B43" s="137" t="s">
        <v>272</v>
      </c>
      <c r="C43" s="173">
        <f>SUMIF(Table13[Scope/Sub-Type],'INN Rollups 2021'!A40,Table13[Total Contributed Income])</f>
        <v>2028645.3599999999</v>
      </c>
      <c r="D43" s="176">
        <f>C43/C45</f>
        <v>0.80177188335667982</v>
      </c>
      <c r="E43" s="194">
        <f>AVERAGEIFS(Table13[Total Contributed Income],Table13[Scope/Sub-Type],'INN Rollups 2021'!A40,Table13[Total Contributed Income],"&gt;0")</f>
        <v>338107.56</v>
      </c>
      <c r="H43" s="137" t="s">
        <v>272</v>
      </c>
      <c r="I43" s="173">
        <f>SUMIF(Table13[Scope/Sub-Type],'INN Rollups 2021'!G40,Table13[Total Contributed Income])</f>
        <v>6503730.4799999995</v>
      </c>
      <c r="J43" s="176">
        <f>I43/I45</f>
        <v>0.97218336292322327</v>
      </c>
      <c r="K43" s="194">
        <f>AVERAGEIFS(Table13[Total Contributed Income],Table13[Scope/Sub-Type],'INN Rollups 2021'!G40,Table13[Total Contributed Income],"&gt;0")</f>
        <v>812966.30999999994</v>
      </c>
      <c r="N43" s="137" t="s">
        <v>272</v>
      </c>
      <c r="O43" s="173">
        <f>SUMIF(Table13[Scope/Sub-Type],'INN Rollups 2021'!M40,Table13[Total Contributed Income])</f>
        <v>3844527.45</v>
      </c>
      <c r="P43" s="176">
        <f>O43/O45</f>
        <v>0.9714701384227038</v>
      </c>
      <c r="Q43" s="194">
        <f>AVERAGEIFS(Table13[Total Contributed Income],Table13[Scope/Sub-Type],'INN Rollups 2021'!M40,Table13[Total Contributed Income],"&gt;0")</f>
        <v>480565.93125000002</v>
      </c>
      <c r="T43" s="137" t="s">
        <v>272</v>
      </c>
      <c r="U43" s="173">
        <f>SUMIF(Table13[Scope/Sub-Type],'INN Rollups 2021'!S40,Table13[Total Contributed Income])</f>
        <v>62781965.219999999</v>
      </c>
      <c r="V43" s="176">
        <f>U43/U45</f>
        <v>0.95785516662998882</v>
      </c>
      <c r="W43" s="194">
        <f>AVERAGEIFS(Table13[Total Contributed Income],Table13[Scope/Sub-Type],'INN Rollups 2021'!S40,Table13[Total Contributed Income],"&gt;0")</f>
        <v>3139098.2609999999</v>
      </c>
    </row>
    <row r="44" spans="1:23" x14ac:dyDescent="0.15">
      <c r="B44" s="140" t="s">
        <v>273</v>
      </c>
      <c r="C44" s="184">
        <f>SUMIF(Table13[Scope/Sub-Type],'INN Rollups 2021'!A40,Table13[Total Earned Income])</f>
        <v>501557.31</v>
      </c>
      <c r="D44" s="183">
        <f>C44/C45</f>
        <v>0.19822811664332013</v>
      </c>
      <c r="E44" s="253">
        <f>AVERAGEIFS(Table13[Total Earned Income],Table13[Scope/Sub-Type],'INN Rollups 2021'!A40,Table13[Total Earned Income],"&gt;0")</f>
        <v>100311.462</v>
      </c>
      <c r="H44" s="140" t="s">
        <v>273</v>
      </c>
      <c r="I44" s="184">
        <f>SUMIF(Table13[Scope/Sub-Type],'INN Rollups 2021'!G40,Table13[Total Earned Income])</f>
        <v>186088.26</v>
      </c>
      <c r="J44" s="183">
        <f>I44/I45</f>
        <v>2.7816637076776767E-2</v>
      </c>
      <c r="K44" s="253">
        <f>AVERAGEIFS(Table13[Total Earned Income],Table13[Scope/Sub-Type],'INN Rollups 2021'!G40,Table13[Total Earned Income],"&gt;0")</f>
        <v>37217.652000000002</v>
      </c>
      <c r="N44" s="140" t="s">
        <v>273</v>
      </c>
      <c r="O44" s="184">
        <f>SUMIF(Table13[Scope/Sub-Type],'INN Rollups 2021'!M40,Table13[Total Earned Income])</f>
        <v>112905</v>
      </c>
      <c r="P44" s="183">
        <f>O44/O45</f>
        <v>2.8529861577296155E-2</v>
      </c>
      <c r="Q44" s="253">
        <f>AVERAGEIFS(Table13[Total Earned Income],Table13[Scope/Sub-Type],'INN Rollups 2021'!M40,Table13[Total Earned Income],"&gt;0")</f>
        <v>22581</v>
      </c>
      <c r="T44" s="140" t="s">
        <v>273</v>
      </c>
      <c r="U44" s="184">
        <f>SUMIF(Table13[Scope/Sub-Type],'INN Rollups 2021'!S40,Table13[Total Earned Income])</f>
        <v>2762354.43</v>
      </c>
      <c r="V44" s="183">
        <f>U44/U45</f>
        <v>4.2144833370011188E-2</v>
      </c>
      <c r="W44" s="253">
        <f>AVERAGEIFS(Table13[Total Earned Income],Table13[Scope/Sub-Type],'INN Rollups 2021'!S40,Table13[Total Earned Income],"&gt;0")</f>
        <v>162491.43705882353</v>
      </c>
    </row>
    <row r="45" spans="1:23" x14ac:dyDescent="0.15">
      <c r="B45" s="137" t="s">
        <v>274</v>
      </c>
      <c r="C45" s="173">
        <f>SUM(C43:C44)</f>
        <v>2530202.67</v>
      </c>
      <c r="D45" s="188">
        <f>SUM(D43:D44)</f>
        <v>1</v>
      </c>
      <c r="E45" s="194">
        <f>AVERAGEIFS(Table13[TOTAL INCOME],Table13[Scope/Sub-Type],'INN Rollups 2021'!A40,Table13[TOTAL INCOME],"&gt;0")</f>
        <v>421700.44500000001</v>
      </c>
      <c r="H45" s="137" t="s">
        <v>274</v>
      </c>
      <c r="I45" s="173">
        <f>SUM(I43:I44)</f>
        <v>6689818.7399999993</v>
      </c>
      <c r="J45" s="188">
        <f>SUM(J43:J44)</f>
        <v>1</v>
      </c>
      <c r="K45" s="194">
        <f>AVERAGEIFS(Table13[TOTAL INCOME],Table13[Scope/Sub-Type],'INN Rollups 2021'!G40,Table13[TOTAL INCOME],"&gt;0")</f>
        <v>836227.34249999991</v>
      </c>
      <c r="N45" s="137" t="s">
        <v>274</v>
      </c>
      <c r="O45" s="173">
        <f>SUM(O43:O44)</f>
        <v>3957432.45</v>
      </c>
      <c r="P45" s="188">
        <f>SUM(P43:P44)</f>
        <v>1</v>
      </c>
      <c r="Q45" s="194">
        <f>AVERAGEIFS(Table13[TOTAL INCOME],Table13[Scope/Sub-Type],'INN Rollups 2021'!M40,Table13[TOTAL INCOME],"&gt;0")</f>
        <v>494679.05625000002</v>
      </c>
      <c r="T45" s="137" t="s">
        <v>274</v>
      </c>
      <c r="U45" s="173">
        <f>SUM(U43:U44)</f>
        <v>65544319.649999999</v>
      </c>
      <c r="V45" s="188">
        <f>SUM(V43:V44)</f>
        <v>1</v>
      </c>
      <c r="W45" s="194">
        <f>AVERAGEIFS(Table13[TOTAL INCOME],Table13[Scope/Sub-Type],'INN Rollups 2021'!S40,Table13[TOTAL INCOME],"&gt;0")</f>
        <v>3277215.9824999995</v>
      </c>
    </row>
    <row r="46" spans="1:23" x14ac:dyDescent="0.15">
      <c r="C46" s="194"/>
      <c r="E46" s="194"/>
      <c r="I46" s="194"/>
      <c r="K46" s="194"/>
      <c r="O46" s="194"/>
      <c r="Q46" s="194"/>
      <c r="U46" s="194"/>
      <c r="W46" s="194"/>
    </row>
    <row r="47" spans="1:23" x14ac:dyDescent="0.15">
      <c r="B47" s="137" t="s">
        <v>275</v>
      </c>
      <c r="C47" s="173">
        <f>SUMIF(Table13[Scope/Sub-Type],'INN Rollups 2021'!A40,Table13[Expenses - Editorial])</f>
        <v>1173342</v>
      </c>
      <c r="D47" s="176">
        <f>C47/C49</f>
        <v>0.56566267024924544</v>
      </c>
      <c r="E47" s="194">
        <f>AVERAGEIFS(Table13[Expenses - Editorial],Table13[Scope/Sub-Type],'INN Rollups 2021'!A40,Table13[Expenses - Editorial],"&gt;0")</f>
        <v>195557</v>
      </c>
      <c r="H47" s="137" t="s">
        <v>275</v>
      </c>
      <c r="I47" s="173">
        <f>SUMIF(Table13[Scope/Sub-Type],'INN Rollups 2021'!G40,Table13[Expenses - Editorial])</f>
        <v>4530641</v>
      </c>
      <c r="J47" s="176">
        <f>I47/I49</f>
        <v>0.73847670712718272</v>
      </c>
      <c r="K47" s="194">
        <f>AVERAGEIFS(Table13[Expenses - Editorial],Table13[Scope/Sub-Type],'INN Rollups 2021'!G40,Table13[Expenses - Editorial],"&gt;0")</f>
        <v>566330.125</v>
      </c>
      <c r="N47" s="137" t="s">
        <v>275</v>
      </c>
      <c r="O47" s="173">
        <f>SUMIF(Table13[Scope/Sub-Type],'INN Rollups 2021'!M40,Table13[Expenses - Editorial])</f>
        <v>2437364</v>
      </c>
      <c r="P47" s="176">
        <f>O47/O49</f>
        <v>0.74679930766692393</v>
      </c>
      <c r="Q47" s="194">
        <f>AVERAGEIFS(Table13[Expenses - Editorial],Table13[Scope/Sub-Type],'INN Rollups 2021'!M40,Table13[Expenses - Editorial],"&gt;0")</f>
        <v>304670.5</v>
      </c>
      <c r="T47" s="137" t="s">
        <v>275</v>
      </c>
      <c r="U47" s="173">
        <f>SUMIF(Table13[Scope/Sub-Type],'INN Rollups 2021'!S40,Table13[Expenses - Editorial])</f>
        <v>27515714.170000002</v>
      </c>
      <c r="V47" s="176">
        <f>U47/U49</f>
        <v>0.62287298093414212</v>
      </c>
      <c r="W47" s="194">
        <f>AVERAGEIFS(Table13[Expenses - Editorial],Table13[Scope/Sub-Type],'INN Rollups 2021'!S40,Table13[Expenses - Editorial],"&gt;0")</f>
        <v>1375785.7085000002</v>
      </c>
    </row>
    <row r="48" spans="1:23" x14ac:dyDescent="0.15">
      <c r="B48" s="140" t="s">
        <v>276</v>
      </c>
      <c r="C48" s="184">
        <f>SUMIF(Table13[Scope/Sub-Type],'INN Rollups 2021'!A40,Table13[Expenses - Non-Editorial])</f>
        <v>900936.65</v>
      </c>
      <c r="D48" s="183">
        <f>C48/C49</f>
        <v>0.43433732975075456</v>
      </c>
      <c r="E48" s="253">
        <f>AVERAGEIFS(Table13[Expenses - Non-Editorial],Table13[Scope/Sub-Type],'INN Rollups 2021'!A40,Table13[Expenses - Non-Editorial],"&gt;0")</f>
        <v>150156.10833333334</v>
      </c>
      <c r="H48" s="140" t="s">
        <v>276</v>
      </c>
      <c r="I48" s="184">
        <f>SUMIF(Table13[Scope/Sub-Type],'INN Rollups 2021'!G40,Table13[Expenses - Non-Editorial])</f>
        <v>1604476</v>
      </c>
      <c r="J48" s="183">
        <f>I48/I49</f>
        <v>0.26152329287281728</v>
      </c>
      <c r="K48" s="253">
        <f>AVERAGEIFS(Table13[Expenses - Non-Editorial],Table13[Scope/Sub-Type],'INN Rollups 2021'!G40,Table13[Expenses - Non-Editorial],"&gt;0")</f>
        <v>200559.5</v>
      </c>
      <c r="N48" s="140" t="s">
        <v>276</v>
      </c>
      <c r="O48" s="184">
        <f>SUMIF(Table13[Scope/Sub-Type],'INN Rollups 2021'!M40,Table13[Expenses - Non-Editorial])</f>
        <v>826383</v>
      </c>
      <c r="P48" s="183">
        <f>O48/O49</f>
        <v>0.25320069233307607</v>
      </c>
      <c r="Q48" s="253">
        <f>AVERAGEIFS(Table13[Expenses - Non-Editorial],Table13[Scope/Sub-Type],'INN Rollups 2021'!M40,Table13[Expenses - Non-Editorial],"&gt;0")</f>
        <v>103297.875</v>
      </c>
      <c r="T48" s="140" t="s">
        <v>276</v>
      </c>
      <c r="U48" s="184">
        <f>SUMIF(Table13[Scope/Sub-Type],'INN Rollups 2021'!S40,Table13[Expenses - Non-Editorial])</f>
        <v>16659767.85</v>
      </c>
      <c r="V48" s="183">
        <f>U48/U49</f>
        <v>0.37712701906585777</v>
      </c>
      <c r="W48" s="253">
        <f>AVERAGEIFS(Table13[Expenses - Non-Editorial],Table13[Scope/Sub-Type],'INN Rollups 2021'!S40,Table13[Expenses - Non-Editorial],"&gt;0")</f>
        <v>832988.39249999996</v>
      </c>
    </row>
    <row r="49" spans="1:23" x14ac:dyDescent="0.15">
      <c r="B49" s="137" t="s">
        <v>277</v>
      </c>
      <c r="C49" s="173">
        <f>SUM(C47:C48)</f>
        <v>2074278.65</v>
      </c>
      <c r="D49" s="176">
        <f>SUM(D47:D48)</f>
        <v>1</v>
      </c>
      <c r="E49" s="194">
        <f>AVERAGEIFS(Table13[TOTAL EXPENSES],Table13[Scope/Sub-Type],'INN Rollups 2021'!A40,Table13[TOTAL EXPENSES],"&gt;0")</f>
        <v>345713.10833333334</v>
      </c>
      <c r="H49" s="137" t="s">
        <v>277</v>
      </c>
      <c r="I49" s="173">
        <f>SUM(I47:I48)</f>
        <v>6135117</v>
      </c>
      <c r="J49" s="176">
        <f>SUM(J47:J48)</f>
        <v>1</v>
      </c>
      <c r="K49" s="194">
        <f>AVERAGEIFS(Table13[TOTAL EXPENSES],Table13[Scope/Sub-Type],'INN Rollups 2021'!G40,Table13[TOTAL EXPENSES],"&gt;0")</f>
        <v>766889.625</v>
      </c>
      <c r="N49" s="137" t="s">
        <v>277</v>
      </c>
      <c r="O49" s="173">
        <f>SUM(O47:O48)</f>
        <v>3263747</v>
      </c>
      <c r="P49" s="176">
        <f>SUM(P47:P48)</f>
        <v>1</v>
      </c>
      <c r="Q49" s="194">
        <f>AVERAGEIFS(Table13[TOTAL EXPENSES],Table13[Scope/Sub-Type],'INN Rollups 2021'!M40,Table13[TOTAL EXPENSES],"&gt;0")</f>
        <v>407968.375</v>
      </c>
      <c r="T49" s="137" t="s">
        <v>277</v>
      </c>
      <c r="U49" s="173">
        <f>SUM(U47:U48)</f>
        <v>44175482.020000003</v>
      </c>
      <c r="V49" s="176">
        <f>SUM(V47:V48)</f>
        <v>0.99999999999999989</v>
      </c>
      <c r="W49" s="194">
        <f>AVERAGEIFS(Table13[TOTAL EXPENSES],Table13[Scope/Sub-Type],'INN Rollups 2021'!S40,Table13[TOTAL EXPENSES],"&gt;0")</f>
        <v>2208774.1009999998</v>
      </c>
    </row>
    <row r="51" spans="1:23" x14ac:dyDescent="0.15">
      <c r="B51" s="137" t="s">
        <v>278</v>
      </c>
      <c r="C51" s="137">
        <f>SUMIF(Table13[Scope/Sub-Type],'INN Rollups 2021'!A40,Table13[Total FTE - Editorial])</f>
        <v>14.5</v>
      </c>
      <c r="D51" s="167">
        <f>C51/C53</f>
        <v>0.55715658021133529</v>
      </c>
      <c r="E51" s="199">
        <f>AVERAGEIFS(Table13[Total FTE - Editorial],Table13[Scope/Sub-Type],'INN Rollups 2021'!A40,Table13[Total FTE - Editorial],"&gt;0")</f>
        <v>2.4166666666666665</v>
      </c>
      <c r="H51" s="137" t="s">
        <v>278</v>
      </c>
      <c r="I51" s="137">
        <f>SUMIF(Table13[Scope/Sub-Type],'INN Rollups 2021'!G40,Table13[Total FTE - Editorial])</f>
        <v>38.1</v>
      </c>
      <c r="J51" s="167">
        <f>I51/I53</f>
        <v>0.63926174496644295</v>
      </c>
      <c r="K51" s="199">
        <f>AVERAGEIFS(Table13[Total FTE - Editorial],Table13[Scope/Sub-Type],'INN Rollups 2021'!G40,Table13[Total FTE - Editorial],"&gt;0")</f>
        <v>5.4428571428571431</v>
      </c>
      <c r="N51" s="137" t="s">
        <v>278</v>
      </c>
      <c r="O51" s="137">
        <f>SUMIF(Table13[Scope/Sub-Type],'INN Rollups 2021'!M40,Table13[Total FTE - Editorial])</f>
        <v>34.5</v>
      </c>
      <c r="P51" s="167">
        <f>O51/O53</f>
        <v>0.83132530120481929</v>
      </c>
      <c r="Q51" s="199">
        <f>AVERAGEIFS(Table13[Total FTE - Editorial],Table13[Scope/Sub-Type],'INN Rollups 2021'!M40,Table13[Total FTE - Editorial],"&gt;0")</f>
        <v>4.9285714285714288</v>
      </c>
      <c r="T51" s="137" t="s">
        <v>278</v>
      </c>
      <c r="U51" s="137">
        <f>SUMIF(Table13[Scope/Sub-Type],'INN Rollups 2021'!S40,Table13[Total FTE - Editorial])</f>
        <v>227.85</v>
      </c>
      <c r="V51" s="167">
        <f>U51/U53</f>
        <v>0.6129119031607263</v>
      </c>
      <c r="W51" s="199">
        <f>AVERAGEIFS(Table13[Total FTE - Editorial],Table13[Scope/Sub-Type],'INN Rollups 2021'!S40,Table13[Total FTE - Editorial],"&gt;0")</f>
        <v>11.3925</v>
      </c>
    </row>
    <row r="52" spans="1:23" x14ac:dyDescent="0.15">
      <c r="B52" s="140" t="s">
        <v>279</v>
      </c>
      <c r="C52" s="140">
        <f>SUMIF(Table13[Scope/Sub-Type],'INN Rollups 2021'!A40,Table13[Total FTE - Non-Editorial])</f>
        <v>11.525</v>
      </c>
      <c r="D52" s="185">
        <f>C52/C53</f>
        <v>0.44284341978866476</v>
      </c>
      <c r="E52" s="201">
        <f>AVERAGEIFS(Table13[Total FTE - Non-Editorial],Table13[Scope/Sub-Type],'INN Rollups 2021'!A40,Table13[Total FTE - Non-Editorial],"&gt;0")</f>
        <v>5.7625000000000002</v>
      </c>
      <c r="H52" s="140" t="s">
        <v>279</v>
      </c>
      <c r="I52" s="140">
        <f>SUMIF(Table13[Scope/Sub-Type],'INN Rollups 2021'!G40,Table13[Total FTE - Non-Editorial])</f>
        <v>21.5</v>
      </c>
      <c r="J52" s="185">
        <f>I52/I53</f>
        <v>0.36073825503355705</v>
      </c>
      <c r="K52" s="201">
        <f>AVERAGEIFS(Table13[Total FTE - Non-Editorial],Table13[Scope/Sub-Type],'INN Rollups 2021'!G40,Table13[Total FTE - Non-Editorial],"&gt;0")</f>
        <v>7.166666666666667</v>
      </c>
      <c r="N52" s="140" t="s">
        <v>279</v>
      </c>
      <c r="O52" s="140">
        <f>SUMIF(Table13[Scope/Sub-Type],'INN Rollups 2021'!M40,Table13[Total FTE - Non-Editorial])</f>
        <v>7</v>
      </c>
      <c r="P52" s="185">
        <f>O52/O53</f>
        <v>0.16867469879518071</v>
      </c>
      <c r="Q52" s="201">
        <f>AVERAGEIFS(Table13[Total FTE - Non-Editorial],Table13[Scope/Sub-Type],'INN Rollups 2021'!M40,Table13[Total FTE - Non-Editorial],"&gt;0")</f>
        <v>1.75</v>
      </c>
      <c r="T52" s="140" t="s">
        <v>279</v>
      </c>
      <c r="U52" s="140">
        <f>SUMIF(Table13[Scope/Sub-Type],'INN Rollups 2021'!S40,Table13[Total FTE - Non-Editorial])</f>
        <v>143.9</v>
      </c>
      <c r="V52" s="185">
        <f>U52/U53</f>
        <v>0.3870880968392737</v>
      </c>
      <c r="W52" s="201">
        <f>AVERAGEIFS(Table13[Total FTE - Non-Editorial],Table13[Scope/Sub-Type],'INN Rollups 2021'!S40,Table13[Total FTE - Non-Editorial],"&gt;0")</f>
        <v>8.4647058823529413</v>
      </c>
    </row>
    <row r="53" spans="1:23" x14ac:dyDescent="0.15">
      <c r="B53" s="137" t="s">
        <v>280</v>
      </c>
      <c r="C53" s="137">
        <f>SUM(C51:C52)</f>
        <v>26.024999999999999</v>
      </c>
      <c r="D53" s="189">
        <f>SUM(D51:D52)</f>
        <v>1</v>
      </c>
      <c r="E53" s="199">
        <f>AVERAGEIFS(Table13[Total FTE],Table13[Scope/Sub-Type],'INN Rollups 2021'!A40,Table13[Total FTE],"&gt;0")</f>
        <v>4.3374999999999995</v>
      </c>
      <c r="H53" s="137" t="s">
        <v>280</v>
      </c>
      <c r="I53" s="137">
        <f>SUM(I51:I52)</f>
        <v>59.6</v>
      </c>
      <c r="J53" s="189">
        <f>SUM(J51:J52)</f>
        <v>1</v>
      </c>
      <c r="K53" s="199">
        <f>AVERAGEIFS(Table13[Total FTE],Table13[Scope/Sub-Type],'INN Rollups 2021'!G40,Table13[Total FTE],"&gt;0")</f>
        <v>8.5142857142857142</v>
      </c>
      <c r="N53" s="137" t="s">
        <v>280</v>
      </c>
      <c r="O53" s="137">
        <f>SUM(O51:O52)</f>
        <v>41.5</v>
      </c>
      <c r="P53" s="189">
        <f>SUM(P51:P52)</f>
        <v>1</v>
      </c>
      <c r="Q53" s="199">
        <f>AVERAGEIFS(Table13[Total FTE],Table13[Scope/Sub-Type],'INN Rollups 2021'!M40,Table13[Total FTE],"&gt;0")</f>
        <v>5.9285714285714288</v>
      </c>
      <c r="T53" s="137" t="s">
        <v>280</v>
      </c>
      <c r="U53" s="137">
        <f>SUM(U51:U52)</f>
        <v>371.75</v>
      </c>
      <c r="V53" s="189">
        <f>SUM(V51:V52)</f>
        <v>1</v>
      </c>
      <c r="W53" s="199">
        <f>AVERAGEIFS(Table13[Total FTE],Table13[Scope/Sub-Type],'INN Rollups 2021'!S40,Table13[Total FTE],"&gt;0")</f>
        <v>18.587499999999999</v>
      </c>
    </row>
    <row r="54" spans="1:23" s="159" customFormat="1" ht="13" thickBot="1" x14ac:dyDescent="0.2"/>
    <row r="55" spans="1:23" s="136" customFormat="1" x14ac:dyDescent="0.15">
      <c r="A55" s="136" t="str">
        <f>'Dropdown Menus'!F2</f>
        <v>Local: Explanatory &amp; Analysis</v>
      </c>
      <c r="C55" s="136">
        <f>COUNTIF(Table13[Scope/Content Type],'INN Rollups 2021'!A55)</f>
        <v>27</v>
      </c>
      <c r="G55" s="136" t="str">
        <f>'Dropdown Menus'!F5</f>
        <v>State: Explanatory &amp; Analysis</v>
      </c>
      <c r="I55" s="136">
        <f>COUNTIF(Table13[Scope/Content Type],'INN Rollups 2021'!G55)</f>
        <v>20</v>
      </c>
      <c r="M55" s="136" t="str">
        <f>'Dropdown Menus'!F8</f>
        <v>Regional: Explanatory &amp; Analysis</v>
      </c>
      <c r="O55" s="136">
        <f>COUNTIF(Table13[Scope/Content Type],'INN Rollups 2021'!M55)</f>
        <v>13</v>
      </c>
      <c r="S55" s="136" t="str">
        <f>'Dropdown Menus'!F11</f>
        <v>National: Explanatory &amp; Analysis</v>
      </c>
      <c r="U55" s="136">
        <f>COUNTIF(Table13[Scope/Content Type],'INN Rollups 2021'!S55)</f>
        <v>25</v>
      </c>
    </row>
    <row r="57" spans="1:23" x14ac:dyDescent="0.15">
      <c r="B57" s="136"/>
      <c r="C57" s="288" t="s">
        <v>269</v>
      </c>
      <c r="D57" s="288" t="s">
        <v>270</v>
      </c>
      <c r="E57" s="288" t="s">
        <v>271</v>
      </c>
      <c r="H57" s="136"/>
      <c r="I57" s="288" t="s">
        <v>269</v>
      </c>
      <c r="J57" s="288" t="s">
        <v>270</v>
      </c>
      <c r="K57" s="288" t="s">
        <v>271</v>
      </c>
      <c r="N57" s="136"/>
      <c r="O57" s="288" t="s">
        <v>269</v>
      </c>
      <c r="P57" s="288" t="s">
        <v>270</v>
      </c>
      <c r="Q57" s="288" t="s">
        <v>271</v>
      </c>
      <c r="T57" s="136"/>
      <c r="U57" s="288" t="s">
        <v>269</v>
      </c>
      <c r="V57" s="288" t="s">
        <v>270</v>
      </c>
      <c r="W57" s="288" t="s">
        <v>271</v>
      </c>
    </row>
    <row r="58" spans="1:23" x14ac:dyDescent="0.15">
      <c r="B58" s="137" t="s">
        <v>272</v>
      </c>
      <c r="C58" s="173">
        <f>SUMIF(Table13[Scope/Content Type],'INN Rollups 2021'!A55,Table13[Total Contributed Income])</f>
        <v>7586165.25</v>
      </c>
      <c r="D58" s="176">
        <f>C58/C60</f>
        <v>0.72032818960482237</v>
      </c>
      <c r="E58" s="194">
        <f>AVERAGEIFS(Table13[Total Contributed Income],Table13[Scope/Content Type],'INN Rollups 2021'!A55,Table13[Total Contributed Income],"&gt;0")</f>
        <v>329833.27173913043</v>
      </c>
      <c r="H58" s="137" t="s">
        <v>272</v>
      </c>
      <c r="I58" s="173">
        <f>SUMIF(Table13[Scope/Content Type],'INN Rollups 2021'!G55,Table13[Total Contributed Income])</f>
        <v>26334890.48</v>
      </c>
      <c r="J58" s="176">
        <f>I58/I60</f>
        <v>0.9236205238284293</v>
      </c>
      <c r="K58" s="194">
        <f>AVERAGEIFS(Table13[Total Contributed Income],Table13[Scope/Content Type],'INN Rollups 2021'!G55,Table13[Total Contributed Income],"&gt;0")</f>
        <v>1386046.8673684211</v>
      </c>
      <c r="N58" s="137" t="s">
        <v>272</v>
      </c>
      <c r="O58" s="173">
        <f>SUMIF(Table13[Scope/Content Type],'INN Rollups 2021'!M55,Table13[Total Contributed Income])</f>
        <v>14531858.789999999</v>
      </c>
      <c r="P58" s="176">
        <f>O58/O60</f>
        <v>0.74591823424076287</v>
      </c>
      <c r="Q58" s="194">
        <f>AVERAGEIFS(Table13[Total Contributed Income],Table13[Scope/Content Type],'INN Rollups 2021'!M55,Table13[Total Contributed Income],"&gt;0")</f>
        <v>1210988.2324999999</v>
      </c>
      <c r="T58" s="137" t="s">
        <v>272</v>
      </c>
      <c r="U58" s="173">
        <f>SUMIF(Table13[Scope/Content Type],'INN Rollups 2021'!S55,Table13[Total Contributed Income])</f>
        <v>37095038.939999998</v>
      </c>
      <c r="V58" s="176">
        <f>U58/U60</f>
        <v>0.88739790286730691</v>
      </c>
      <c r="W58" s="194">
        <f>AVERAGEIFS(Table13[Total Contributed Income],Table13[Scope/Content Type],'INN Rollups 2021'!S55,Table13[Total Contributed Income],"&gt;0")</f>
        <v>1612827.7799999998</v>
      </c>
    </row>
    <row r="59" spans="1:23" x14ac:dyDescent="0.15">
      <c r="B59" s="140" t="s">
        <v>273</v>
      </c>
      <c r="C59" s="184">
        <f>SUMIF(Table13[Scope/Content Type],'INN Rollups 2021'!A55,Table13[Total Earned Income])</f>
        <v>2945374.9</v>
      </c>
      <c r="D59" s="183">
        <f>C59/C60</f>
        <v>0.27967181039517758</v>
      </c>
      <c r="E59" s="253">
        <f>AVERAGEIFS(Table13[Total Earned Income],Table13[Scope/Content Type],'INN Rollups 2021'!A55,Table13[Total Earned Income],"&gt;0")</f>
        <v>155019.73157894737</v>
      </c>
      <c r="H59" s="140" t="s">
        <v>273</v>
      </c>
      <c r="I59" s="184">
        <f>SUMIF(Table13[Scope/Content Type],'INN Rollups 2021'!G55,Table13[Total Earned Income])</f>
        <v>2177783.0699999998</v>
      </c>
      <c r="J59" s="183">
        <f>I59/I60</f>
        <v>7.6379476171570718E-2</v>
      </c>
      <c r="K59" s="253">
        <f>AVERAGEIFS(Table13[Total Earned Income],Table13[Scope/Content Type],'INN Rollups 2021'!G55,Table13[Total Earned Income],"&gt;0")</f>
        <v>155555.93357142856</v>
      </c>
      <c r="N59" s="140" t="s">
        <v>273</v>
      </c>
      <c r="O59" s="184">
        <f>SUMIF(Table13[Scope/Content Type],'INN Rollups 2021'!M55,Table13[Total Earned Income])</f>
        <v>4949980</v>
      </c>
      <c r="P59" s="183">
        <f>O59/O60</f>
        <v>0.25408176575923713</v>
      </c>
      <c r="Q59" s="253">
        <f>AVERAGEIFS(Table13[Total Earned Income],Table13[Scope/Content Type],'INN Rollups 2021'!M55,Table13[Total Earned Income],"&gt;0")</f>
        <v>449998.18181818182</v>
      </c>
      <c r="T59" s="140" t="s">
        <v>273</v>
      </c>
      <c r="U59" s="184">
        <f>SUMIF(Table13[Scope/Content Type],'INN Rollups 2021'!S55,Table13[Total Earned Income])</f>
        <v>4706996.9000000013</v>
      </c>
      <c r="V59" s="183">
        <f>U59/U60</f>
        <v>0.11260209713269319</v>
      </c>
      <c r="W59" s="253">
        <f>AVERAGEIFS(Table13[Total Earned Income],Table13[Scope/Content Type],'INN Rollups 2021'!S55,Table13[Total Earned Income],"&gt;0")</f>
        <v>235349.84500000006</v>
      </c>
    </row>
    <row r="60" spans="1:23" x14ac:dyDescent="0.15">
      <c r="B60" s="137" t="s">
        <v>274</v>
      </c>
      <c r="C60" s="173">
        <f>SUM(C58:C59)</f>
        <v>10531540.15</v>
      </c>
      <c r="D60" s="188">
        <f>SUM(D58:D59)</f>
        <v>1</v>
      </c>
      <c r="E60" s="194">
        <f>AVERAGEIFS(Table13[TOTAL INCOME],Table13[Scope/Content Type],'INN Rollups 2021'!A55,Table13[TOTAL INCOME],"&gt;0")</f>
        <v>457893.05</v>
      </c>
      <c r="H60" s="137" t="s">
        <v>274</v>
      </c>
      <c r="I60" s="173">
        <f>SUM(I58:I59)</f>
        <v>28512673.550000001</v>
      </c>
      <c r="J60" s="188">
        <f>SUM(J58:J59)</f>
        <v>1</v>
      </c>
      <c r="K60" s="194">
        <f>AVERAGEIFS(Table13[TOTAL INCOME],Table13[Scope/Content Type],'INN Rollups 2021'!G55,Table13[TOTAL INCOME],"&gt;0")</f>
        <v>1500667.0289473685</v>
      </c>
      <c r="N60" s="137" t="s">
        <v>274</v>
      </c>
      <c r="O60" s="173">
        <f>SUM(O58:O59)</f>
        <v>19481838.789999999</v>
      </c>
      <c r="P60" s="188">
        <f>SUM(P58:P59)</f>
        <v>1</v>
      </c>
      <c r="Q60" s="194">
        <f>AVERAGEIFS(Table13[TOTAL INCOME],Table13[Scope/Content Type],'INN Rollups 2021'!M55,Table13[TOTAL INCOME],"&gt;0")</f>
        <v>1623486.5658333332</v>
      </c>
      <c r="T60" s="137" t="s">
        <v>274</v>
      </c>
      <c r="U60" s="173">
        <f>SUM(U58:U59)</f>
        <v>41802035.839999996</v>
      </c>
      <c r="V60" s="188">
        <f>SUM(V58:V59)</f>
        <v>1</v>
      </c>
      <c r="W60" s="194">
        <f>AVERAGEIFS(Table13[TOTAL INCOME],Table13[Scope/Content Type],'INN Rollups 2021'!S55,Table13[TOTAL INCOME],"&gt;0")</f>
        <v>1817479.8191304347</v>
      </c>
    </row>
    <row r="61" spans="1:23" x14ac:dyDescent="0.15">
      <c r="C61" s="194"/>
      <c r="E61" s="194"/>
      <c r="I61" s="194"/>
      <c r="K61" s="194"/>
      <c r="O61" s="194"/>
      <c r="Q61" s="194"/>
      <c r="U61" s="194"/>
      <c r="W61" s="194"/>
    </row>
    <row r="62" spans="1:23" x14ac:dyDescent="0.15">
      <c r="B62" s="137" t="s">
        <v>275</v>
      </c>
      <c r="C62" s="173">
        <f>SUMIF(Table13[Scope/Content Type],'INN Rollups 2021'!A55,Table13[Expenses - Editorial])</f>
        <v>4601345.1500000004</v>
      </c>
      <c r="D62" s="176">
        <f>C62/C64</f>
        <v>0.60395769820616463</v>
      </c>
      <c r="E62" s="194">
        <f>AVERAGEIFS(Table13[Expenses - Editorial],Table13[Scope/Content Type],'INN Rollups 2021'!A55,Table13[Expenses - Editorial],"&gt;0")</f>
        <v>191722.71458333335</v>
      </c>
      <c r="H62" s="137" t="s">
        <v>275</v>
      </c>
      <c r="I62" s="173">
        <f>SUMIF(Table13[Scope/Content Type],'INN Rollups 2021'!G55,Table13[Expenses - Editorial])</f>
        <v>13177671.76</v>
      </c>
      <c r="J62" s="176">
        <f>I62/I64</f>
        <v>0.54512329878005839</v>
      </c>
      <c r="K62" s="194">
        <f>AVERAGEIFS(Table13[Expenses - Editorial],Table13[Scope/Content Type],'INN Rollups 2021'!G55,Table13[Expenses - Editorial],"&gt;0")</f>
        <v>732092.87555555557</v>
      </c>
      <c r="N62" s="137" t="s">
        <v>275</v>
      </c>
      <c r="O62" s="173">
        <f>SUMIF(Table13[Scope/Content Type],'INN Rollups 2021'!M55,Table13[Expenses - Editorial])</f>
        <v>9806311</v>
      </c>
      <c r="P62" s="176">
        <f>O62/O64</f>
        <v>0.58391429653271543</v>
      </c>
      <c r="Q62" s="194">
        <f>AVERAGEIFS(Table13[Expenses - Editorial],Table13[Scope/Content Type],'INN Rollups 2021'!M55,Table13[Expenses - Editorial],"&gt;0")</f>
        <v>980631.1</v>
      </c>
      <c r="T62" s="137" t="s">
        <v>275</v>
      </c>
      <c r="U62" s="173">
        <f>SUMIF(Table13[Scope/Content Type],'INN Rollups 2021'!S55,Table13[Expenses - Editorial])</f>
        <v>24192163.170000002</v>
      </c>
      <c r="V62" s="176">
        <f>U62/U64</f>
        <v>0.50686053790850805</v>
      </c>
      <c r="W62" s="194">
        <f>AVERAGEIFS(Table13[Expenses - Editorial],Table13[Scope/Content Type],'INN Rollups 2021'!S55,Table13[Expenses - Editorial],"&gt;0")</f>
        <v>1051833.1813043479</v>
      </c>
    </row>
    <row r="63" spans="1:23" x14ac:dyDescent="0.15">
      <c r="B63" s="140" t="s">
        <v>276</v>
      </c>
      <c r="C63" s="184">
        <f>SUMIF(Table13[Scope/Content Type],'INN Rollups 2021'!A55,Table13[Expenses - Non-Editorial])</f>
        <v>3017309.5399999996</v>
      </c>
      <c r="D63" s="183">
        <f>C63/C64</f>
        <v>0.39604230179383543</v>
      </c>
      <c r="E63" s="253">
        <f>AVERAGEIFS(Table13[Expenses - Non-Editorial],Table13[Scope/Content Type],'INN Rollups 2021'!A55,Table13[Expenses - Non-Editorial],"&gt;0")</f>
        <v>125721.23083333332</v>
      </c>
      <c r="H63" s="140" t="s">
        <v>276</v>
      </c>
      <c r="I63" s="184">
        <f>SUMIF(Table13[Scope/Content Type],'INN Rollups 2021'!G55,Table13[Expenses - Non-Editorial])</f>
        <v>10996073.5</v>
      </c>
      <c r="J63" s="183">
        <f>I63/I64</f>
        <v>0.45487670121994167</v>
      </c>
      <c r="K63" s="253">
        <f>AVERAGEIFS(Table13[Expenses - Non-Editorial],Table13[Scope/Content Type],'INN Rollups 2021'!G55,Table13[Expenses - Non-Editorial],"&gt;0")</f>
        <v>578740.71052631584</v>
      </c>
      <c r="N63" s="140" t="s">
        <v>276</v>
      </c>
      <c r="O63" s="184">
        <f>SUMIF(Table13[Scope/Content Type],'INN Rollups 2021'!M55,Table13[Expenses - Non-Editorial])</f>
        <v>6987782</v>
      </c>
      <c r="P63" s="183">
        <f>O63/O64</f>
        <v>0.41608570346728457</v>
      </c>
      <c r="Q63" s="253">
        <f>AVERAGEIFS(Table13[Expenses - Non-Editorial],Table13[Scope/Content Type],'INN Rollups 2021'!M55,Table13[Expenses - Non-Editorial],"&gt;0")</f>
        <v>698778.2</v>
      </c>
      <c r="T63" s="140" t="s">
        <v>276</v>
      </c>
      <c r="U63" s="184">
        <f>SUMIF(Table13[Scope/Content Type],'INN Rollups 2021'!S55,Table13[Expenses - Non-Editorial])</f>
        <v>23537264.080000002</v>
      </c>
      <c r="V63" s="183">
        <f>U63/U64</f>
        <v>0.49313946209149201</v>
      </c>
      <c r="W63" s="253">
        <f>AVERAGEIFS(Table13[Expenses - Non-Editorial],Table13[Scope/Content Type],'INN Rollups 2021'!S55,Table13[Expenses - Non-Editorial],"&gt;0")</f>
        <v>1023359.307826087</v>
      </c>
    </row>
    <row r="64" spans="1:23" x14ac:dyDescent="0.15">
      <c r="B64" s="137" t="s">
        <v>277</v>
      </c>
      <c r="C64" s="173">
        <f>SUM(C62:C63)</f>
        <v>7618654.6899999995</v>
      </c>
      <c r="D64" s="176">
        <f>SUM(D62:D63)</f>
        <v>1</v>
      </c>
      <c r="E64" s="194">
        <f>AVERAGEIFS(Table13[TOTAL EXPENSES],Table13[Scope/Content Type],'INN Rollups 2021'!A55,Table13[TOTAL EXPENSES],"&gt;0")</f>
        <v>317443.94541666668</v>
      </c>
      <c r="H64" s="137" t="s">
        <v>277</v>
      </c>
      <c r="I64" s="173">
        <f>SUM(I62:I63)</f>
        <v>24173745.259999998</v>
      </c>
      <c r="J64" s="176">
        <f>SUM(J62:J63)</f>
        <v>1</v>
      </c>
      <c r="K64" s="194">
        <f>AVERAGEIFS(Table13[TOTAL EXPENSES],Table13[Scope/Content Type],'INN Rollups 2021'!G55,Table13[TOTAL EXPENSES],"&gt;0")</f>
        <v>1272302.382105263</v>
      </c>
      <c r="N64" s="137" t="s">
        <v>277</v>
      </c>
      <c r="O64" s="173">
        <f>SUM(O62:O63)</f>
        <v>16794093</v>
      </c>
      <c r="P64" s="176">
        <f>SUM(P62:P63)</f>
        <v>1</v>
      </c>
      <c r="Q64" s="194">
        <f>AVERAGEIFS(Table13[TOTAL EXPENSES],Table13[Scope/Content Type],'INN Rollups 2021'!M55,Table13[TOTAL EXPENSES],"&gt;0")</f>
        <v>1679409.3</v>
      </c>
      <c r="T64" s="137" t="s">
        <v>277</v>
      </c>
      <c r="U64" s="173">
        <f>SUM(U62:U63)</f>
        <v>47729427.25</v>
      </c>
      <c r="V64" s="176">
        <f>SUM(V62:V63)</f>
        <v>1</v>
      </c>
      <c r="W64" s="194">
        <f>AVERAGEIFS(Table13[TOTAL EXPENSES],Table13[Scope/Content Type],'INN Rollups 2021'!S55,Table13[TOTAL EXPENSES],"&gt;0")</f>
        <v>2075192.489130435</v>
      </c>
    </row>
    <row r="66" spans="1:23" x14ac:dyDescent="0.15">
      <c r="B66" s="137" t="s">
        <v>278</v>
      </c>
      <c r="C66" s="137">
        <f>SUMIF(Table13[Scope/Content Type],'INN Rollups 2021'!A55,Table13[Total FTE - Editorial])</f>
        <v>84.75</v>
      </c>
      <c r="D66" s="167">
        <f>C66/C68</f>
        <v>0.63781749764816553</v>
      </c>
      <c r="E66" s="199">
        <f>AVERAGEIFS(Table13[Total FTE - Editorial],Table13[Scope/Content Type],'INN Rollups 2021'!A55,Table13[Total FTE - Editorial],"&gt;0")</f>
        <v>3.6847826086956523</v>
      </c>
      <c r="H66" s="137" t="s">
        <v>278</v>
      </c>
      <c r="I66" s="137">
        <f>SUMIF(Table13[Scope/Content Type],'INN Rollups 2021'!G55,Table13[Total FTE - Editorial])</f>
        <v>170.07999999999998</v>
      </c>
      <c r="J66" s="167">
        <f>I66/I68</f>
        <v>0.77456963293560432</v>
      </c>
      <c r="K66" s="199">
        <f>AVERAGEIFS(Table13[Total FTE - Editorial],Table13[Scope/Content Type],'INN Rollups 2021'!G55,Table13[Total FTE - Editorial],"&gt;0")</f>
        <v>9.448888888888888</v>
      </c>
      <c r="N66" s="137" t="s">
        <v>278</v>
      </c>
      <c r="O66" s="137">
        <f>SUMIF(Table13[Scope/Content Type],'INN Rollups 2021'!M55,Table13[Total FTE - Editorial])</f>
        <v>166.35</v>
      </c>
      <c r="P66" s="167">
        <f>O66/O68</f>
        <v>0.66143141153081508</v>
      </c>
      <c r="Q66" s="199">
        <f>AVERAGEIFS(Table13[Total FTE - Editorial],Table13[Scope/Content Type],'INN Rollups 2021'!M55,Table13[Total FTE - Editorial],"&gt;0")</f>
        <v>13.862499999999999</v>
      </c>
      <c r="T66" s="137" t="s">
        <v>278</v>
      </c>
      <c r="U66" s="137">
        <f>SUMIF(Table13[Scope/Content Type],'INN Rollups 2021'!S55,Table13[Total FTE - Editorial])</f>
        <v>287.15000000000003</v>
      </c>
      <c r="V66" s="167">
        <f>U66/U68</f>
        <v>0.63761518818696572</v>
      </c>
      <c r="W66" s="199">
        <f>AVERAGEIFS(Table13[Total FTE - Editorial],Table13[Scope/Content Type],'INN Rollups 2021'!S55,Table13[Total FTE - Editorial],"&gt;0")</f>
        <v>11.964583333333335</v>
      </c>
    </row>
    <row r="67" spans="1:23" x14ac:dyDescent="0.15">
      <c r="B67" s="140" t="s">
        <v>279</v>
      </c>
      <c r="C67" s="140">
        <f>SUMIF(Table13[Scope/Content Type],'INN Rollups 2021'!A55,Table13[Total FTE - Non-Editorial])</f>
        <v>48.125</v>
      </c>
      <c r="D67" s="185">
        <f>C67/C68</f>
        <v>0.36218250235183441</v>
      </c>
      <c r="E67" s="201">
        <f>AVERAGEIFS(Table13[Total FTE - Non-Editorial],Table13[Scope/Content Type],'INN Rollups 2021'!A55,Table13[Total FTE - Non-Editorial],"&gt;0")</f>
        <v>3.0078125</v>
      </c>
      <c r="H67" s="140" t="s">
        <v>279</v>
      </c>
      <c r="I67" s="140">
        <f>SUMIF(Table13[Scope/Content Type],'INN Rollups 2021'!G55,Table13[Total FTE - Non-Editorial])</f>
        <v>49.5</v>
      </c>
      <c r="J67" s="185">
        <f>I67/I68</f>
        <v>0.22543036706439568</v>
      </c>
      <c r="K67" s="201">
        <f>AVERAGEIFS(Table13[Total FTE - Non-Editorial],Table13[Scope/Content Type],'INN Rollups 2021'!G55,Table13[Total FTE - Non-Editorial],"&gt;0")</f>
        <v>4.5</v>
      </c>
      <c r="N67" s="140" t="s">
        <v>279</v>
      </c>
      <c r="O67" s="140">
        <f>SUMIF(Table13[Scope/Content Type],'INN Rollups 2021'!M55,Table13[Total FTE - Non-Editorial])</f>
        <v>85.15</v>
      </c>
      <c r="P67" s="185">
        <f>O67/O68</f>
        <v>0.33856858846918492</v>
      </c>
      <c r="Q67" s="201">
        <f>AVERAGEIFS(Table13[Total FTE - Non-Editorial],Table13[Scope/Content Type],'INN Rollups 2021'!M55,Table13[Total FTE - Non-Editorial],"&gt;0")</f>
        <v>8.5150000000000006</v>
      </c>
      <c r="T67" s="140" t="s">
        <v>279</v>
      </c>
      <c r="U67" s="140">
        <f>SUMIF(Table13[Scope/Content Type],'INN Rollups 2021'!S55,Table13[Total FTE - Non-Editorial])</f>
        <v>163.19999999999999</v>
      </c>
      <c r="V67" s="185">
        <f>U67/U68</f>
        <v>0.36238481181303428</v>
      </c>
      <c r="W67" s="201">
        <f>AVERAGEIFS(Table13[Total FTE - Non-Editorial],Table13[Scope/Content Type],'INN Rollups 2021'!S55,Table13[Total FTE - Non-Editorial],"&gt;0")</f>
        <v>8.5894736842105264</v>
      </c>
    </row>
    <row r="68" spans="1:23" x14ac:dyDescent="0.15">
      <c r="B68" s="137" t="s">
        <v>280</v>
      </c>
      <c r="C68" s="137">
        <f>SUM(C66:C67)</f>
        <v>132.875</v>
      </c>
      <c r="D68" s="189">
        <f>SUM(D66:D67)</f>
        <v>1</v>
      </c>
      <c r="E68" s="199">
        <f>AVERAGEIFS(Table13[Total FTE],Table13[Scope/Content Type],'INN Rollups 2021'!A55,Table13[Total FTE],"&gt;0")</f>
        <v>5.536458333333333</v>
      </c>
      <c r="H68" s="137" t="s">
        <v>280</v>
      </c>
      <c r="I68" s="137">
        <f>SUM(I66:I67)</f>
        <v>219.57999999999998</v>
      </c>
      <c r="J68" s="189">
        <f>SUM(J66:J67)</f>
        <v>1</v>
      </c>
      <c r="K68" s="199">
        <f>AVERAGEIFS(Table13[Total FTE],Table13[Scope/Content Type],'INN Rollups 2021'!G55,Table13[Total FTE],"&gt;0")</f>
        <v>12.19888888888889</v>
      </c>
      <c r="N68" s="137" t="s">
        <v>280</v>
      </c>
      <c r="O68" s="137">
        <f>SUM(O66:O67)</f>
        <v>251.5</v>
      </c>
      <c r="P68" s="189">
        <f>SUM(P66:P67)</f>
        <v>1</v>
      </c>
      <c r="Q68" s="199">
        <f>AVERAGEIFS(Table13[Total FTE],Table13[Scope/Content Type],'INN Rollups 2021'!M55,Table13[Total FTE],"&gt;0")</f>
        <v>20.958333333333332</v>
      </c>
      <c r="T68" s="137" t="s">
        <v>280</v>
      </c>
      <c r="U68" s="137">
        <f>SUM(U66:U67)</f>
        <v>450.35</v>
      </c>
      <c r="V68" s="189">
        <f>SUM(V66:V67)</f>
        <v>1</v>
      </c>
      <c r="W68" s="199">
        <f>AVERAGEIFS(Table13[Total FTE],Table13[Scope/Content Type],'INN Rollups 2021'!S55,Table13[Total FTE],"&gt;0")</f>
        <v>18.764583333333334</v>
      </c>
    </row>
    <row r="70" spans="1:23" s="136" customFormat="1" x14ac:dyDescent="0.15">
      <c r="A70" s="136" t="str">
        <f>'Dropdown Menus'!F3</f>
        <v>Local: Investigative</v>
      </c>
      <c r="C70" s="136">
        <f>COUNTIF(Table13[Scope/Content Type],'INN Rollups 2021'!A70)</f>
        <v>26</v>
      </c>
      <c r="G70" s="136" t="str">
        <f>'Dropdown Menus'!F6</f>
        <v>State: Investigative</v>
      </c>
      <c r="I70" s="136">
        <f>COUNTIF(Table13[Scope/Content Type],'INN Rollups 2021'!G70)</f>
        <v>23</v>
      </c>
      <c r="M70" s="136" t="str">
        <f>'Dropdown Menus'!F9</f>
        <v>Regional: Investigative</v>
      </c>
      <c r="O70" s="136">
        <f>COUNTIF(Table13[Scope/Content Type],'INN Rollups 2021'!M70)</f>
        <v>9</v>
      </c>
      <c r="S70" s="136" t="str">
        <f>'Dropdown Menus'!F12</f>
        <v>National: Investigative</v>
      </c>
      <c r="U70" s="136">
        <f>COUNTIF(Table13[Scope/Content Type],'INN Rollups 2021'!S70)</f>
        <v>16</v>
      </c>
    </row>
    <row r="72" spans="1:23" x14ac:dyDescent="0.15">
      <c r="B72" s="136"/>
      <c r="C72" s="288" t="s">
        <v>269</v>
      </c>
      <c r="D72" s="288" t="s">
        <v>270</v>
      </c>
      <c r="E72" s="288" t="s">
        <v>271</v>
      </c>
      <c r="H72" s="136"/>
      <c r="I72" s="288" t="s">
        <v>269</v>
      </c>
      <c r="J72" s="288" t="s">
        <v>270</v>
      </c>
      <c r="K72" s="288" t="s">
        <v>271</v>
      </c>
      <c r="N72" s="136"/>
      <c r="O72" s="288" t="s">
        <v>269</v>
      </c>
      <c r="P72" s="288" t="s">
        <v>270</v>
      </c>
      <c r="Q72" s="288" t="s">
        <v>271</v>
      </c>
      <c r="T72" s="136"/>
      <c r="U72" s="288" t="s">
        <v>269</v>
      </c>
      <c r="V72" s="288" t="s">
        <v>270</v>
      </c>
      <c r="W72" s="288" t="s">
        <v>271</v>
      </c>
    </row>
    <row r="73" spans="1:23" x14ac:dyDescent="0.15">
      <c r="B73" s="137" t="s">
        <v>272</v>
      </c>
      <c r="C73" s="173">
        <f>SUMIF(Table13[Scope/Content Type],'INN Rollups 2021'!A70,Table13[Total Contributed Income])</f>
        <v>8543705.0300000012</v>
      </c>
      <c r="D73" s="176">
        <f>C73/C75</f>
        <v>0.83938743477117228</v>
      </c>
      <c r="E73" s="194">
        <f>AVERAGEIFS(Table13[Total Contributed Income],Table13[Scope/Content Type],'INN Rollups 2021'!A70,Table13[Total Contributed Income],"&gt;0")</f>
        <v>355987.7095833334</v>
      </c>
      <c r="H73" s="137" t="s">
        <v>272</v>
      </c>
      <c r="I73" s="173">
        <f>SUMIF(Table13[Scope/Content Type],'INN Rollups 2021'!G70,Table13[Total Contributed Income])</f>
        <v>18376812.760000002</v>
      </c>
      <c r="J73" s="176">
        <f>I73/I75</f>
        <v>0.622200341981342</v>
      </c>
      <c r="K73" s="194">
        <f>AVERAGEIFS(Table13[Total Contributed Income],Table13[Scope/Content Type],'INN Rollups 2021'!G70,Table13[Total Contributed Income],"&gt;0")</f>
        <v>918840.63800000004</v>
      </c>
      <c r="N73" s="137" t="s">
        <v>272</v>
      </c>
      <c r="O73" s="173">
        <f>SUMIF(Table13[Scope/Content Type],'INN Rollups 2021'!M70,Table13[Total Contributed Income])</f>
        <v>2045706.71</v>
      </c>
      <c r="P73" s="176">
        <f>O73/O75</f>
        <v>0.96645641430747453</v>
      </c>
      <c r="Q73" s="194">
        <f>AVERAGEIFS(Table13[Total Contributed Income],Table13[Scope/Content Type],'INN Rollups 2021'!M70,Table13[Total Contributed Income],"&gt;0")</f>
        <v>292243.81571428571</v>
      </c>
      <c r="T73" s="137" t="s">
        <v>272</v>
      </c>
      <c r="U73" s="173">
        <f>SUMIF(Table13[Scope/Content Type],'INN Rollups 2021'!S70,Table13[Total Contributed Income])</f>
        <v>57923883.890000001</v>
      </c>
      <c r="V73" s="176">
        <f>U73/U75</f>
        <v>0.96262875293817196</v>
      </c>
      <c r="W73" s="194">
        <f>AVERAGEIFS(Table13[Total Contributed Income],Table13[Scope/Content Type],'INN Rollups 2021'!S70,Table13[Total Contributed Income],"&gt;0")</f>
        <v>4455683.3761538463</v>
      </c>
    </row>
    <row r="74" spans="1:23" x14ac:dyDescent="0.15">
      <c r="B74" s="140" t="s">
        <v>273</v>
      </c>
      <c r="C74" s="184">
        <f>SUMIF(Table13[Scope/Content Type],'INN Rollups 2021'!A70,Table13[Total Earned Income])</f>
        <v>1634795</v>
      </c>
      <c r="D74" s="183">
        <f>C74/C75</f>
        <v>0.16061256522882772</v>
      </c>
      <c r="E74" s="253">
        <f>AVERAGEIFS(Table13[Total Earned Income],Table13[Scope/Content Type],'INN Rollups 2021'!A70,Table13[Total Earned Income],"&gt;0")</f>
        <v>90821.944444444438</v>
      </c>
      <c r="H74" s="140" t="s">
        <v>273</v>
      </c>
      <c r="I74" s="184">
        <f>SUMIF(Table13[Scope/Content Type],'INN Rollups 2021'!G70,Table13[Total Earned Income])</f>
        <v>11158389.200000001</v>
      </c>
      <c r="J74" s="183">
        <f>I74/I75</f>
        <v>0.37779965801865811</v>
      </c>
      <c r="K74" s="253">
        <f>AVERAGEIFS(Table13[Total Earned Income],Table13[Scope/Content Type],'INN Rollups 2021'!G70,Table13[Total Earned Income],"&gt;0")</f>
        <v>1014399.0181818183</v>
      </c>
      <c r="N74" s="140" t="s">
        <v>273</v>
      </c>
      <c r="O74" s="184">
        <f>SUMIF(Table13[Scope/Content Type],'INN Rollups 2021'!M70,Table13[Total Earned Income])</f>
        <v>71002</v>
      </c>
      <c r="P74" s="183">
        <f>O74/O75</f>
        <v>3.3543585692525447E-2</v>
      </c>
      <c r="Q74" s="253">
        <f>AVERAGEIFS(Table13[Total Earned Income],Table13[Scope/Content Type],'INN Rollups 2021'!M70,Table13[Total Earned Income],"&gt;0")</f>
        <v>23667.333333333332</v>
      </c>
      <c r="T74" s="140" t="s">
        <v>273</v>
      </c>
      <c r="U74" s="184">
        <f>SUMIF(Table13[Scope/Content Type],'INN Rollups 2021'!S70,Table13[Total Earned Income])</f>
        <v>2248725.4500000002</v>
      </c>
      <c r="V74" s="183">
        <f>U74/U75</f>
        <v>3.7371247061828018E-2</v>
      </c>
      <c r="W74" s="253">
        <f>AVERAGEIFS(Table13[Total Earned Income],Table13[Scope/Content Type],'INN Rollups 2021'!S70,Table13[Total Earned Income],"&gt;0")</f>
        <v>187393.78750000001</v>
      </c>
    </row>
    <row r="75" spans="1:23" x14ac:dyDescent="0.15">
      <c r="B75" s="137" t="s">
        <v>274</v>
      </c>
      <c r="C75" s="173">
        <f>SUM(C73:C74)</f>
        <v>10178500.030000001</v>
      </c>
      <c r="D75" s="188">
        <f>SUM(D73:D74)</f>
        <v>1</v>
      </c>
      <c r="E75" s="194">
        <f>AVERAGEIFS(Table13[TOTAL INCOME],Table13[Scope/Content Type],'INN Rollups 2021'!A70,Table13[TOTAL INCOME],"&gt;0")</f>
        <v>424104.16791666672</v>
      </c>
      <c r="H75" s="137" t="s">
        <v>274</v>
      </c>
      <c r="I75" s="173">
        <f>SUM(I73:I74)</f>
        <v>29535201.960000001</v>
      </c>
      <c r="J75" s="188">
        <f>SUM(J73:J74)</f>
        <v>1</v>
      </c>
      <c r="K75" s="194">
        <f>AVERAGEIFS(Table13[TOTAL INCOME],Table13[Scope/Content Type],'INN Rollups 2021'!G70,Table13[TOTAL INCOME],"&gt;0")</f>
        <v>1476760.098</v>
      </c>
      <c r="N75" s="137" t="s">
        <v>274</v>
      </c>
      <c r="O75" s="173">
        <f>SUM(O73:O74)</f>
        <v>2116708.71</v>
      </c>
      <c r="P75" s="188">
        <f>SUM(P73:P74)</f>
        <v>1</v>
      </c>
      <c r="Q75" s="194">
        <f>AVERAGEIFS(Table13[TOTAL INCOME],Table13[Scope/Content Type],'INN Rollups 2021'!M70,Table13[TOTAL INCOME],"&gt;0")</f>
        <v>302386.95857142855</v>
      </c>
      <c r="T75" s="137" t="s">
        <v>274</v>
      </c>
      <c r="U75" s="173">
        <f>SUM(U73:U74)</f>
        <v>60172609.340000004</v>
      </c>
      <c r="V75" s="188">
        <f>SUM(V73:V74)</f>
        <v>1</v>
      </c>
      <c r="W75" s="194">
        <f>AVERAGEIFS(Table13[TOTAL INCOME],Table13[Scope/Content Type],'INN Rollups 2021'!S70,Table13[TOTAL INCOME],"&gt;0")</f>
        <v>4628662.2569230776</v>
      </c>
    </row>
    <row r="76" spans="1:23" x14ac:dyDescent="0.15">
      <c r="C76" s="194"/>
      <c r="E76" s="194"/>
      <c r="I76" s="194"/>
      <c r="K76" s="194"/>
      <c r="O76" s="194"/>
      <c r="Q76" s="194"/>
      <c r="U76" s="194"/>
      <c r="W76" s="194"/>
    </row>
    <row r="77" spans="1:23" x14ac:dyDescent="0.15">
      <c r="B77" s="137" t="s">
        <v>275</v>
      </c>
      <c r="C77" s="173">
        <f>SUMIF(Table13[Scope/Content Type],'INN Rollups 2021'!A70,Table13[Expenses - Editorial])</f>
        <v>5805926.0999999996</v>
      </c>
      <c r="D77" s="176">
        <f>C77/C79</f>
        <v>0.68073425465927329</v>
      </c>
      <c r="E77" s="194">
        <f>AVERAGEIFS(Table13[Expenses - Editorial],Table13[Scope/Content Type],'INN Rollups 2021'!A70,Table13[Expenses - Editorial],"&gt;0")</f>
        <v>263905.73181818181</v>
      </c>
      <c r="H77" s="137" t="s">
        <v>275</v>
      </c>
      <c r="I77" s="173">
        <f>SUMIF(Table13[Scope/Content Type],'INN Rollups 2021'!G70,Table13[Expenses - Editorial])</f>
        <v>19255130.27</v>
      </c>
      <c r="J77" s="176">
        <f>I77/I79</f>
        <v>0.72719135026851156</v>
      </c>
      <c r="K77" s="194">
        <f>AVERAGEIFS(Table13[Expenses - Editorial],Table13[Scope/Content Type],'INN Rollups 2021'!G70,Table13[Expenses - Editorial],"&gt;0")</f>
        <v>962756.5135</v>
      </c>
      <c r="N77" s="137" t="s">
        <v>275</v>
      </c>
      <c r="O77" s="173">
        <f>SUMIF(Table13[Scope/Content Type],'INN Rollups 2021'!M70,Table13[Expenses - Editorial])</f>
        <v>1185760</v>
      </c>
      <c r="P77" s="176">
        <f>O77/O79</f>
        <v>0.71756694360512996</v>
      </c>
      <c r="Q77" s="194">
        <f>AVERAGEIFS(Table13[Expenses - Editorial],Table13[Scope/Content Type],'INN Rollups 2021'!M70,Table13[Expenses - Editorial],"&gt;0")</f>
        <v>197626.66666666666</v>
      </c>
      <c r="T77" s="137" t="s">
        <v>275</v>
      </c>
      <c r="U77" s="173">
        <f>SUMIF(Table13[Scope/Content Type],'INN Rollups 2021'!S70,Table13[Expenses - Editorial])</f>
        <v>40892352</v>
      </c>
      <c r="V77" s="176">
        <f>U77/U79</f>
        <v>0.55979947709604505</v>
      </c>
      <c r="W77" s="194">
        <f>AVERAGEIFS(Table13[Expenses - Editorial],Table13[Scope/Content Type],'INN Rollups 2021'!S70,Table13[Expenses - Editorial],"&gt;0")</f>
        <v>2726156.8</v>
      </c>
    </row>
    <row r="78" spans="1:23" x14ac:dyDescent="0.15">
      <c r="B78" s="140" t="s">
        <v>276</v>
      </c>
      <c r="C78" s="184">
        <f>SUMIF(Table13[Scope/Content Type],'INN Rollups 2021'!A70,Table13[Expenses - Non-Editorial])</f>
        <v>2722991.1100000003</v>
      </c>
      <c r="D78" s="183">
        <f>C78/C79</f>
        <v>0.31926574534072655</v>
      </c>
      <c r="E78" s="253">
        <f>AVERAGEIFS(Table13[Expenses - Non-Editorial],Table13[Scope/Content Type],'INN Rollups 2021'!A70,Table13[Expenses - Non-Editorial],"&gt;0")</f>
        <v>123772.3231818182</v>
      </c>
      <c r="H78" s="140" t="s">
        <v>276</v>
      </c>
      <c r="I78" s="184">
        <f>SUMIF(Table13[Scope/Content Type],'INN Rollups 2021'!G70,Table13[Expenses - Non-Editorial])</f>
        <v>7223636.6500000004</v>
      </c>
      <c r="J78" s="183">
        <f>I78/I79</f>
        <v>0.27280864973148833</v>
      </c>
      <c r="K78" s="253">
        <f>AVERAGEIFS(Table13[Expenses - Non-Editorial],Table13[Scope/Content Type],'INN Rollups 2021'!G70,Table13[Expenses - Non-Editorial],"&gt;0")</f>
        <v>361181.83250000002</v>
      </c>
      <c r="N78" s="140" t="s">
        <v>276</v>
      </c>
      <c r="O78" s="184">
        <f>SUMIF(Table13[Scope/Content Type],'INN Rollups 2021'!M70,Table13[Expenses - Non-Editorial])</f>
        <v>466713</v>
      </c>
      <c r="P78" s="183">
        <f>O78/O79</f>
        <v>0.28243305639486999</v>
      </c>
      <c r="Q78" s="253">
        <f>AVERAGEIFS(Table13[Expenses - Non-Editorial],Table13[Scope/Content Type],'INN Rollups 2021'!M70,Table13[Expenses - Non-Editorial],"&gt;0")</f>
        <v>77785.5</v>
      </c>
      <c r="T78" s="140" t="s">
        <v>276</v>
      </c>
      <c r="U78" s="184">
        <f>SUMIF(Table13[Scope/Content Type],'INN Rollups 2021'!S70,Table13[Expenses - Non-Editorial])</f>
        <v>32155862</v>
      </c>
      <c r="V78" s="183">
        <f>U78/U79</f>
        <v>0.44020052290395489</v>
      </c>
      <c r="W78" s="253">
        <f>AVERAGEIFS(Table13[Expenses - Non-Editorial],Table13[Scope/Content Type],'INN Rollups 2021'!S70,Table13[Expenses - Non-Editorial],"&gt;0")</f>
        <v>2143724.1333333333</v>
      </c>
    </row>
    <row r="79" spans="1:23" x14ac:dyDescent="0.15">
      <c r="B79" s="137" t="s">
        <v>277</v>
      </c>
      <c r="C79" s="173">
        <f>SUM(C77:C78)</f>
        <v>8528917.2100000009</v>
      </c>
      <c r="D79" s="176">
        <f>SUM(D77:D78)</f>
        <v>0.99999999999999978</v>
      </c>
      <c r="E79" s="194">
        <f>AVERAGEIFS(Table13[TOTAL EXPENSES],Table13[Scope/Content Type],'INN Rollups 2021'!A70,Table13[TOTAL EXPENSES],"&gt;0")</f>
        <v>387678.05500000005</v>
      </c>
      <c r="H79" s="137" t="s">
        <v>277</v>
      </c>
      <c r="I79" s="173">
        <f>SUM(I77:I78)</f>
        <v>26478766.920000002</v>
      </c>
      <c r="J79" s="176">
        <f>SUM(J77:J78)</f>
        <v>0.99999999999999989</v>
      </c>
      <c r="K79" s="194">
        <f>AVERAGEIFS(Table13[TOTAL EXPENSES],Table13[Scope/Content Type],'INN Rollups 2021'!G70,Table13[TOTAL EXPENSES],"&gt;0")</f>
        <v>1323938.3460000001</v>
      </c>
      <c r="N79" s="137" t="s">
        <v>277</v>
      </c>
      <c r="O79" s="173">
        <f>SUM(O77:O78)</f>
        <v>1652473</v>
      </c>
      <c r="P79" s="176">
        <f>SUM(P77:P78)</f>
        <v>1</v>
      </c>
      <c r="Q79" s="194">
        <f>AVERAGEIFS(Table13[TOTAL EXPENSES],Table13[Scope/Content Type],'INN Rollups 2021'!M70,Table13[TOTAL EXPENSES],"&gt;0")</f>
        <v>275412.16666666669</v>
      </c>
      <c r="T79" s="137" t="s">
        <v>277</v>
      </c>
      <c r="U79" s="173">
        <f>SUM(U77:U78)</f>
        <v>73048214</v>
      </c>
      <c r="V79" s="176">
        <f>SUM(V77:V78)</f>
        <v>1</v>
      </c>
      <c r="W79" s="194">
        <f>AVERAGEIFS(Table13[TOTAL EXPENSES],Table13[Scope/Content Type],'INN Rollups 2021'!S70,Table13[TOTAL EXPENSES],"&gt;0")</f>
        <v>4869880.9333333336</v>
      </c>
    </row>
    <row r="81" spans="1:23" x14ac:dyDescent="0.15">
      <c r="B81" s="137" t="s">
        <v>278</v>
      </c>
      <c r="C81" s="137">
        <f>SUMIF(Table13[Scope/Content Type],'INN Rollups 2021'!A70,Table13[Total FTE - Editorial])</f>
        <v>106.05</v>
      </c>
      <c r="D81" s="167">
        <f>C81/C83</f>
        <v>0.73365617433414032</v>
      </c>
      <c r="E81" s="199">
        <f>AVERAGEIFS(Table13[Total FTE - Editorial],Table13[Scope/Content Type],'INN Rollups 2021'!A70,Table13[Total FTE - Editorial],"&gt;0")</f>
        <v>4.6108695652173912</v>
      </c>
      <c r="H81" s="137" t="s">
        <v>278</v>
      </c>
      <c r="I81" s="137">
        <f>SUMIF(Table13[Scope/Content Type],'INN Rollups 2021'!G70,Table13[Total FTE - Editorial])</f>
        <v>193.5</v>
      </c>
      <c r="J81" s="167">
        <f>I81/I83</f>
        <v>0.7247191011235955</v>
      </c>
      <c r="K81" s="199">
        <f>AVERAGEIFS(Table13[Total FTE - Editorial],Table13[Scope/Content Type],'INN Rollups 2021'!G70,Table13[Total FTE - Editorial],"&gt;0")</f>
        <v>8.4130434782608692</v>
      </c>
      <c r="N81" s="137" t="s">
        <v>278</v>
      </c>
      <c r="O81" s="137">
        <f>SUMIF(Table13[Scope/Content Type],'INN Rollups 2021'!M70,Table13[Total FTE - Editorial])</f>
        <v>28</v>
      </c>
      <c r="P81" s="167">
        <f>O81/O83</f>
        <v>0.77241379310344827</v>
      </c>
      <c r="Q81" s="199">
        <f>AVERAGEIFS(Table13[Total FTE - Editorial],Table13[Scope/Content Type],'INN Rollups 2021'!M70,Table13[Total FTE - Editorial],"&gt;0")</f>
        <v>3.1111111111111112</v>
      </c>
      <c r="T81" s="137" t="s">
        <v>278</v>
      </c>
      <c r="U81" s="137">
        <f>SUMIF(Table13[Scope/Content Type],'INN Rollups 2021'!S70,Table13[Total FTE - Editorial])</f>
        <v>272</v>
      </c>
      <c r="V81" s="167">
        <f>U81/U83</f>
        <v>0.74776632302405499</v>
      </c>
      <c r="W81" s="199">
        <f>AVERAGEIFS(Table13[Total FTE - Editorial],Table13[Scope/Content Type],'INN Rollups 2021'!S70,Table13[Total FTE - Editorial],"&gt;0")</f>
        <v>17</v>
      </c>
    </row>
    <row r="82" spans="1:23" x14ac:dyDescent="0.15">
      <c r="B82" s="140" t="s">
        <v>279</v>
      </c>
      <c r="C82" s="140">
        <f>SUMIF(Table13[Scope/Content Type],'INN Rollups 2021'!A70,Table13[Total FTE - Non-Editorial])</f>
        <v>38.5</v>
      </c>
      <c r="D82" s="185">
        <f>C82/C83</f>
        <v>0.26634382566585957</v>
      </c>
      <c r="E82" s="201">
        <f>AVERAGEIFS(Table13[Total FTE - Non-Editorial],Table13[Scope/Content Type],'INN Rollups 2021'!A70,Table13[Total FTE - Non-Editorial],"&gt;0")</f>
        <v>2.0263157894736841</v>
      </c>
      <c r="H82" s="140" t="s">
        <v>279</v>
      </c>
      <c r="I82" s="140">
        <f>SUMIF(Table13[Scope/Content Type],'INN Rollups 2021'!G70,Table13[Total FTE - Non-Editorial])</f>
        <v>73.5</v>
      </c>
      <c r="J82" s="185">
        <f>I82/I83</f>
        <v>0.2752808988764045</v>
      </c>
      <c r="K82" s="201">
        <f>AVERAGEIFS(Table13[Total FTE - Non-Editorial],Table13[Scope/Content Type],'INN Rollups 2021'!G70,Table13[Total FTE - Non-Editorial],"&gt;0")</f>
        <v>5.25</v>
      </c>
      <c r="N82" s="140" t="s">
        <v>279</v>
      </c>
      <c r="O82" s="140">
        <f>SUMIF(Table13[Scope/Content Type],'INN Rollups 2021'!M70,Table13[Total FTE - Non-Editorial])</f>
        <v>8.25</v>
      </c>
      <c r="P82" s="185">
        <f>O82/O83</f>
        <v>0.22758620689655173</v>
      </c>
      <c r="Q82" s="201">
        <f>AVERAGEIFS(Table13[Total FTE - Non-Editorial],Table13[Scope/Content Type],'INN Rollups 2021'!M70,Table13[Total FTE - Non-Editorial],"&gt;0")</f>
        <v>1.65</v>
      </c>
      <c r="T82" s="140" t="s">
        <v>279</v>
      </c>
      <c r="U82" s="140">
        <f>SUMIF(Table13[Scope/Content Type],'INN Rollups 2021'!S70,Table13[Total FTE - Non-Editorial])</f>
        <v>91.75</v>
      </c>
      <c r="V82" s="185">
        <f>U82/U83</f>
        <v>0.25223367697594501</v>
      </c>
      <c r="W82" s="201">
        <f>AVERAGEIFS(Table13[Total FTE - Non-Editorial],Table13[Scope/Content Type],'INN Rollups 2021'!S70,Table13[Total FTE - Non-Editorial],"&gt;0")</f>
        <v>7.0576923076923075</v>
      </c>
    </row>
    <row r="83" spans="1:23" x14ac:dyDescent="0.15">
      <c r="B83" s="137" t="s">
        <v>280</v>
      </c>
      <c r="C83" s="137">
        <f>SUM(C81:C82)</f>
        <v>144.55000000000001</v>
      </c>
      <c r="D83" s="189">
        <f>SUM(D81:D82)</f>
        <v>0.99999999999999989</v>
      </c>
      <c r="E83" s="199">
        <f>AVERAGEIFS(Table13[Total FTE],Table13[Scope/Content Type],'INN Rollups 2021'!A70,Table13[Total FTE],"&gt;0")</f>
        <v>6.2847826086956529</v>
      </c>
      <c r="H83" s="137" t="s">
        <v>280</v>
      </c>
      <c r="I83" s="137">
        <f>SUM(I81:I82)</f>
        <v>267</v>
      </c>
      <c r="J83" s="189">
        <f>SUM(J81:J82)</f>
        <v>1</v>
      </c>
      <c r="K83" s="199">
        <f>AVERAGEIFS(Table13[Total FTE],Table13[Scope/Content Type],'INN Rollups 2021'!G70,Table13[Total FTE],"&gt;0")</f>
        <v>11.608695652173912</v>
      </c>
      <c r="N83" s="137" t="s">
        <v>280</v>
      </c>
      <c r="O83" s="137">
        <f>SUM(O81:O82)</f>
        <v>36.25</v>
      </c>
      <c r="P83" s="189">
        <f>SUM(P81:P82)</f>
        <v>1</v>
      </c>
      <c r="Q83" s="199">
        <f>AVERAGEIFS(Table13[Total FTE],Table13[Scope/Content Type],'INN Rollups 2021'!M70,Table13[Total FTE],"&gt;0")</f>
        <v>4.0277777777777777</v>
      </c>
      <c r="T83" s="137" t="s">
        <v>280</v>
      </c>
      <c r="U83" s="137">
        <f>SUM(U81:U82)</f>
        <v>363.75</v>
      </c>
      <c r="V83" s="189">
        <f>SUM(V81:V82)</f>
        <v>1</v>
      </c>
      <c r="W83" s="199">
        <f>AVERAGEIFS(Table13[Total FTE],Table13[Scope/Content Type],'INN Rollups 2021'!S70,Table13[Total FTE],"&gt;0")</f>
        <v>22.734375</v>
      </c>
    </row>
    <row r="85" spans="1:23" s="136" customFormat="1" x14ac:dyDescent="0.15">
      <c r="A85" s="136" t="str">
        <f>'Dropdown Menus'!F4</f>
        <v>Local: Current News &amp; Events</v>
      </c>
      <c r="C85" s="136">
        <f>COUNTIF(Table13[Scope/Content Type],'INN Rollups 2021'!A85)</f>
        <v>39</v>
      </c>
      <c r="G85" s="136" t="str">
        <f>'Dropdown Menus'!F7</f>
        <v>State: Current News &amp; Events</v>
      </c>
      <c r="I85" s="136">
        <f>COUNTIF(Table13[Scope/Content Type],'INN Rollups 2021'!G85)</f>
        <v>19</v>
      </c>
      <c r="M85" s="136" t="str">
        <f>'Dropdown Menus'!F10</f>
        <v>Regional: Current News &amp; Events</v>
      </c>
      <c r="O85" s="136">
        <f>COUNTIF(Table13[Scope/Content Type],'INN Rollups 2021'!M85)</f>
        <v>8</v>
      </c>
      <c r="S85" s="136" t="str">
        <f>'Dropdown Menus'!F13</f>
        <v>National: Current News &amp; Events</v>
      </c>
      <c r="U85" s="136">
        <f>COUNTIF(Table13[Scope/Content Type],'INN Rollups 2021'!S85)</f>
        <v>8</v>
      </c>
    </row>
    <row r="87" spans="1:23" x14ac:dyDescent="0.15">
      <c r="B87" s="136"/>
      <c r="C87" s="288" t="s">
        <v>269</v>
      </c>
      <c r="D87" s="288" t="s">
        <v>270</v>
      </c>
      <c r="E87" s="288" t="s">
        <v>271</v>
      </c>
      <c r="H87" s="136"/>
      <c r="I87" s="288" t="s">
        <v>269</v>
      </c>
      <c r="J87" s="288" t="s">
        <v>270</v>
      </c>
      <c r="K87" s="288" t="s">
        <v>271</v>
      </c>
      <c r="N87" s="136"/>
      <c r="O87" s="288" t="s">
        <v>269</v>
      </c>
      <c r="P87" s="288" t="s">
        <v>270</v>
      </c>
      <c r="Q87" s="288" t="s">
        <v>271</v>
      </c>
      <c r="T87" s="136"/>
      <c r="U87" s="288" t="s">
        <v>269</v>
      </c>
      <c r="V87" s="288" t="s">
        <v>270</v>
      </c>
      <c r="W87" s="288" t="s">
        <v>271</v>
      </c>
    </row>
    <row r="88" spans="1:23" x14ac:dyDescent="0.15">
      <c r="B88" s="137" t="s">
        <v>272</v>
      </c>
      <c r="C88" s="173">
        <f>SUMIF(Table13[Scope/Content Type],'INN Rollups 2021'!A85,Table13[Total Contributed Income])</f>
        <v>15547551.550000001</v>
      </c>
      <c r="D88" s="176">
        <f>C88/C90</f>
        <v>0.76117319167727293</v>
      </c>
      <c r="E88" s="194">
        <f>AVERAGEIFS(Table13[Total Contributed Income],Table13[Scope/Content Type],'INN Rollups 2021'!A85,Table13[Total Contributed Income],"&gt;0")</f>
        <v>518251.71833333338</v>
      </c>
      <c r="H88" s="137" t="s">
        <v>272</v>
      </c>
      <c r="I88" s="173">
        <f>SUMIF(Table13[Scope/Content Type],'INN Rollups 2021'!G85,Table13[Total Contributed Income])</f>
        <v>11825065.359999999</v>
      </c>
      <c r="J88" s="176">
        <f>I88/I90</f>
        <v>0.59923127499827034</v>
      </c>
      <c r="K88" s="194">
        <f>AVERAGEIFS(Table13[Total Contributed Income],Table13[Scope/Content Type],'INN Rollups 2021'!G85,Table13[Total Contributed Income],"&gt;0")</f>
        <v>739066.58499999996</v>
      </c>
      <c r="N88" s="137" t="s">
        <v>272</v>
      </c>
      <c r="O88" s="173">
        <f>SUMIF(Table13[Scope/Content Type],'INN Rollups 2021'!M85,Table13[Total Contributed Income])</f>
        <v>937674</v>
      </c>
      <c r="P88" s="176">
        <f>O88/O90</f>
        <v>0.90688524590163933</v>
      </c>
      <c r="Q88" s="194">
        <f>AVERAGEIFS(Table13[Total Contributed Income],Table13[Scope/Content Type],'INN Rollups 2021'!M85,Table13[Total Contributed Income],"&gt;0")</f>
        <v>234418.5</v>
      </c>
      <c r="T88" s="137" t="s">
        <v>272</v>
      </c>
      <c r="U88" s="173">
        <f>SUMIF(Table13[Scope/Content Type],'INN Rollups 2021'!S85,Table13[Total Contributed Income])</f>
        <v>51807977.159999996</v>
      </c>
      <c r="V88" s="176">
        <f>U88/U90</f>
        <v>0.93832877467561915</v>
      </c>
      <c r="W88" s="194">
        <f>AVERAGEIFS(Table13[Total Contributed Income],Table13[Scope/Content Type],'INN Rollups 2021'!S85,Table13[Total Contributed Income],"&gt;0")</f>
        <v>6475997.1449999996</v>
      </c>
    </row>
    <row r="89" spans="1:23" x14ac:dyDescent="0.15">
      <c r="B89" s="140" t="s">
        <v>273</v>
      </c>
      <c r="C89" s="184">
        <f>SUMIF(Table13[Scope/Content Type],'INN Rollups 2021'!A85,Table13[Total Earned Income])</f>
        <v>4878222.4000000004</v>
      </c>
      <c r="D89" s="183">
        <f>C89/C90</f>
        <v>0.23882680832272696</v>
      </c>
      <c r="E89" s="253">
        <f>AVERAGEIFS(Table13[Total Earned Income],Table13[Scope/Content Type],'INN Rollups 2021'!A85,Table13[Total Earned Income],"&gt;0")</f>
        <v>180674.90370370372</v>
      </c>
      <c r="H89" s="140" t="s">
        <v>273</v>
      </c>
      <c r="I89" s="184">
        <f>SUMIF(Table13[Scope/Content Type],'INN Rollups 2021'!G85,Table13[Total Earned Income])</f>
        <v>7908659.9199999999</v>
      </c>
      <c r="J89" s="183">
        <f>I89/I90</f>
        <v>0.40076872500172961</v>
      </c>
      <c r="K89" s="253">
        <f>AVERAGEIFS(Table13[Total Earned Income],Table13[Scope/Content Type],'INN Rollups 2021'!G85,Table13[Total Earned Income],"&gt;0")</f>
        <v>659054.99333333329</v>
      </c>
      <c r="N89" s="140" t="s">
        <v>273</v>
      </c>
      <c r="O89" s="184">
        <f>SUMIF(Table13[Scope/Content Type],'INN Rollups 2021'!M85,Table13[Total Earned Income])</f>
        <v>96276</v>
      </c>
      <c r="P89" s="183">
        <f>O89/O90</f>
        <v>9.3114754098360661E-2</v>
      </c>
      <c r="Q89" s="253">
        <f>AVERAGEIFS(Table13[Total Earned Income],Table13[Scope/Content Type],'INN Rollups 2021'!M85,Table13[Total Earned Income],"&gt;0")</f>
        <v>48138</v>
      </c>
      <c r="T89" s="140" t="s">
        <v>273</v>
      </c>
      <c r="U89" s="184">
        <f>SUMIF(Table13[Scope/Content Type],'INN Rollups 2021'!S85,Table13[Total Earned Income])</f>
        <v>3405055.37</v>
      </c>
      <c r="V89" s="183">
        <f>U89/U90</f>
        <v>6.1671225324380866E-2</v>
      </c>
      <c r="W89" s="253">
        <f>AVERAGEIFS(Table13[Total Earned Income],Table13[Scope/Content Type],'INN Rollups 2021'!S85,Table13[Total Earned Income],"&gt;0")</f>
        <v>425631.92125000001</v>
      </c>
    </row>
    <row r="90" spans="1:23" x14ac:dyDescent="0.15">
      <c r="B90" s="137" t="s">
        <v>274</v>
      </c>
      <c r="C90" s="173">
        <f>SUM(C88:C89)</f>
        <v>20425773.950000003</v>
      </c>
      <c r="D90" s="188">
        <f>SUM(D88:D89)</f>
        <v>0.99999999999999989</v>
      </c>
      <c r="E90" s="194">
        <f>AVERAGEIFS(Table13[TOTAL INCOME],Table13[Scope/Content Type],'INN Rollups 2021'!A85,Table13[TOTAL INCOME],"&gt;0")</f>
        <v>658895.93387096771</v>
      </c>
      <c r="H90" s="137" t="s">
        <v>274</v>
      </c>
      <c r="I90" s="173">
        <f>SUM(I88:I89)</f>
        <v>19733725.280000001</v>
      </c>
      <c r="J90" s="188">
        <f>SUM(J88:J89)</f>
        <v>1</v>
      </c>
      <c r="K90" s="194">
        <f>AVERAGEIFS(Table13[TOTAL INCOME],Table13[Scope/Content Type],'INN Rollups 2021'!G85,Table13[TOTAL INCOME],"&gt;0")</f>
        <v>1233357.83</v>
      </c>
      <c r="N90" s="137" t="s">
        <v>274</v>
      </c>
      <c r="O90" s="173">
        <f>SUM(O88:O89)</f>
        <v>1033950</v>
      </c>
      <c r="P90" s="188">
        <f>SUM(P88:P89)</f>
        <v>1</v>
      </c>
      <c r="Q90" s="194">
        <f>AVERAGEIFS(Table13[TOTAL INCOME],Table13[Scope/Content Type],'INN Rollups 2021'!M85,Table13[TOTAL INCOME],"&gt;0")</f>
        <v>258487.5</v>
      </c>
      <c r="T90" s="137" t="s">
        <v>274</v>
      </c>
      <c r="U90" s="173">
        <f>SUM(U88:U89)</f>
        <v>55213032.529999994</v>
      </c>
      <c r="V90" s="188">
        <f>SUM(V88:V89)</f>
        <v>1</v>
      </c>
      <c r="W90" s="194">
        <f>AVERAGEIFS(Table13[TOTAL INCOME],Table13[Scope/Content Type],'INN Rollups 2021'!S85,Table13[TOTAL INCOME],"&gt;0")</f>
        <v>6901629.0662500001</v>
      </c>
    </row>
    <row r="91" spans="1:23" x14ac:dyDescent="0.15">
      <c r="C91" s="194"/>
      <c r="E91" s="194"/>
      <c r="I91" s="194"/>
      <c r="K91" s="194"/>
      <c r="O91" s="194"/>
      <c r="Q91" s="194"/>
      <c r="U91" s="194"/>
      <c r="W91" s="194"/>
    </row>
    <row r="92" spans="1:23" x14ac:dyDescent="0.15">
      <c r="B92" s="137" t="s">
        <v>275</v>
      </c>
      <c r="C92" s="173">
        <f>SUMIF(Table13[Scope/Content Type],'INN Rollups 2021'!A85,Table13[Expenses - Editorial])</f>
        <v>16420273.169999998</v>
      </c>
      <c r="D92" s="176">
        <f>C92/C94</f>
        <v>0.57626670521744894</v>
      </c>
      <c r="E92" s="194">
        <f>AVERAGEIFS(Table13[Expenses - Editorial],Table13[Scope/Content Type],'INN Rollups 2021'!A85,Table13[Expenses - Editorial],"&gt;0")</f>
        <v>513133.53656249994</v>
      </c>
      <c r="H92" s="137" t="s">
        <v>275</v>
      </c>
      <c r="I92" s="173">
        <f>SUMIF(Table13[Scope/Content Type],'INN Rollups 2021'!G85,Table13[Expenses - Editorial])</f>
        <v>7902263.4800000004</v>
      </c>
      <c r="J92" s="176">
        <f>I92/I94</f>
        <v>0.55529610214584613</v>
      </c>
      <c r="K92" s="194">
        <f>AVERAGEIFS(Table13[Expenses - Editorial],Table13[Scope/Content Type],'INN Rollups 2021'!G85,Table13[Expenses - Editorial],"&gt;0")</f>
        <v>493891.46750000003</v>
      </c>
      <c r="N92" s="137" t="s">
        <v>275</v>
      </c>
      <c r="O92" s="173">
        <f>SUMIF(Table13[Scope/Content Type],'INN Rollups 2021'!M85,Table13[Expenses - Editorial])</f>
        <v>973000</v>
      </c>
      <c r="P92" s="176">
        <f>O92/O94</f>
        <v>0.23539350633264175</v>
      </c>
      <c r="Q92" s="194">
        <f>AVERAGEIFS(Table13[Expenses - Editorial],Table13[Scope/Content Type],'INN Rollups 2021'!M85,Table13[Expenses - Editorial],"&gt;0")</f>
        <v>194600</v>
      </c>
      <c r="T92" s="137" t="s">
        <v>275</v>
      </c>
      <c r="U92" s="173">
        <f>SUMIF(Table13[Scope/Content Type],'INN Rollups 2021'!S85,Table13[Expenses - Editorial])</f>
        <v>37013703</v>
      </c>
      <c r="V92" s="176">
        <f>U92/U94</f>
        <v>0.7535457488636258</v>
      </c>
      <c r="W92" s="194">
        <f>AVERAGEIFS(Table13[Expenses - Editorial],Table13[Scope/Content Type],'INN Rollups 2021'!S85,Table13[Expenses - Editorial],"&gt;0")</f>
        <v>4626712.875</v>
      </c>
    </row>
    <row r="93" spans="1:23" x14ac:dyDescent="0.15">
      <c r="B93" s="140" t="s">
        <v>276</v>
      </c>
      <c r="C93" s="184">
        <f>SUMIF(Table13[Scope/Content Type],'INN Rollups 2021'!A85,Table13[Expenses - Non-Editorial])</f>
        <v>12073951.850000001</v>
      </c>
      <c r="D93" s="183">
        <f>C93/C94</f>
        <v>0.42373329478255106</v>
      </c>
      <c r="E93" s="253">
        <f>AVERAGEIFS(Table13[Expenses - Non-Editorial],Table13[Scope/Content Type],'INN Rollups 2021'!A85,Table13[Expenses - Non-Editorial],"&gt;0")</f>
        <v>377310.99531250005</v>
      </c>
      <c r="H93" s="140" t="s">
        <v>276</v>
      </c>
      <c r="I93" s="184">
        <f>SUMIF(Table13[Scope/Content Type],'INN Rollups 2021'!G85,Table13[Expenses - Non-Editorial])</f>
        <v>6328456.7599999998</v>
      </c>
      <c r="J93" s="183">
        <f>I93/I94</f>
        <v>0.44470389785415382</v>
      </c>
      <c r="K93" s="253">
        <f>AVERAGEIFS(Table13[Expenses - Non-Editorial],Table13[Scope/Content Type],'INN Rollups 2021'!G85,Table13[Expenses - Non-Editorial],"&gt;0")</f>
        <v>395528.54749999999</v>
      </c>
      <c r="N93" s="140" t="s">
        <v>276</v>
      </c>
      <c r="O93" s="184">
        <f>SUMIF(Table13[Scope/Content Type],'INN Rollups 2021'!M85,Table13[Expenses - Non-Editorial])</f>
        <v>3160504</v>
      </c>
      <c r="P93" s="183">
        <f>O93/O94</f>
        <v>0.76460649366735822</v>
      </c>
      <c r="Q93" s="253">
        <f>AVERAGEIFS(Table13[Expenses - Non-Editorial],Table13[Scope/Content Type],'INN Rollups 2021'!M85,Table13[Expenses - Non-Editorial],"&gt;0")</f>
        <v>632100.80000000005</v>
      </c>
      <c r="T93" s="140" t="s">
        <v>276</v>
      </c>
      <c r="U93" s="184">
        <f>SUMIF(Table13[Scope/Content Type],'INN Rollups 2021'!S85,Table13[Expenses - Non-Editorial])</f>
        <v>12105681</v>
      </c>
      <c r="V93" s="183">
        <f>U93/U94</f>
        <v>0.24645425113637418</v>
      </c>
      <c r="W93" s="253">
        <f>AVERAGEIFS(Table13[Expenses - Non-Editorial],Table13[Scope/Content Type],'INN Rollups 2021'!S85,Table13[Expenses - Non-Editorial],"&gt;0")</f>
        <v>1513210.125</v>
      </c>
    </row>
    <row r="94" spans="1:23" x14ac:dyDescent="0.15">
      <c r="B94" s="137" t="s">
        <v>277</v>
      </c>
      <c r="C94" s="173">
        <f>SUM(C92:C93)</f>
        <v>28494225.02</v>
      </c>
      <c r="D94" s="176">
        <f>SUM(D92:D93)</f>
        <v>1</v>
      </c>
      <c r="E94" s="194">
        <f>AVERAGEIFS(Table13[TOTAL EXPENSES],Table13[Scope/Content Type],'INN Rollups 2021'!A85,Table13[TOTAL EXPENSES],"&gt;0")</f>
        <v>890444.5318750001</v>
      </c>
      <c r="H94" s="137" t="s">
        <v>277</v>
      </c>
      <c r="I94" s="173">
        <f>SUM(I92:I93)</f>
        <v>14230720.24</v>
      </c>
      <c r="J94" s="176">
        <f>SUM(J92:J93)</f>
        <v>1</v>
      </c>
      <c r="K94" s="194">
        <f>AVERAGEIFS(Table13[TOTAL EXPENSES],Table13[Scope/Content Type],'INN Rollups 2021'!G85,Table13[TOTAL EXPENSES],"&gt;0")</f>
        <v>889420.01500000001</v>
      </c>
      <c r="N94" s="137" t="s">
        <v>277</v>
      </c>
      <c r="O94" s="173">
        <f>SUM(O92:O93)</f>
        <v>4133504</v>
      </c>
      <c r="P94" s="176">
        <f>SUM(P92:P93)</f>
        <v>1</v>
      </c>
      <c r="Q94" s="194">
        <f>AVERAGEIFS(Table13[TOTAL EXPENSES],Table13[Scope/Content Type],'INN Rollups 2021'!M85,Table13[TOTAL EXPENSES],"&gt;0")</f>
        <v>826700.80000000005</v>
      </c>
      <c r="T94" s="137" t="s">
        <v>277</v>
      </c>
      <c r="U94" s="173">
        <f>SUM(U92:U93)</f>
        <v>49119384</v>
      </c>
      <c r="V94" s="176">
        <f>SUM(V92:V93)</f>
        <v>1</v>
      </c>
      <c r="W94" s="194">
        <f>AVERAGEIFS(Table13[TOTAL EXPENSES],Table13[Scope/Content Type],'INN Rollups 2021'!S85,Table13[TOTAL EXPENSES],"&gt;0")</f>
        <v>6139923</v>
      </c>
    </row>
    <row r="96" spans="1:23" x14ac:dyDescent="0.15">
      <c r="B96" s="137" t="s">
        <v>278</v>
      </c>
      <c r="C96" s="137">
        <f>SUMIF(Table13[Scope/Content Type],'INN Rollups 2021'!A85,Table13[Total FTE - Editorial])</f>
        <v>222.7</v>
      </c>
      <c r="D96" s="167">
        <f>C96/C98</f>
        <v>0.71048014037326523</v>
      </c>
      <c r="E96" s="199">
        <f>AVERAGEIFS(Table13[Total FTE - Editorial],Table13[Scope/Content Type],'INN Rollups 2021'!A85,Table13[Total FTE - Editorial],"&gt;0")</f>
        <v>6.0189189189189189</v>
      </c>
      <c r="H96" s="137" t="s">
        <v>278</v>
      </c>
      <c r="I96" s="137">
        <f>SUMIF(Table13[Scope/Content Type],'INN Rollups 2021'!G85,Table13[Total FTE - Editorial])</f>
        <v>106.85</v>
      </c>
      <c r="J96" s="167">
        <f>I96/I98</f>
        <v>0.7514064697609002</v>
      </c>
      <c r="K96" s="199">
        <f>AVERAGEIFS(Table13[Total FTE - Editorial],Table13[Scope/Content Type],'INN Rollups 2021'!G85,Table13[Total FTE - Editorial],"&gt;0")</f>
        <v>5.9361111111111109</v>
      </c>
      <c r="N96" s="137" t="s">
        <v>278</v>
      </c>
      <c r="O96" s="137">
        <f>SUMIF(Table13[Scope/Content Type],'INN Rollups 2021'!M85,Table13[Total FTE - Editorial])</f>
        <v>43.75</v>
      </c>
      <c r="P96" s="167">
        <f>O96/O98</f>
        <v>0.49715909090909088</v>
      </c>
      <c r="Q96" s="199">
        <f>AVERAGEIFS(Table13[Total FTE - Editorial],Table13[Scope/Content Type],'INN Rollups 2021'!M85,Table13[Total FTE - Editorial],"&gt;0")</f>
        <v>6.25</v>
      </c>
      <c r="T96" s="137" t="s">
        <v>278</v>
      </c>
      <c r="U96" s="137">
        <f>SUMIF(Table13[Scope/Content Type],'INN Rollups 2021'!S85,Table13[Total FTE - Editorial])</f>
        <v>238.5</v>
      </c>
      <c r="V96" s="167">
        <f>U96/U98</f>
        <v>0.72569602921040621</v>
      </c>
      <c r="W96" s="199">
        <f>AVERAGEIFS(Table13[Total FTE - Editorial],Table13[Scope/Content Type],'INN Rollups 2021'!S85,Table13[Total FTE - Editorial],"&gt;0")</f>
        <v>29.8125</v>
      </c>
    </row>
    <row r="97" spans="2:23" x14ac:dyDescent="0.15">
      <c r="B97" s="140" t="s">
        <v>279</v>
      </c>
      <c r="C97" s="140">
        <f>SUMIF(Table13[Scope/Content Type],'INN Rollups 2021'!A85,Table13[Total FTE - Non-Editorial])</f>
        <v>90.75</v>
      </c>
      <c r="D97" s="185">
        <f>C97/C98</f>
        <v>0.28951985962673471</v>
      </c>
      <c r="E97" s="201">
        <f>AVERAGEIFS(Table13[Total FTE - Non-Editorial],Table13[Scope/Content Type],'INN Rollups 2021'!A85,Table13[Total FTE - Non-Editorial],"&gt;0")</f>
        <v>3.2410714285714284</v>
      </c>
      <c r="H97" s="140" t="s">
        <v>279</v>
      </c>
      <c r="I97" s="140">
        <f>SUMIF(Table13[Scope/Content Type],'INN Rollups 2021'!G85,Table13[Total FTE - Non-Editorial])</f>
        <v>35.35</v>
      </c>
      <c r="J97" s="185">
        <f>I97/I98</f>
        <v>0.24859353023909989</v>
      </c>
      <c r="K97" s="201">
        <f>AVERAGEIFS(Table13[Total FTE - Non-Editorial],Table13[Scope/Content Type],'INN Rollups 2021'!G85,Table13[Total FTE - Non-Editorial],"&gt;0")</f>
        <v>3.2136363636363638</v>
      </c>
      <c r="N97" s="140" t="s">
        <v>279</v>
      </c>
      <c r="O97" s="140">
        <f>SUMIF(Table13[Scope/Content Type],'INN Rollups 2021'!M85,Table13[Total FTE - Non-Editorial])</f>
        <v>44.25</v>
      </c>
      <c r="P97" s="185">
        <f>O97/O98</f>
        <v>0.50284090909090906</v>
      </c>
      <c r="Q97" s="201">
        <f>AVERAGEIFS(Table13[Total FTE - Non-Editorial],Table13[Scope/Content Type],'INN Rollups 2021'!M85,Table13[Total FTE - Non-Editorial],"&gt;0")</f>
        <v>11.0625</v>
      </c>
      <c r="T97" s="140" t="s">
        <v>279</v>
      </c>
      <c r="U97" s="140">
        <f>SUMIF(Table13[Scope/Content Type],'INN Rollups 2021'!S85,Table13[Total FTE - Non-Editorial])</f>
        <v>90.15</v>
      </c>
      <c r="V97" s="185">
        <f>U97/U98</f>
        <v>0.27430397078959384</v>
      </c>
      <c r="W97" s="201">
        <f>AVERAGEIFS(Table13[Total FTE - Non-Editorial],Table13[Scope/Content Type],'INN Rollups 2021'!S85,Table13[Total FTE - Non-Editorial],"&gt;0")</f>
        <v>11.268750000000001</v>
      </c>
    </row>
    <row r="98" spans="2:23" x14ac:dyDescent="0.15">
      <c r="B98" s="137" t="s">
        <v>280</v>
      </c>
      <c r="C98" s="137">
        <f>SUM(C96:C97)</f>
        <v>313.45</v>
      </c>
      <c r="D98" s="189">
        <f>SUM(D96:D97)</f>
        <v>1</v>
      </c>
      <c r="E98" s="199">
        <f>AVERAGEIFS(Table13[Total FTE],Table13[Scope/Content Type],'INN Rollups 2021'!A85,Table13[Total FTE],"&gt;0")</f>
        <v>8.4716216216216207</v>
      </c>
      <c r="H98" s="137" t="s">
        <v>280</v>
      </c>
      <c r="I98" s="137">
        <f>SUM(I96:I97)</f>
        <v>142.19999999999999</v>
      </c>
      <c r="J98" s="189">
        <f>SUM(J96:J97)</f>
        <v>1</v>
      </c>
      <c r="K98" s="199">
        <f>AVERAGEIFS(Table13[Total FTE],Table13[Scope/Content Type],'INN Rollups 2021'!G85,Table13[Total FTE],"&gt;0")</f>
        <v>7.8999999999999995</v>
      </c>
      <c r="N98" s="137" t="s">
        <v>280</v>
      </c>
      <c r="O98" s="137">
        <f>SUM(O96:O97)</f>
        <v>88</v>
      </c>
      <c r="P98" s="189">
        <f>SUM(P96:P97)</f>
        <v>1</v>
      </c>
      <c r="Q98" s="199">
        <f>AVERAGEIFS(Table13[Total FTE],Table13[Scope/Content Type],'INN Rollups 2021'!M85,Table13[Total FTE],"&gt;0")</f>
        <v>12.571428571428571</v>
      </c>
      <c r="T98" s="137" t="s">
        <v>280</v>
      </c>
      <c r="U98" s="137">
        <f>SUM(U96:U97)</f>
        <v>328.65</v>
      </c>
      <c r="V98" s="189">
        <f>SUM(V96:V97)</f>
        <v>1</v>
      </c>
      <c r="W98" s="199">
        <f>AVERAGEIFS(Table13[Total FTE],Table13[Scope/Content Type],'INN Rollups 2021'!S85,Table13[Total FTE],"&gt;0")</f>
        <v>41.081249999999997</v>
      </c>
    </row>
    <row r="101" spans="2:23" x14ac:dyDescent="0.15">
      <c r="C101" s="137">
        <f>C85+C70+C55</f>
        <v>92</v>
      </c>
      <c r="I101" s="137">
        <f>I85+I70+I55</f>
        <v>62</v>
      </c>
      <c r="O101" s="137">
        <f>O85+O70+O55</f>
        <v>30</v>
      </c>
      <c r="U101" s="137">
        <f>U85+U70+U55</f>
        <v>49</v>
      </c>
    </row>
  </sheetData>
  <pageMargins left="0.7" right="0.7" top="0.75" bottom="0.75" header="0.3" footer="0.3"/>
  <pageSetup scale="57" orientation="portrait" horizontalDpi="1200" verticalDpi="1200" r:id="rId1"/>
  <colBreaks count="1" manualBreakCount="1">
    <brk id="1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311C-7969-4692-922F-F73414A5BA3A}">
  <sheetPr>
    <tabColor theme="7" tint="0.39997558519241921"/>
  </sheetPr>
  <dimension ref="A1:AI113"/>
  <sheetViews>
    <sheetView view="pageBreakPreview" zoomScale="130" zoomScaleNormal="130" zoomScaleSheetLayoutView="130" workbookViewId="0">
      <selection activeCell="Q19" sqref="Q19"/>
    </sheetView>
  </sheetViews>
  <sheetFormatPr baseColWidth="10" defaultColWidth="9.1640625" defaultRowHeight="12" outlineLevelCol="1" x14ac:dyDescent="0.15"/>
  <cols>
    <col min="1" max="1" width="1.6640625" style="137" customWidth="1"/>
    <col min="2" max="2" width="4.6640625" style="137" customWidth="1"/>
    <col min="3" max="3" width="25.83203125" style="137" bestFit="1" customWidth="1"/>
    <col min="4" max="4" width="15.33203125" style="137" hidden="1" customWidth="1" outlineLevel="1"/>
    <col min="5" max="5" width="0" style="137" hidden="1" customWidth="1" outlineLevel="1"/>
    <col min="6" max="6" width="12.5" style="137" bestFit="1" customWidth="1" collapsed="1"/>
    <col min="7" max="8" width="9.1640625" style="137"/>
    <col min="9" max="9" width="3.6640625" style="137" customWidth="1"/>
    <col min="10" max="10" width="1.6640625" style="137" customWidth="1"/>
    <col min="11" max="11" width="4.6640625" style="137" customWidth="1"/>
    <col min="12" max="12" width="25.83203125" style="137" bestFit="1" customWidth="1"/>
    <col min="13" max="13" width="12.5" style="137" hidden="1" customWidth="1" outlineLevel="1"/>
    <col min="14" max="14" width="0" style="137" hidden="1" customWidth="1" outlineLevel="1"/>
    <col min="15" max="15" width="11.5" style="137" bestFit="1" customWidth="1" collapsed="1"/>
    <col min="16" max="17" width="9.1640625" style="137"/>
    <col min="18" max="18" width="3.6640625" style="137" customWidth="1"/>
    <col min="19" max="19" width="1.6640625" style="137" customWidth="1"/>
    <col min="20" max="20" width="4.6640625" style="137" customWidth="1"/>
    <col min="21" max="21" width="25.83203125" style="137" bestFit="1" customWidth="1"/>
    <col min="22" max="22" width="12.5" style="137" hidden="1" customWidth="1" outlineLevel="1"/>
    <col min="23" max="23" width="0" style="137" hidden="1" customWidth="1" outlineLevel="1"/>
    <col min="24" max="24" width="11.5" style="137" bestFit="1" customWidth="1" collapsed="1"/>
    <col min="25" max="26" width="9.1640625" style="137"/>
    <col min="27" max="27" width="3.6640625" style="137" customWidth="1"/>
    <col min="28" max="28" width="1.6640625" style="137" customWidth="1"/>
    <col min="29" max="29" width="4.6640625" style="137" customWidth="1"/>
    <col min="30" max="30" width="25.83203125" style="137" bestFit="1" customWidth="1"/>
    <col min="31" max="31" width="12.5" style="137" hidden="1" customWidth="1" outlineLevel="1"/>
    <col min="32" max="32" width="9.1640625" style="137" hidden="1" customWidth="1" outlineLevel="1"/>
    <col min="33" max="33" width="11.5" style="137" bestFit="1" customWidth="1" collapsed="1"/>
    <col min="34" max="16384" width="9.1640625" style="137"/>
  </cols>
  <sheetData>
    <row r="1" spans="1:35" x14ac:dyDescent="0.15">
      <c r="A1" s="136" t="s">
        <v>0</v>
      </c>
      <c r="AI1" s="213"/>
    </row>
    <row r="2" spans="1:35" x14ac:dyDescent="0.15">
      <c r="A2" s="136" t="s">
        <v>2</v>
      </c>
    </row>
    <row r="3" spans="1:35" x14ac:dyDescent="0.15">
      <c r="A3" s="138" t="str">
        <f>INSTRUCTIONS!A3</f>
        <v>March 2022</v>
      </c>
    </row>
    <row r="4" spans="1:35" x14ac:dyDescent="0.15">
      <c r="A4" s="136" t="s">
        <v>281</v>
      </c>
    </row>
    <row r="6" spans="1:35" x14ac:dyDescent="0.15">
      <c r="A6" s="220" t="s">
        <v>120</v>
      </c>
      <c r="B6" s="221"/>
      <c r="C6" s="221"/>
      <c r="D6" s="221"/>
      <c r="E6" s="221"/>
      <c r="F6" s="221"/>
      <c r="G6" s="221"/>
      <c r="H6" s="221"/>
      <c r="J6" s="220" t="s">
        <v>123</v>
      </c>
      <c r="K6" s="221"/>
      <c r="L6" s="221"/>
      <c r="M6" s="221"/>
      <c r="N6" s="221"/>
      <c r="O6" s="221"/>
      <c r="P6" s="221"/>
      <c r="Q6" s="221"/>
      <c r="S6" s="220" t="s">
        <v>126</v>
      </c>
      <c r="T6" s="221"/>
      <c r="U6" s="221"/>
      <c r="V6" s="221"/>
      <c r="W6" s="221"/>
      <c r="X6" s="221"/>
      <c r="Y6" s="221"/>
      <c r="Z6" s="221"/>
      <c r="AB6" s="220" t="s">
        <v>129</v>
      </c>
      <c r="AC6" s="221"/>
      <c r="AD6" s="221"/>
      <c r="AE6" s="221"/>
      <c r="AF6" s="221"/>
      <c r="AG6" s="221"/>
      <c r="AH6" s="221"/>
      <c r="AI6" s="221"/>
    </row>
    <row r="7" spans="1:35" ht="13" x14ac:dyDescent="0.15">
      <c r="A7" s="169"/>
      <c r="B7" s="169"/>
      <c r="C7" s="169"/>
      <c r="D7" s="169" t="s">
        <v>269</v>
      </c>
      <c r="E7" s="169" t="s">
        <v>282</v>
      </c>
      <c r="F7" s="169" t="s">
        <v>283</v>
      </c>
      <c r="G7" s="169" t="s">
        <v>284</v>
      </c>
      <c r="H7" s="169" t="s">
        <v>285</v>
      </c>
      <c r="J7" s="169"/>
      <c r="K7" s="169"/>
      <c r="L7" s="169"/>
      <c r="M7" s="169" t="s">
        <v>269</v>
      </c>
      <c r="N7" s="169" t="s">
        <v>282</v>
      </c>
      <c r="O7" s="169" t="s">
        <v>283</v>
      </c>
      <c r="P7" s="169" t="s">
        <v>284</v>
      </c>
      <c r="Q7" s="169" t="s">
        <v>285</v>
      </c>
      <c r="S7" s="169"/>
      <c r="T7" s="169"/>
      <c r="U7" s="169"/>
      <c r="V7" s="169" t="s">
        <v>269</v>
      </c>
      <c r="W7" s="169" t="s">
        <v>282</v>
      </c>
      <c r="X7" s="169" t="s">
        <v>283</v>
      </c>
      <c r="Y7" s="169" t="s">
        <v>284</v>
      </c>
      <c r="Z7" s="169" t="s">
        <v>285</v>
      </c>
      <c r="AB7" s="169"/>
      <c r="AC7" s="169"/>
      <c r="AD7" s="169"/>
      <c r="AE7" s="169" t="s">
        <v>269</v>
      </c>
      <c r="AF7" s="169" t="s">
        <v>282</v>
      </c>
      <c r="AG7" s="169" t="s">
        <v>283</v>
      </c>
      <c r="AH7" s="169" t="s">
        <v>284</v>
      </c>
      <c r="AI7" s="169" t="s">
        <v>285</v>
      </c>
    </row>
    <row r="8" spans="1:35" x14ac:dyDescent="0.15">
      <c r="B8" s="137" t="s">
        <v>246</v>
      </c>
      <c r="D8" s="173"/>
      <c r="K8" s="137" t="s">
        <v>246</v>
      </c>
      <c r="M8" s="173"/>
      <c r="T8" s="137" t="s">
        <v>246</v>
      </c>
      <c r="V8" s="173"/>
      <c r="AC8" s="137" t="s">
        <v>246</v>
      </c>
      <c r="AE8" s="173"/>
    </row>
    <row r="9" spans="1:35" x14ac:dyDescent="0.15">
      <c r="C9" s="137" t="s">
        <v>134</v>
      </c>
      <c r="D9" s="173">
        <f>SUMIF(Table13[Scope/Sub-Type],'INN Income Splits'!A6,Table13[Cont. Income - Foundation])</f>
        <v>10068701.710000001</v>
      </c>
      <c r="E9" s="167">
        <f>D9/$D$13</f>
        <v>0.57445714341193355</v>
      </c>
      <c r="F9" s="173">
        <f>AVERAGEIFS(Table13[Cont. Income - Foundation],Table13[Scope/Sub-Type],$A$6,Table13[Cont. Income - Foundation],"&gt;0")</f>
        <v>218884.81978260871</v>
      </c>
      <c r="G9" s="167">
        <f>F9/$F$13</f>
        <v>0.46562431666767068</v>
      </c>
      <c r="H9" s="179">
        <f>F9/$F$22</f>
        <v>0.2509021883313749</v>
      </c>
      <c r="L9" s="137" t="s">
        <v>134</v>
      </c>
      <c r="M9" s="173">
        <f>SUMIF(Table13[Scope/Sub-Type],'INN Income Splits'!J6,Table13[Cont. Income - Foundation])</f>
        <v>8074867.29</v>
      </c>
      <c r="N9" s="167">
        <f>M9/$M$13</f>
        <v>0.42121677890693399</v>
      </c>
      <c r="O9" s="173">
        <f>AVERAGEIFS(Table13[Cont. Income - Foundation],Table13[Scope/Sub-Type],J6,Table13[Cont. Income - Foundation],"&gt;0")</f>
        <v>336452.80375000002</v>
      </c>
      <c r="P9" s="167">
        <f>O9/$O$13</f>
        <v>0.29371838051708576</v>
      </c>
      <c r="Q9" s="179">
        <f>O9/$O$22</f>
        <v>9.404282265545702E-2</v>
      </c>
      <c r="U9" s="137" t="s">
        <v>134</v>
      </c>
      <c r="V9" s="173">
        <f>SUMIF(Table13[Scope/Sub-Type],'INN Income Splits'!S6,Table13[Cont. Income - Foundation])</f>
        <v>619491</v>
      </c>
      <c r="W9" s="179">
        <f>V9/$V$13</f>
        <v>5.7999687871947425E-2</v>
      </c>
      <c r="X9" s="173">
        <f>AVERAGEIFS(Table13[Cont. Income - Foundation],Table13[Scope/Sub-Type],$S$6,Table13[Cont. Income - Foundation],"&gt;0")</f>
        <v>154872.75</v>
      </c>
      <c r="Y9" s="179">
        <f>X9/$X$13</f>
        <v>5.3624971824731846E-2</v>
      </c>
      <c r="Z9" s="179">
        <f>X9/$X$22</f>
        <v>3.2358815149522942E-2</v>
      </c>
      <c r="AD9" s="137" t="s">
        <v>134</v>
      </c>
      <c r="AE9" s="173">
        <f>SUMIF(Table13[Scope/Sub-Type],'INN Income Splits'!AB6,Table13[Cont. Income - Foundation])</f>
        <v>21193030.43</v>
      </c>
      <c r="AF9" s="179">
        <f>AE9/$AE$13</f>
        <v>0.40247486148625239</v>
      </c>
      <c r="AG9" s="173">
        <f>AVERAGEIFS(Table13[Cont. Income - Foundation],Table13[Scope/Sub-Type],$AB$6,Table13[Cont. Income - Foundation],"&gt;0")</f>
        <v>2649128.80375</v>
      </c>
      <c r="AH9" s="179">
        <f>AG9/$AG$13</f>
        <v>0.31290325775765554</v>
      </c>
      <c r="AI9" s="179">
        <f>AG9/$AG$22</f>
        <v>0.29874406497949912</v>
      </c>
    </row>
    <row r="10" spans="1:35" x14ac:dyDescent="0.15">
      <c r="C10" s="137" t="s">
        <v>135</v>
      </c>
      <c r="D10" s="173">
        <f>SUMIF(Table13[Scope/Sub-Type],'INN Income Splits'!A6,Table13[Cont. Income - Membership])</f>
        <v>1635784.15</v>
      </c>
      <c r="E10" s="167">
        <f t="shared" ref="E10:E12" si="0">D10/$D$13</f>
        <v>9.3327612348893155E-2</v>
      </c>
      <c r="F10" s="173">
        <f>AVERAGEIFS(Table13[Cont. Income - Membership],Table13[Scope/Sub-Type],$A$6,Table13[Cont. Income - Membership],"&gt;0")</f>
        <v>102236.50937499999</v>
      </c>
      <c r="G10" s="167">
        <f t="shared" ref="G10:G12" si="1">F10/$F$13</f>
        <v>0.21748335432078508</v>
      </c>
      <c r="H10" s="179">
        <f t="shared" ref="H10:H12" si="2">F10/$F$22</f>
        <v>0.11719115083003452</v>
      </c>
      <c r="L10" s="137" t="s">
        <v>135</v>
      </c>
      <c r="M10" s="173">
        <f>SUMIF(Table13[Scope/Sub-Type],'INN Income Splits'!J6,Table13[Cont. Income - Membership])</f>
        <v>2044631.02</v>
      </c>
      <c r="N10" s="167">
        <f t="shared" ref="N10:N12" si="3">M10/$M$13</f>
        <v>0.10665598100468582</v>
      </c>
      <c r="O10" s="173">
        <f>AVERAGEIFS(Table13[Cont. Income - Membership],Table13[Scope/Sub-Type],$J$6,Table13[Cont. Income - Membership],"&gt;0")</f>
        <v>408926.20400000003</v>
      </c>
      <c r="P10" s="167">
        <f t="shared" ref="P10:P12" si="4">O10/$O$13</f>
        <v>0.35698659975836039</v>
      </c>
      <c r="Q10" s="179">
        <f t="shared" ref="Q10:Q12" si="5">O10/$O$22</f>
        <v>0.11430005651109466</v>
      </c>
      <c r="U10" s="137" t="s">
        <v>135</v>
      </c>
      <c r="V10" s="173">
        <f>SUMIF(Table13[Scope/Sub-Type],'INN Income Splits'!S6,Table13[Cont. Income - Membership])</f>
        <v>37520</v>
      </c>
      <c r="W10" s="179">
        <f t="shared" ref="W10:W12" si="6">V10/$V$13</f>
        <v>3.5128004909764101E-3</v>
      </c>
      <c r="X10" s="173">
        <f>AVERAGEIFS(Table13[Cont. Income - Membership],Table13[Scope/Sub-Type],$S$6,Table13[Cont. Income - Membership],"&gt;0")</f>
        <v>18760</v>
      </c>
      <c r="Y10" s="179">
        <f t="shared" ref="Y10:Y12" si="7">X10/$X$13</f>
        <v>6.4956841757634531E-3</v>
      </c>
      <c r="Z10" s="179">
        <f t="shared" ref="Z10:Z12" si="8">X10/$X$22</f>
        <v>3.919678395360387E-3</v>
      </c>
      <c r="AD10" s="137" t="s">
        <v>135</v>
      </c>
      <c r="AE10" s="173">
        <f>SUMIF(Table13[Scope/Sub-Type],'INN Income Splits'!AB6,Table13[Cont. Income - Membership])</f>
        <v>1927125.92</v>
      </c>
      <c r="AF10" s="179">
        <f t="shared" ref="AF10:AF12" si="9">AE10/$AE$13</f>
        <v>3.6597868354901746E-2</v>
      </c>
      <c r="AG10" s="173">
        <f>AVERAGEIFS(Table13[Cont. Income - Membership],Table13[Scope/Sub-Type],$AB$6,Table13[Cont. Income - Membership],"&gt;0")</f>
        <v>1927125.92</v>
      </c>
      <c r="AH10" s="179">
        <f t="shared" ref="AH10:AH12" si="10">AG10/$AG$13</f>
        <v>0.22762350310171062</v>
      </c>
      <c r="AI10" s="179">
        <f t="shared" ref="AI10:AI12" si="11">AG10/$AG$22</f>
        <v>0.21732330653503698</v>
      </c>
    </row>
    <row r="11" spans="1:35" x14ac:dyDescent="0.15">
      <c r="C11" s="137" t="s">
        <v>247</v>
      </c>
      <c r="D11" s="173">
        <f>SUMIF(Table13[Scope/Sub-Type],'INN Income Splits'!A6,Table13[Total Individual Donations])</f>
        <v>5289643.8</v>
      </c>
      <c r="E11" s="167">
        <f t="shared" si="0"/>
        <v>0.3017939903807762</v>
      </c>
      <c r="F11" s="173">
        <f>AVERAGEIFS(Table13[Total Individual Donations],Table13[Scope/Sub-Type],$A$6,Table13[Total Individual Donations],"&gt;0")</f>
        <v>107951.91428571429</v>
      </c>
      <c r="G11" s="167">
        <f t="shared" si="1"/>
        <v>0.22964149077206328</v>
      </c>
      <c r="H11" s="179">
        <f t="shared" si="2"/>
        <v>0.12374257637303163</v>
      </c>
      <c r="L11" s="137" t="s">
        <v>247</v>
      </c>
      <c r="M11" s="173">
        <f>SUMIF(Table13[Scope/Sub-Type],'INN Income Splits'!J6,Table13[Total Individual Donations])</f>
        <v>8750190.4000000004</v>
      </c>
      <c r="N11" s="167">
        <f t="shared" si="3"/>
        <v>0.45644428357043332</v>
      </c>
      <c r="O11" s="173">
        <f>AVERAGEIFS(Table13[Total Individual Donations],Table13[Scope/Sub-Type],$J$6,Table13[Total Individual Donations],"&gt;0")</f>
        <v>350007.61600000004</v>
      </c>
      <c r="P11" s="167">
        <f t="shared" si="4"/>
        <v>0.30555153351182629</v>
      </c>
      <c r="Q11" s="179">
        <f t="shared" si="5"/>
        <v>9.7831564465146195E-2</v>
      </c>
      <c r="U11" s="137" t="s">
        <v>247</v>
      </c>
      <c r="V11" s="173">
        <f>SUMIF(Table13[Scope/Sub-Type],'INN Income Splits'!S6,Table13[Total Individual Donations])</f>
        <v>9745982.7899999991</v>
      </c>
      <c r="W11" s="179">
        <f t="shared" si="6"/>
        <v>0.91246516870361516</v>
      </c>
      <c r="X11" s="173">
        <f>AVERAGEIFS(Table13[Total Individual Donations],Table13[Scope/Sub-Type],$S$6,Table13[Total Individual Donations],"&gt;0")</f>
        <v>2436495.6974999998</v>
      </c>
      <c r="Y11" s="179">
        <f t="shared" si="7"/>
        <v>0.84364107391079357</v>
      </c>
      <c r="Z11" s="179">
        <f t="shared" si="8"/>
        <v>0.50907673485497262</v>
      </c>
      <c r="AD11" s="137" t="s">
        <v>247</v>
      </c>
      <c r="AE11" s="173">
        <f>SUMIF(Table13[Scope/Sub-Type],'INN Income Splits'!AB6,Table13[Total Individual Donations])</f>
        <v>26897233.130000003</v>
      </c>
      <c r="AF11" s="179">
        <f t="shared" si="9"/>
        <v>0.5108028421945785</v>
      </c>
      <c r="AG11" s="173">
        <f>AVERAGEIFS(Table13[Total Individual Donations],Table13[Scope/Sub-Type],$AB$6,Table13[Total Individual Donations],"&gt;0")</f>
        <v>3362154.1412500003</v>
      </c>
      <c r="AH11" s="179">
        <f t="shared" si="10"/>
        <v>0.39712262476301946</v>
      </c>
      <c r="AI11" s="179">
        <f t="shared" si="11"/>
        <v>0.37915241940024236</v>
      </c>
    </row>
    <row r="12" spans="1:35" x14ac:dyDescent="0.15">
      <c r="B12" s="140"/>
      <c r="C12" s="140" t="s">
        <v>248</v>
      </c>
      <c r="D12" s="184">
        <f>SUMIF(Table13[Scope/Sub-Type],'INN Income Splits'!A6,Table13[Cont. Income - Other])</f>
        <v>533203.44999999995</v>
      </c>
      <c r="E12" s="185">
        <f t="shared" si="0"/>
        <v>3.0421253858397172E-2</v>
      </c>
      <c r="F12" s="184">
        <f>AVERAGEIFS(Table13[Cont. Income - Other],Table13[Scope/Sub-Type],$A$6,Table13[Cont. Income - Other],"&gt;0")</f>
        <v>41015.649999999994</v>
      </c>
      <c r="G12" s="185">
        <f t="shared" si="1"/>
        <v>8.7250838239481002E-2</v>
      </c>
      <c r="H12" s="185">
        <f t="shared" si="2"/>
        <v>4.701521261755133E-2</v>
      </c>
      <c r="K12" s="140"/>
      <c r="L12" s="140" t="s">
        <v>248</v>
      </c>
      <c r="M12" s="184">
        <f>SUMIF(Table13[Scope/Sub-Type],'INN Income Splits'!J6,Table13[Cont. Income - Other])</f>
        <v>300647.55</v>
      </c>
      <c r="N12" s="185">
        <f t="shared" si="3"/>
        <v>1.5682956517946857E-2</v>
      </c>
      <c r="O12" s="184">
        <f>AVERAGEIFS(Table13[Cont. Income - Other],Table13[Scope/Sub-Type],$J$6,Table13[Cont. Income - Other],"&gt;0")</f>
        <v>50107.924999999996</v>
      </c>
      <c r="P12" s="185">
        <f t="shared" si="4"/>
        <v>4.3743486212727369E-2</v>
      </c>
      <c r="Q12" s="185">
        <f t="shared" si="5"/>
        <v>1.4005800076225225E-2</v>
      </c>
      <c r="T12" s="140"/>
      <c r="U12" s="140" t="s">
        <v>248</v>
      </c>
      <c r="V12" s="184">
        <f>SUMIF(Table13[Scope/Sub-Type],'INN Income Splits'!S6,Table13[Cont. Income - Other])</f>
        <v>277943</v>
      </c>
      <c r="W12" s="185">
        <f t="shared" si="6"/>
        <v>2.6022342933460993E-2</v>
      </c>
      <c r="X12" s="184">
        <f>AVERAGEIFS(Table13[Cont. Income - Other],Table13[Scope/Sub-Type],$S$6,Table13[Cont. Income - Other],"&gt;0")</f>
        <v>277943</v>
      </c>
      <c r="Y12" s="185">
        <f t="shared" si="7"/>
        <v>9.6238270088711164E-2</v>
      </c>
      <c r="Z12" s="185">
        <f t="shared" si="8"/>
        <v>5.807287698516269E-2</v>
      </c>
      <c r="AC12" s="140"/>
      <c r="AD12" s="140" t="s">
        <v>248</v>
      </c>
      <c r="AE12" s="184">
        <f>SUMIF(Table13[Scope/Sub-Type],'INN Income Splits'!AB6,Table13[Cont. Income - Other])</f>
        <v>2639391</v>
      </c>
      <c r="AF12" s="185">
        <f t="shared" si="9"/>
        <v>5.012442796426736E-2</v>
      </c>
      <c r="AG12" s="184">
        <f>AVERAGEIFS(Table13[Cont. Income - Other],Table13[Scope/Sub-Type],$AB$6,Table13[Cont. Income - Other],"&gt;0")</f>
        <v>527878.19999999995</v>
      </c>
      <c r="AH12" s="185">
        <f t="shared" si="10"/>
        <v>6.2350614377614418E-2</v>
      </c>
      <c r="AI12" s="185">
        <f t="shared" si="11"/>
        <v>5.9529185239625415E-2</v>
      </c>
    </row>
    <row r="13" spans="1:35" x14ac:dyDescent="0.15">
      <c r="C13" s="137" t="s">
        <v>60</v>
      </c>
      <c r="D13" s="173">
        <f>SUM(D9:D12)</f>
        <v>17527333.109999999</v>
      </c>
      <c r="E13" s="189">
        <f>SUM(E9:E12)</f>
        <v>1.0000000000000002</v>
      </c>
      <c r="F13" s="194">
        <f>SUM(F9:F12)</f>
        <v>470088.89344332297</v>
      </c>
      <c r="G13" s="189">
        <f>SUM(G9:G12)</f>
        <v>1.0000000000000002</v>
      </c>
      <c r="H13" s="189">
        <f>SUM(H9:H12)</f>
        <v>0.53885112815199243</v>
      </c>
      <c r="L13" s="137" t="s">
        <v>60</v>
      </c>
      <c r="M13" s="173">
        <f>SUM(M9:M12)</f>
        <v>19170336.260000002</v>
      </c>
      <c r="N13" s="189">
        <f>SUM(N9:N12)</f>
        <v>0.99999999999999989</v>
      </c>
      <c r="O13" s="194">
        <f>SUM(O9:O12)</f>
        <v>1145494.5487500003</v>
      </c>
      <c r="P13" s="189">
        <f>SUM(P9:P12)</f>
        <v>0.99999999999999978</v>
      </c>
      <c r="Q13" s="189">
        <f>SUM(Q9:Q12)</f>
        <v>0.32018024370792308</v>
      </c>
      <c r="U13" s="137" t="s">
        <v>60</v>
      </c>
      <c r="V13" s="173">
        <f>SUM(V9:V12)</f>
        <v>10680936.789999999</v>
      </c>
      <c r="W13" s="189">
        <f>SUM(W9:W12)</f>
        <v>1</v>
      </c>
      <c r="X13" s="194">
        <f>SUM(X9:X12)</f>
        <v>2888071.4474999998</v>
      </c>
      <c r="Y13" s="189">
        <f>SUM(Y9:Y12)</f>
        <v>1</v>
      </c>
      <c r="Z13" s="189">
        <f>SUM(Z9:Z12)</f>
        <v>0.60342810538501868</v>
      </c>
      <c r="AD13" s="137" t="s">
        <v>60</v>
      </c>
      <c r="AE13" s="173">
        <f>SUM(AE9:AE12)</f>
        <v>52656780.480000004</v>
      </c>
      <c r="AF13" s="189">
        <f>SUM(AF9:AF12)</f>
        <v>1</v>
      </c>
      <c r="AG13" s="194">
        <f>SUM(AG9:AG12)</f>
        <v>8466287.0649999995</v>
      </c>
      <c r="AH13" s="189">
        <f>SUM(AH9:AH12)</f>
        <v>1</v>
      </c>
      <c r="AI13" s="189">
        <f>SUM(AI9:AI12)</f>
        <v>0.95474897615440391</v>
      </c>
    </row>
    <row r="14" spans="1:35" x14ac:dyDescent="0.15">
      <c r="B14" s="137" t="s">
        <v>250</v>
      </c>
      <c r="K14" s="137" t="s">
        <v>250</v>
      </c>
      <c r="T14" s="137" t="s">
        <v>250</v>
      </c>
      <c r="AC14" s="137" t="s">
        <v>250</v>
      </c>
    </row>
    <row r="15" spans="1:35" x14ac:dyDescent="0.15">
      <c r="C15" s="137" t="s">
        <v>137</v>
      </c>
      <c r="D15" s="173">
        <f>SUMIF(Table13[Scope/Sub-Type],'INN Income Splits'!$A$6,Table13[Earned Income - Advertising])</f>
        <v>5199703.7200000007</v>
      </c>
      <c r="E15" s="167">
        <f>D15/$D$21</f>
        <v>0.66628811912977526</v>
      </c>
      <c r="F15" s="173">
        <f>AVERAGEIFS(Table13[Earned Income - Advertising],Table13[Scope/Sub-Type],$A$6,Table13[Earned Income - Advertising],"&gt;0")</f>
        <v>173323.45733333335</v>
      </c>
      <c r="G15" s="167">
        <f>F15/$F$21</f>
        <v>0.43082906948389876</v>
      </c>
      <c r="H15" s="179">
        <f>F15/$F$22</f>
        <v>0.1986763393518268</v>
      </c>
      <c r="L15" s="137" t="s">
        <v>137</v>
      </c>
      <c r="M15" s="173">
        <f>SUMIF(Table13[Scope/Sub-Type],'INN Income Splits'!$J$6,Table13[Earned Income - Advertising])</f>
        <v>3717408</v>
      </c>
      <c r="N15" s="179">
        <f>M15/$M$21</f>
        <v>0.22405257174527135</v>
      </c>
      <c r="O15" s="173">
        <f>AVERAGEIFS(Table13[Earned Income - Advertising],Table13[Scope/Sub-Type],$J$6,Table13[Earned Income - Advertising],"&gt;0")</f>
        <v>743481.6</v>
      </c>
      <c r="P15" s="167">
        <f>O15/$O$21</f>
        <v>0.30568768814141239</v>
      </c>
      <c r="Q15" s="179">
        <f>O15/$O$22</f>
        <v>0.20781252965378338</v>
      </c>
      <c r="U15" s="137" t="s">
        <v>137</v>
      </c>
      <c r="V15" s="173">
        <f>SUMIF(Table13[Scope/Sub-Type],'INN Income Splits'!$S$6,Table13[Earned Income - Advertising])</f>
        <v>108384</v>
      </c>
      <c r="W15" s="179">
        <f>V15/$V$21</f>
        <v>2.5793732482839518E-2</v>
      </c>
      <c r="X15" s="173">
        <f>AVERAGEIFS(Table13[Earned Income - Advertising],Table13[Scope/Sub-Type],$S$6,Table13[Earned Income - Advertising],"&gt;0")</f>
        <v>108384</v>
      </c>
      <c r="Y15" s="167">
        <f>X15/$X$21</f>
        <v>5.7103252283742849E-2</v>
      </c>
      <c r="Z15" s="179">
        <f t="shared" ref="Z15:Z20" si="12">X15/$X$22</f>
        <v>2.2645544946841161E-2</v>
      </c>
      <c r="AD15" s="137" t="s">
        <v>137</v>
      </c>
      <c r="AE15" s="173">
        <f>SUMIF(Table13[Scope/Sub-Type],'INN Income Splits'!$AB$6,Table13[Earned Income - Advertising])</f>
        <v>676473.39</v>
      </c>
      <c r="AF15" s="179">
        <f>AE15/$AE$21</f>
        <v>0.46041644151144795</v>
      </c>
      <c r="AG15" s="173">
        <f>AVERAGEIFS(Table13[Earned Income - Advertising],Table13[Scope/Sub-Type],$AB$6,Table13[Earned Income - Advertising],"&gt;0")</f>
        <v>112745.565</v>
      </c>
      <c r="AH15" s="179">
        <f>AG15/$AG$21</f>
        <v>0.28097473400313339</v>
      </c>
      <c r="AI15" s="179">
        <f t="shared" ref="AI15:AI20" si="13">AG15/$AG$22</f>
        <v>1.271439438838586E-2</v>
      </c>
    </row>
    <row r="16" spans="1:35" x14ac:dyDescent="0.15">
      <c r="C16" s="137" t="s">
        <v>138</v>
      </c>
      <c r="D16" s="173">
        <f>SUMIF(Table13[Scope/Sub-Type],'INN Income Splits'!$A$6,Table13[Earned Income - Sponsorships/Underwriting])</f>
        <v>658091.25</v>
      </c>
      <c r="E16" s="167">
        <f t="shared" ref="E16:E20" si="14">D16/$D$21</f>
        <v>8.4327570336692692E-2</v>
      </c>
      <c r="F16" s="173">
        <f>AVERAGEIFS(Table13[Earned Income - Sponsorships/Underwriting],Table13[Scope/Sub-Type],$A$6,Table13[Earned Income - Sponsorships/Underwriting],"&gt;0")</f>
        <v>47006.517857142855</v>
      </c>
      <c r="G16" s="167">
        <f t="shared" ref="G16:G20" si="15">F16/$F$21</f>
        <v>0.11684381710158934</v>
      </c>
      <c r="H16" s="179">
        <f t="shared" ref="H16:H20" si="16">F16/$F$22</f>
        <v>5.3882394438812868E-2</v>
      </c>
      <c r="L16" s="137" t="s">
        <v>138</v>
      </c>
      <c r="M16" s="173">
        <f>SUMIF(Table13[Scope/Sub-Type],'INN Income Splits'!$J$6,Table13[Earned Income - Sponsorships/Underwriting])</f>
        <v>3189017.04</v>
      </c>
      <c r="N16" s="179">
        <f t="shared" ref="N16:N20" si="17">M16/$M$21</f>
        <v>0.19220582436781028</v>
      </c>
      <c r="O16" s="173">
        <f>AVERAGEIFS(Table13[Earned Income - Sponsorships/Underwriting],Table13[Scope/Sub-Type],$J$6,Table13[Earned Income - Sponsorships/Underwriting],"&gt;0")</f>
        <v>289910.64</v>
      </c>
      <c r="P16" s="167">
        <f t="shared" ref="P16:P20" si="18">O16/$O$21</f>
        <v>0.11919879834174414</v>
      </c>
      <c r="Q16" s="179">
        <f t="shared" ref="Q16:Q20" si="19">O16/$O$22</f>
        <v>8.1033698038992921E-2</v>
      </c>
      <c r="U16" s="137" t="s">
        <v>138</v>
      </c>
      <c r="V16" s="173">
        <f>SUMIF(Table13[Scope/Sub-Type],'INN Income Splits'!$S$6,Table13[Earned Income - Sponsorships/Underwriting])</f>
        <v>2587904</v>
      </c>
      <c r="W16" s="179">
        <f t="shared" ref="W16:W20" si="20">V16/$V$21</f>
        <v>0.61588152741428925</v>
      </c>
      <c r="X16" s="173">
        <f>AVERAGEIFS(Table13[Earned Income - Sponsorships/Underwriting],Table13[Scope/Sub-Type],$S$6,Table13[Earned Income - Sponsorships/Underwriting],"&gt;0")</f>
        <v>646976</v>
      </c>
      <c r="Y16" s="167">
        <f t="shared" ref="Y16:Y20" si="21">X16/$X$21</f>
        <v>0.34086612184018689</v>
      </c>
      <c r="Z16" s="179">
        <f t="shared" si="12"/>
        <v>0.13517792374822399</v>
      </c>
      <c r="AD16" s="137" t="s">
        <v>138</v>
      </c>
      <c r="AE16" s="173">
        <f>SUMIF(Table13[Scope/Sub-Type],'INN Income Splits'!$AB$6,Table13[Earned Income - Sponsorships/Underwriting])</f>
        <v>108500</v>
      </c>
      <c r="AF16" s="179">
        <f t="shared" ref="AF16:AF20" si="22">AE16/$AE$21</f>
        <v>7.3846487744317776E-2</v>
      </c>
      <c r="AG16" s="173">
        <f>AVERAGEIFS(Table13[Earned Income - Sponsorships/Underwriting],Table13[Scope/Sub-Type],$AB$6,Table13[Earned Income - Sponsorships/Underwriting],"&gt;0")</f>
        <v>54250</v>
      </c>
      <c r="AH16" s="179">
        <f t="shared" ref="AH16:AH20" si="23">AG16/$AG$21</f>
        <v>0.13519715227530224</v>
      </c>
      <c r="AI16" s="179">
        <f t="shared" si="13"/>
        <v>6.1178095614664125E-3</v>
      </c>
    </row>
    <row r="17" spans="1:35" x14ac:dyDescent="0.15">
      <c r="C17" s="137" t="s">
        <v>139</v>
      </c>
      <c r="D17" s="173">
        <f>SUMIF(Table13[Scope/Sub-Type],'INN Income Splits'!$A$6,Table13[Earned Income - Subscriptions])</f>
        <v>1090306</v>
      </c>
      <c r="E17" s="167">
        <f t="shared" si="14"/>
        <v>0.13971140917542677</v>
      </c>
      <c r="F17" s="173">
        <f>AVERAGEIFS(Table13[Earned Income - Subscriptions],Table13[Scope/Sub-Type],$A$6,Table13[Earned Income - Subscriptions],"&gt;0")</f>
        <v>121145.11111111111</v>
      </c>
      <c r="G17" s="167">
        <f t="shared" si="15"/>
        <v>0.30112966989890444</v>
      </c>
      <c r="H17" s="179">
        <f t="shared" si="16"/>
        <v>0.13886560755384272</v>
      </c>
      <c r="L17" s="137" t="s">
        <v>139</v>
      </c>
      <c r="M17" s="173">
        <f>SUMIF(Table13[Scope/Sub-Type],'INN Income Splits'!$J$6,Table13[Earned Income - Subscriptions])</f>
        <v>1205088</v>
      </c>
      <c r="N17" s="179">
        <f t="shared" si="17"/>
        <v>7.2632077398920317E-2</v>
      </c>
      <c r="O17" s="173">
        <f>AVERAGEIFS(Table13[Earned Income - Subscriptions],Table13[Scope/Sub-Type],$J$6,Table13[Earned Income - Subscriptions],"&gt;0")</f>
        <v>602544</v>
      </c>
      <c r="P17" s="167">
        <f t="shared" si="18"/>
        <v>0.24774020280189743</v>
      </c>
      <c r="Q17" s="179">
        <f t="shared" si="19"/>
        <v>0.16841868429253562</v>
      </c>
      <c r="U17" s="137" t="s">
        <v>139</v>
      </c>
      <c r="V17" s="173">
        <f>SUMIF(Table13[Scope/Sub-Type],'INN Income Splits'!$S$6,Table13[Earned Income - Subscriptions])</f>
        <v>914811</v>
      </c>
      <c r="W17" s="179">
        <f t="shared" si="20"/>
        <v>0.21771101090898015</v>
      </c>
      <c r="X17" s="173">
        <f>AVERAGEIFS(Table13[Earned Income - Subscriptions],Table13[Scope/Sub-Type],$S$6,Table13[Earned Income - Subscriptions],"&gt;0")</f>
        <v>914811</v>
      </c>
      <c r="Y17" s="167">
        <f t="shared" si="21"/>
        <v>0.48197781337598794</v>
      </c>
      <c r="Z17" s="179">
        <f t="shared" si="12"/>
        <v>0.19113885461290145</v>
      </c>
      <c r="AD17" s="137" t="s">
        <v>139</v>
      </c>
      <c r="AE17" s="173">
        <f>SUMIF(Table13[Scope/Sub-Type],'INN Income Splits'!$AB$6,Table13[Earned Income - Subscriptions])</f>
        <v>25000</v>
      </c>
      <c r="AF17" s="179">
        <f t="shared" si="22"/>
        <v>1.701531975675525E-2</v>
      </c>
      <c r="AG17" s="173">
        <f>AVERAGEIFS(Table13[Earned Income - Subscriptions],Table13[Scope/Sub-Type],$AB$6,Table13[Earned Income - Subscriptions],"&gt;0")</f>
        <v>25000</v>
      </c>
      <c r="AH17" s="179">
        <f t="shared" si="23"/>
        <v>6.2302835149908864E-2</v>
      </c>
      <c r="AI17" s="179">
        <f t="shared" si="13"/>
        <v>2.81926707901678E-3</v>
      </c>
    </row>
    <row r="18" spans="1:35" x14ac:dyDescent="0.15">
      <c r="C18" s="137" t="s">
        <v>140</v>
      </c>
      <c r="D18" s="173">
        <f>SUMIF(Table13[Scope/Sub-Type],'INN Income Splits'!$A$6,Table13[Earned Income - Events])</f>
        <v>495112.13</v>
      </c>
      <c r="E18" s="167">
        <f t="shared" si="14"/>
        <v>6.3443485940779087E-2</v>
      </c>
      <c r="F18" s="173">
        <f>AVERAGEIFS(Table13[Earned Income - Events],Table13[Scope/Sub-Type],$A$6,Table13[Earned Income - Events],"&gt;0")</f>
        <v>38085.548461538463</v>
      </c>
      <c r="G18" s="167">
        <f t="shared" si="15"/>
        <v>9.4669017436642786E-2</v>
      </c>
      <c r="H18" s="179">
        <f t="shared" si="16"/>
        <v>4.3656510589867185E-2</v>
      </c>
      <c r="L18" s="137" t="s">
        <v>140</v>
      </c>
      <c r="M18" s="173">
        <f>SUMIF(Table13[Scope/Sub-Type],'INN Income Splits'!$J$6,Table13[Earned Income - Events])</f>
        <v>431477.48</v>
      </c>
      <c r="N18" s="179">
        <f t="shared" si="17"/>
        <v>2.60056574484611E-2</v>
      </c>
      <c r="O18" s="173">
        <f>AVERAGEIFS(Table13[Earned Income - Events],Table13[Scope/Sub-Type],$J$6,Table13[Earned Income - Events],"&gt;0")</f>
        <v>86295.495999999999</v>
      </c>
      <c r="P18" s="167">
        <f t="shared" si="18"/>
        <v>3.5481000026438447E-2</v>
      </c>
      <c r="Q18" s="179">
        <f t="shared" si="19"/>
        <v>2.4120684790972562E-2</v>
      </c>
      <c r="U18" s="137" t="s">
        <v>140</v>
      </c>
      <c r="V18" s="173">
        <f>SUMIF(Table13[Scope/Sub-Type],'INN Income Splits'!$S$6,Table13[Earned Income - Events])</f>
        <v>160967</v>
      </c>
      <c r="W18" s="179">
        <f t="shared" si="20"/>
        <v>3.8307681360396632E-2</v>
      </c>
      <c r="X18" s="173">
        <f>AVERAGEIFS(Table13[Earned Income - Events],Table13[Scope/Sub-Type],$S$6,Table13[Earned Income - Events],"&gt;0")</f>
        <v>80483.5</v>
      </c>
      <c r="Y18" s="167">
        <f t="shared" si="21"/>
        <v>4.2403579911966874E-2</v>
      </c>
      <c r="Z18" s="179">
        <f t="shared" si="12"/>
        <v>1.6816068024146466E-2</v>
      </c>
      <c r="AD18" s="137" t="s">
        <v>140</v>
      </c>
      <c r="AE18" s="173">
        <f>SUMIF(Table13[Scope/Sub-Type],'INN Income Splits'!$AB$6,Table13[Earned Income - Events])</f>
        <v>15504</v>
      </c>
      <c r="AF18" s="179">
        <f t="shared" si="22"/>
        <v>1.0552220700349335E-2</v>
      </c>
      <c r="AG18" s="173">
        <f>AVERAGEIFS(Table13[Earned Income - Events],Table13[Scope/Sub-Type],$AB$6,Table13[Earned Income - Events],"&gt;0")</f>
        <v>15504</v>
      </c>
      <c r="AH18" s="179">
        <f t="shared" si="23"/>
        <v>3.8637726246567486E-2</v>
      </c>
      <c r="AI18" s="179">
        <f t="shared" si="13"/>
        <v>1.7483966717230463E-3</v>
      </c>
    </row>
    <row r="19" spans="1:35" x14ac:dyDescent="0.15">
      <c r="C19" s="137" t="s">
        <v>251</v>
      </c>
      <c r="D19" s="173">
        <f>SUMIF(Table13[Scope/Sub-Type],'INN Income Splits'!$A$6,Table13[Earned Income - Syndication])</f>
        <v>441.48</v>
      </c>
      <c r="E19" s="167">
        <f t="shared" si="14"/>
        <v>5.6571084560451297E-5</v>
      </c>
      <c r="F19" s="173">
        <f>AVERAGEIFS(Table13[Earned Income - Syndication],Table13[Scope/Sub-Type],$A$6,Table13[Earned Income - Syndication],"&gt;0")</f>
        <v>220.74</v>
      </c>
      <c r="G19" s="167">
        <f t="shared" si="15"/>
        <v>5.486920827743382E-4</v>
      </c>
      <c r="H19" s="179">
        <f t="shared" si="16"/>
        <v>2.5302873496331967E-4</v>
      </c>
      <c r="L19" s="137" t="s">
        <v>251</v>
      </c>
      <c r="M19" s="173">
        <f>SUMIF(Table13[Scope/Sub-Type],'INN Income Splits'!$J$6,Table13[Earned Income - Syndication])</f>
        <v>658645.92000000004</v>
      </c>
      <c r="N19" s="179">
        <f t="shared" si="17"/>
        <v>3.969736769424563E-2</v>
      </c>
      <c r="O19" s="173">
        <f>AVERAGEIFS(Table13[Earned Income - Syndication],Table13[Scope/Sub-Type],$J$6,Table13[Earned Income - Syndication],"&gt;0")</f>
        <v>94092.274285714288</v>
      </c>
      <c r="P19" s="167">
        <f t="shared" si="18"/>
        <v>3.8686700247010368E-2</v>
      </c>
      <c r="Q19" s="179">
        <f t="shared" si="19"/>
        <v>2.6299983133667222E-2</v>
      </c>
      <c r="U19" s="137" t="s">
        <v>251</v>
      </c>
      <c r="V19" s="173">
        <f>SUMIF(Table13[Scope/Sub-Type],'INN Income Splits'!$S$6,Table13[Earned Income - Syndication])</f>
        <v>6129</v>
      </c>
      <c r="W19" s="179">
        <f t="shared" si="20"/>
        <v>1.4586081560684549E-3</v>
      </c>
      <c r="X19" s="173">
        <f>AVERAGEIFS(Table13[Earned Income - Syndication],Table13[Scope/Sub-Type],$S$6,Table13[Earned Income - Syndication],"&gt;0")</f>
        <v>6129</v>
      </c>
      <c r="Y19" s="167">
        <f t="shared" si="21"/>
        <v>3.2291282223119639E-3</v>
      </c>
      <c r="Z19" s="179">
        <f t="shared" si="12"/>
        <v>1.2805814970769623E-3</v>
      </c>
      <c r="AD19" s="137" t="s">
        <v>251</v>
      </c>
      <c r="AE19" s="173">
        <f>SUMIF(Table13[Scope/Sub-Type],'INN Income Splits'!$AB$6,Table13[Earned Income - Syndication])</f>
        <v>393835</v>
      </c>
      <c r="AF19" s="179">
        <f t="shared" si="22"/>
        <v>0.26804913825606813</v>
      </c>
      <c r="AG19" s="173">
        <f>AVERAGEIFS(Table13[Earned Income - Syndication],Table13[Scope/Sub-Type],$AB$6,Table13[Earned Income - Syndication],"&gt;0")</f>
        <v>131278.33333333334</v>
      </c>
      <c r="AH19" s="179">
        <f t="shared" si="23"/>
        <v>0.32716049441685813</v>
      </c>
      <c r="AI19" s="179">
        <f t="shared" si="13"/>
        <v>1.4804347334194315E-2</v>
      </c>
    </row>
    <row r="20" spans="1:35" x14ac:dyDescent="0.15">
      <c r="B20" s="140"/>
      <c r="C20" s="140" t="s">
        <v>248</v>
      </c>
      <c r="D20" s="184">
        <f>SUMIF(Table13[Scope/Sub-Type],'INN Income Splits'!$A$6,Table13[Earned Income - Other])</f>
        <v>360332.27</v>
      </c>
      <c r="E20" s="185">
        <f t="shared" si="14"/>
        <v>4.6172844332765625E-2</v>
      </c>
      <c r="F20" s="184">
        <f>AVERAGEIFS(Table13[Earned Income - Other],Table13[Scope/Sub-Type],$A$6,Table13[Earned Income - Other],"&gt;0")</f>
        <v>22520.766875000001</v>
      </c>
      <c r="G20" s="185">
        <f t="shared" si="15"/>
        <v>5.5979733996190419E-2</v>
      </c>
      <c r="H20" s="185">
        <f t="shared" si="16"/>
        <v>2.5814991178694773E-2</v>
      </c>
      <c r="K20" s="140"/>
      <c r="L20" s="140" t="s">
        <v>248</v>
      </c>
      <c r="M20" s="184">
        <f>SUMIF(Table13[Scope/Sub-Type],'INN Income Splits'!$J$6,Table13[Earned Income - Other])</f>
        <v>7390041</v>
      </c>
      <c r="N20" s="185">
        <f t="shared" si="17"/>
        <v>0.44540650134529136</v>
      </c>
      <c r="O20" s="184">
        <f>AVERAGEIFS(Table13[Earned Income - Other],Table13[Scope/Sub-Type],$J$6,Table13[Earned Income - Other],"&gt;0")</f>
        <v>615836.75</v>
      </c>
      <c r="P20" s="185">
        <f t="shared" si="18"/>
        <v>0.25320561044149709</v>
      </c>
      <c r="Q20" s="185">
        <f t="shared" si="19"/>
        <v>0.17213417638212511</v>
      </c>
      <c r="T20" s="140"/>
      <c r="U20" s="140" t="s">
        <v>248</v>
      </c>
      <c r="V20" s="184">
        <f>SUMIF(Table13[Scope/Sub-Type],'INN Income Splits'!$S$6,Table13[Earned Income - Other])</f>
        <v>423756</v>
      </c>
      <c r="W20" s="185">
        <f t="shared" si="20"/>
        <v>0.10084743967742603</v>
      </c>
      <c r="X20" s="184">
        <f>AVERAGEIFS(Table13[Earned Income - Other],Table13[Scope/Sub-Type],$S$6,Table13[Earned Income - Other],"&gt;0")</f>
        <v>141252</v>
      </c>
      <c r="Y20" s="185">
        <f t="shared" si="21"/>
        <v>7.4420104365803486E-2</v>
      </c>
      <c r="Z20" s="185">
        <f t="shared" si="12"/>
        <v>2.9512921785791332E-2</v>
      </c>
      <c r="AC20" s="140"/>
      <c r="AD20" s="140" t="s">
        <v>248</v>
      </c>
      <c r="AE20" s="184">
        <f>SUMIF(Table13[Scope/Sub-Type],'INN Income Splits'!$AB$6,Table13[Earned Income - Other])</f>
        <v>249951.80000000002</v>
      </c>
      <c r="AF20" s="185">
        <f t="shared" si="22"/>
        <v>0.17012039203106147</v>
      </c>
      <c r="AG20" s="184">
        <f>AVERAGEIFS(Table13[Earned Income - Other],Table13[Scope/Sub-Type],$AB$6,Table13[Earned Income - Other],"&gt;0")</f>
        <v>62487.950000000004</v>
      </c>
      <c r="AH20" s="185">
        <f t="shared" si="23"/>
        <v>0.15572705790822991</v>
      </c>
      <c r="AI20" s="179">
        <f t="shared" si="13"/>
        <v>7.0468088108098645E-3</v>
      </c>
    </row>
    <row r="21" spans="1:35" ht="13" thickBot="1" x14ac:dyDescent="0.2">
      <c r="B21" s="214"/>
      <c r="C21" s="214" t="s">
        <v>60</v>
      </c>
      <c r="D21" s="215">
        <f>SUM(D15:D20)</f>
        <v>7803986.8500000015</v>
      </c>
      <c r="E21" s="216">
        <f t="shared" ref="E21" si="24">SUM(E15:E20)</f>
        <v>0.99999999999999989</v>
      </c>
      <c r="F21" s="215">
        <f>SUM(F15:F20)</f>
        <v>402302.14163812576</v>
      </c>
      <c r="G21" s="217">
        <f>SUM(G15:G20)</f>
        <v>1</v>
      </c>
      <c r="H21" s="216">
        <f>SUM(H15:H20)</f>
        <v>0.46114887184800762</v>
      </c>
      <c r="K21" s="214"/>
      <c r="L21" s="214" t="s">
        <v>60</v>
      </c>
      <c r="M21" s="215">
        <f>SUM(M15:M20)</f>
        <v>16591677.439999999</v>
      </c>
      <c r="N21" s="216">
        <f t="shared" ref="N21" si="25">SUM(N15:N20)</f>
        <v>1</v>
      </c>
      <c r="O21" s="215">
        <f>SUM(O15:O20)</f>
        <v>2432160.7602857146</v>
      </c>
      <c r="P21" s="217">
        <f>SUM(P15:P20)</f>
        <v>0.99999999999999978</v>
      </c>
      <c r="Q21" s="232">
        <f>SUM(Q15:Q20)</f>
        <v>0.67981975629207692</v>
      </c>
      <c r="T21" s="214"/>
      <c r="U21" s="214" t="s">
        <v>60</v>
      </c>
      <c r="V21" s="215">
        <f>SUM(V15:V20)</f>
        <v>4201951</v>
      </c>
      <c r="W21" s="216">
        <f t="shared" ref="W21" si="26">SUM(W15:W20)</f>
        <v>1</v>
      </c>
      <c r="X21" s="215">
        <f>SUM(X15:X20)</f>
        <v>1898035.5</v>
      </c>
      <c r="Y21" s="217">
        <f>SUM(Y15:Y20)</f>
        <v>0.99999999999999989</v>
      </c>
      <c r="Z21" s="216">
        <f>SUM(Z15:Z20)</f>
        <v>0.39657189461498138</v>
      </c>
      <c r="AC21" s="214"/>
      <c r="AD21" s="214" t="s">
        <v>60</v>
      </c>
      <c r="AE21" s="215">
        <f>SUM(AE15:AE20)</f>
        <v>1469264.1900000002</v>
      </c>
      <c r="AF21" s="216">
        <f t="shared" ref="AF21" si="27">SUM(AF15:AF20)</f>
        <v>0.99999999999999989</v>
      </c>
      <c r="AG21" s="215">
        <f>SUM(AG15:AG20)</f>
        <v>401265.84833333333</v>
      </c>
      <c r="AH21" s="217">
        <f>SUM(AH15:AH20)</f>
        <v>1</v>
      </c>
      <c r="AI21" s="216">
        <f>SUM(AI15:AI20)</f>
        <v>4.5251023845596275E-2</v>
      </c>
    </row>
    <row r="22" spans="1:35" s="136" customFormat="1" ht="13" thickTop="1" x14ac:dyDescent="0.15">
      <c r="B22" s="136" t="s">
        <v>60</v>
      </c>
      <c r="D22" s="204">
        <f>D13+D21</f>
        <v>25331319.960000001</v>
      </c>
      <c r="E22" s="168"/>
      <c r="F22" s="204">
        <f>F13+F21</f>
        <v>872391.03508144873</v>
      </c>
      <c r="G22" s="218"/>
      <c r="H22" s="168">
        <f>H21+H13</f>
        <v>1</v>
      </c>
      <c r="K22" s="136" t="s">
        <v>60</v>
      </c>
      <c r="M22" s="204">
        <f>M13+M21</f>
        <v>35762013.700000003</v>
      </c>
      <c r="N22" s="168"/>
      <c r="O22" s="204">
        <f>O13+O21</f>
        <v>3577655.3090357147</v>
      </c>
      <c r="P22" s="218"/>
      <c r="Q22" s="168">
        <f>Q21+Q13</f>
        <v>1</v>
      </c>
      <c r="T22" s="136" t="s">
        <v>60</v>
      </c>
      <c r="V22" s="204">
        <f>V13+V21</f>
        <v>14882887.789999999</v>
      </c>
      <c r="W22" s="168"/>
      <c r="X22" s="204">
        <f>X13+X21</f>
        <v>4786106.9474999998</v>
      </c>
      <c r="Y22" s="218"/>
      <c r="Z22" s="168">
        <f>Z21+Z13</f>
        <v>1</v>
      </c>
      <c r="AC22" s="136" t="s">
        <v>60</v>
      </c>
      <c r="AE22" s="204">
        <f>AE13+AE21</f>
        <v>54126044.670000002</v>
      </c>
      <c r="AF22" s="168"/>
      <c r="AG22" s="204">
        <f>AG13+AG21</f>
        <v>8867552.9133333322</v>
      </c>
      <c r="AH22" s="218"/>
      <c r="AI22" s="168">
        <f>AI21+AI13</f>
        <v>1.0000000000000002</v>
      </c>
    </row>
    <row r="23" spans="1:35" x14ac:dyDescent="0.15">
      <c r="D23" s="194"/>
      <c r="E23" s="167"/>
      <c r="F23" s="194"/>
      <c r="G23" s="189"/>
      <c r="H23" s="167"/>
      <c r="M23" s="194"/>
      <c r="N23" s="167"/>
      <c r="O23" s="194"/>
      <c r="P23" s="189"/>
      <c r="Q23" s="167"/>
      <c r="V23" s="194"/>
      <c r="W23" s="167"/>
      <c r="X23" s="194"/>
      <c r="Y23" s="189"/>
      <c r="Z23" s="167"/>
      <c r="AE23" s="194"/>
      <c r="AF23" s="167"/>
      <c r="AG23" s="194"/>
      <c r="AH23" s="189"/>
      <c r="AI23" s="167"/>
    </row>
    <row r="25" spans="1:35" x14ac:dyDescent="0.15">
      <c r="A25" s="220" t="s">
        <v>121</v>
      </c>
      <c r="B25" s="221"/>
      <c r="C25" s="221"/>
      <c r="D25" s="221"/>
      <c r="E25" s="221"/>
      <c r="F25" s="221"/>
      <c r="G25" s="221"/>
      <c r="H25" s="221"/>
      <c r="J25" s="220" t="s">
        <v>124</v>
      </c>
      <c r="K25" s="221"/>
      <c r="L25" s="221"/>
      <c r="M25" s="221"/>
      <c r="N25" s="221"/>
      <c r="O25" s="221"/>
      <c r="P25" s="221"/>
      <c r="Q25" s="221"/>
      <c r="S25" s="220" t="s">
        <v>127</v>
      </c>
      <c r="T25" s="221"/>
      <c r="U25" s="221"/>
      <c r="V25" s="221"/>
      <c r="W25" s="221"/>
      <c r="X25" s="221"/>
      <c r="Y25" s="221"/>
      <c r="Z25" s="221"/>
      <c r="AB25" s="220" t="s">
        <v>130</v>
      </c>
      <c r="AC25" s="221"/>
      <c r="AD25" s="221"/>
      <c r="AE25" s="221"/>
      <c r="AF25" s="221"/>
      <c r="AG25" s="221"/>
      <c r="AH25" s="221"/>
      <c r="AI25" s="221"/>
    </row>
    <row r="26" spans="1:35" ht="13" x14ac:dyDescent="0.15">
      <c r="A26" s="169"/>
      <c r="B26" s="169"/>
      <c r="C26" s="169"/>
      <c r="D26" s="169" t="s">
        <v>269</v>
      </c>
      <c r="E26" s="169" t="s">
        <v>282</v>
      </c>
      <c r="F26" s="169" t="s">
        <v>283</v>
      </c>
      <c r="G26" s="169" t="s">
        <v>284</v>
      </c>
      <c r="H26" s="169" t="s">
        <v>285</v>
      </c>
      <c r="J26" s="169"/>
      <c r="K26" s="169"/>
      <c r="L26" s="169"/>
      <c r="M26" s="169" t="s">
        <v>269</v>
      </c>
      <c r="N26" s="169" t="s">
        <v>282</v>
      </c>
      <c r="O26" s="169" t="s">
        <v>283</v>
      </c>
      <c r="P26" s="169" t="s">
        <v>284</v>
      </c>
      <c r="Q26" s="169" t="s">
        <v>285</v>
      </c>
      <c r="S26" s="169"/>
      <c r="T26" s="169"/>
      <c r="U26" s="169"/>
      <c r="V26" s="169" t="s">
        <v>269</v>
      </c>
      <c r="W26" s="169" t="s">
        <v>282</v>
      </c>
      <c r="X26" s="169" t="s">
        <v>283</v>
      </c>
      <c r="Y26" s="169" t="s">
        <v>284</v>
      </c>
      <c r="Z26" s="169" t="s">
        <v>285</v>
      </c>
      <c r="AB26" s="169"/>
      <c r="AC26" s="169"/>
      <c r="AD26" s="169"/>
      <c r="AE26" s="169" t="s">
        <v>269</v>
      </c>
      <c r="AF26" s="169" t="s">
        <v>282</v>
      </c>
      <c r="AG26" s="169" t="s">
        <v>283</v>
      </c>
      <c r="AH26" s="169" t="s">
        <v>284</v>
      </c>
      <c r="AI26" s="169" t="s">
        <v>285</v>
      </c>
    </row>
    <row r="27" spans="1:35" x14ac:dyDescent="0.15">
      <c r="B27" s="137" t="s">
        <v>246</v>
      </c>
      <c r="D27" s="173"/>
      <c r="K27" s="137" t="s">
        <v>246</v>
      </c>
      <c r="M27" s="173"/>
      <c r="T27" s="137" t="s">
        <v>246</v>
      </c>
      <c r="V27" s="173"/>
      <c r="AC27" s="137" t="s">
        <v>246</v>
      </c>
      <c r="AE27" s="173"/>
    </row>
    <row r="28" spans="1:35" x14ac:dyDescent="0.15">
      <c r="C28" s="137" t="s">
        <v>134</v>
      </c>
      <c r="D28" s="173">
        <f>SUMIF(Table13[Scope/Sub-Type],'INN Income Splits'!A25,Table13[Cont. Income - Foundation])</f>
        <v>8037372.8799999999</v>
      </c>
      <c r="E28" s="167">
        <f>D28/D32</f>
        <v>0.66307061306930037</v>
      </c>
      <c r="F28" s="173">
        <f>AVERAGEIFS(Table13[Cont. Income - Foundation],Table13[Scope/Sub-Type],A25,Table13[Cont. Income - Foundation],"&gt;0")</f>
        <v>401868.64399999997</v>
      </c>
      <c r="G28" s="167">
        <f>F28/$F$32</f>
        <v>0.57006063239402649</v>
      </c>
      <c r="H28" s="179">
        <f>F28/$F$41</f>
        <v>0.36871021173844654</v>
      </c>
      <c r="L28" s="137" t="s">
        <v>134</v>
      </c>
      <c r="M28" s="173">
        <f>SUMIF(Table13[Scope/Sub-Type],'INN Income Splits'!J25,Table13[Cont. Income - Foundation])</f>
        <v>14579554.17</v>
      </c>
      <c r="N28" s="167">
        <f>M28/M32</f>
        <v>0.47064749245329018</v>
      </c>
      <c r="O28" s="173">
        <f>AVERAGEIFS(Table13[Cont. Income - Foundation],Table13[Scope/Sub-Type],J25,Table13[Cont. Income - Foundation],"&gt;0")</f>
        <v>633893.65956521744</v>
      </c>
      <c r="P28" s="179">
        <f>O28/$O$32</f>
        <v>0.40314004540023091</v>
      </c>
      <c r="Q28" s="179">
        <f>M28/$M$41</f>
        <v>0.41130667625441125</v>
      </c>
      <c r="U28" s="137" t="s">
        <v>134</v>
      </c>
      <c r="V28" s="173">
        <f>SUMIF(Table13[Scope/Sub-Type],'INN Income Splits'!S25,Table13[Cont. Income - Foundation])</f>
        <v>1534986</v>
      </c>
      <c r="W28" s="167">
        <f>V28/V32</f>
        <v>0.51341183417244551</v>
      </c>
      <c r="X28" s="173">
        <f>AVERAGEIFS(Table13[Cont. Income - Foundation],Table13[Scope/Sub-Type],S25,Table13[Cont. Income - Foundation],"&gt;0")</f>
        <v>153498.6</v>
      </c>
      <c r="Y28" s="179">
        <f>X28/$X$32</f>
        <v>0.41525131007046728</v>
      </c>
      <c r="Z28" s="179">
        <f>X28/$X$41</f>
        <v>0.17045164147451919</v>
      </c>
      <c r="AD28" s="137" t="s">
        <v>134</v>
      </c>
      <c r="AE28" s="173">
        <f>SUMIF(Table13[Scope/Sub-Type],'INN Income Splits'!AB25,Table13[Cont. Income - Foundation])</f>
        <v>19729030</v>
      </c>
      <c r="AF28" s="167">
        <f>AE28/AE32</f>
        <v>0.62855017908095034</v>
      </c>
      <c r="AG28" s="173">
        <f>AVERAGEIFS(Table13[Cont. Income - Foundation],Table13[Scope/Sub-Type],AB25,Table13[Cont. Income - Foundation],"&gt;0")</f>
        <v>1233064.375</v>
      </c>
      <c r="AH28" s="179">
        <f>AG28/$AG$32</f>
        <v>0.54055936763219525</v>
      </c>
      <c r="AI28" s="179">
        <f>AG28/$AG$41</f>
        <v>0.3780396797919246</v>
      </c>
    </row>
    <row r="29" spans="1:35" x14ac:dyDescent="0.15">
      <c r="C29" s="137" t="s">
        <v>135</v>
      </c>
      <c r="D29" s="173">
        <f>SUMIF(Table13[Scope/Sub-Type],'INN Income Splits'!A25,Table13[Cont. Income - Membership])</f>
        <v>504312.54</v>
      </c>
      <c r="E29" s="167">
        <f>D29/D32</f>
        <v>4.1604990843268685E-2</v>
      </c>
      <c r="F29" s="173">
        <f>AVERAGEIFS(Table13[Cont. Income - Membership],Table13[Scope/Sub-Type],$A$25,Table13[Cont. Income - Membership],"&gt;0")</f>
        <v>100862.508</v>
      </c>
      <c r="G29" s="167">
        <f>F29/$F$32</f>
        <v>0.14307596761723854</v>
      </c>
      <c r="H29" s="179">
        <f t="shared" ref="H29:H31" si="28">F29/$F$41</f>
        <v>9.2540279607260828E-2</v>
      </c>
      <c r="L29" s="137" t="s">
        <v>135</v>
      </c>
      <c r="M29" s="173">
        <f>SUMIF(Table13[Scope/Sub-Type],'INN Income Splits'!J25,Table13[Cont. Income - Membership])</f>
        <v>948745</v>
      </c>
      <c r="N29" s="167">
        <f>M29/M32</f>
        <v>3.0626756485215404E-2</v>
      </c>
      <c r="O29" s="173">
        <f>AVERAGEIFS(Table13[Cont. Income - Membership],Table13[Scope/Sub-Type],$J$25,Table13[Cont. Income - Membership],"&gt;0")</f>
        <v>237186.25</v>
      </c>
      <c r="P29" s="179">
        <f t="shared" ref="P29:P31" si="29">O29/$O$32</f>
        <v>0.15084434770793417</v>
      </c>
      <c r="Q29" s="179">
        <f>M29/$M$41</f>
        <v>2.6765232188371599E-2</v>
      </c>
      <c r="U29" s="137" t="s">
        <v>135</v>
      </c>
      <c r="V29" s="173">
        <f>SUMIF(Table13[Scope/Sub-Type],'INN Income Splits'!S25,Table13[Cont. Income - Membership])</f>
        <v>245297</v>
      </c>
      <c r="W29" s="167">
        <f>V29/V32</f>
        <v>8.2045297277628826E-2</v>
      </c>
      <c r="X29" s="173">
        <f>AVERAGEIFS(Table13[Cont. Income - Membership],Table13[Scope/Sub-Type],$S$25,Table13[Cont. Income - Membership],"&gt;0")</f>
        <v>81765.666666666672</v>
      </c>
      <c r="Y29" s="179">
        <f t="shared" ref="Y29:Y31" si="30">X29/$X$32</f>
        <v>0.22119615554877028</v>
      </c>
      <c r="Z29" s="179">
        <f t="shared" ref="Z29:Z31" si="31">X29/$X$41</f>
        <v>9.0796216379769659E-2</v>
      </c>
      <c r="AD29" s="137" t="s">
        <v>135</v>
      </c>
      <c r="AE29" s="173">
        <f>SUMIF(Table13[Scope/Sub-Type],'INN Income Splits'!AB25,Table13[Cont. Income - Membership])</f>
        <v>1348303</v>
      </c>
      <c r="AF29" s="167">
        <f>AE29/AE32</f>
        <v>4.2955791141550424E-2</v>
      </c>
      <c r="AG29" s="173">
        <f>AVERAGEIFS(Table13[Cont. Income - Membership],Table13[Scope/Sub-Type],$AB$25,Table13[Cont. Income - Membership],"&gt;0")</f>
        <v>269660.59999999998</v>
      </c>
      <c r="AH29" s="179">
        <f t="shared" ref="AH29:AH31" si="32">AG29/$AG$32</f>
        <v>0.11821569608749612</v>
      </c>
      <c r="AI29" s="179">
        <f t="shared" ref="AI29:AI31" si="33">AG29/$AG$41</f>
        <v>8.2674034659786719E-2</v>
      </c>
    </row>
    <row r="30" spans="1:35" x14ac:dyDescent="0.15">
      <c r="C30" s="137" t="s">
        <v>247</v>
      </c>
      <c r="D30" s="173">
        <f>SUMIF(Table13[Scope/Sub-Type],'INN Income Splits'!A25,Table13[Total Individual Donations])</f>
        <v>3312957.94</v>
      </c>
      <c r="E30" s="167">
        <f>D30/D32</f>
        <v>0.27331381598766963</v>
      </c>
      <c r="F30" s="173">
        <f>AVERAGEIFS(Table13[Total Individual Donations],Table13[Scope/Sub-Type],$A$25,Table13[Total Individual Donations],"&gt;0")</f>
        <v>157759.90190476191</v>
      </c>
      <c r="G30" s="167">
        <f>F30/$F$32</f>
        <v>0.22378633115314209</v>
      </c>
      <c r="H30" s="179">
        <f t="shared" si="28"/>
        <v>0.1447430340824036</v>
      </c>
      <c r="L30" s="137" t="s">
        <v>247</v>
      </c>
      <c r="M30" s="173">
        <f>SUMIF(Table13[Scope/Sub-Type],'INN Income Splits'!J25,Table13[Total Individual Donations])</f>
        <v>15086261.720000001</v>
      </c>
      <c r="N30" s="167">
        <f>M30/M32</f>
        <v>0.48700468932185881</v>
      </c>
      <c r="O30" s="173">
        <f>AVERAGEIFS(Table13[Total Individual Donations],Table13[Scope/Sub-Type],$J$25,Table13[Total Individual Donations],"&gt;0")</f>
        <v>655924.42260869569</v>
      </c>
      <c r="P30" s="179">
        <f t="shared" si="29"/>
        <v>0.41715104342731529</v>
      </c>
      <c r="Q30" s="179">
        <f>M30/$M$41</f>
        <v>0.42560150281723996</v>
      </c>
      <c r="U30" s="137" t="s">
        <v>247</v>
      </c>
      <c r="V30" s="173">
        <f>SUMIF(Table13[Scope/Sub-Type],'INN Income Splits'!S25,Table13[Total Individual Donations])</f>
        <v>1209492.26</v>
      </c>
      <c r="W30" s="167">
        <f>V30/V32</f>
        <v>0.40454286854992577</v>
      </c>
      <c r="X30" s="173">
        <f>AVERAGEIFS(Table13[Total Individual Donations],Table13[Scope/Sub-Type],$S$25,Table13[Total Individual Donations],"&gt;0")</f>
        <v>134388.02888888889</v>
      </c>
      <c r="Y30" s="179">
        <f t="shared" si="30"/>
        <v>0.36355253438076252</v>
      </c>
      <c r="Z30" s="179">
        <f t="shared" si="31"/>
        <v>0.14923041720664693</v>
      </c>
      <c r="AD30" s="137" t="s">
        <v>247</v>
      </c>
      <c r="AE30" s="173">
        <f>SUMIF(Table13[Scope/Sub-Type],'INN Income Splits'!AB25,Table13[Total Individual Donations])</f>
        <v>9336724.2899999991</v>
      </c>
      <c r="AF30" s="167">
        <f>AE30/AE32</f>
        <v>0.29746012472528849</v>
      </c>
      <c r="AG30" s="173">
        <f>AVERAGEIFS(Table13[Total Individual Donations],Table13[Scope/Sub-Type],$AB$25,Table13[Total Individual Donations],"&gt;0")</f>
        <v>583545.26812499994</v>
      </c>
      <c r="AH30" s="179">
        <f t="shared" si="32"/>
        <v>0.25581864784830055</v>
      </c>
      <c r="AI30" s="179">
        <f t="shared" si="33"/>
        <v>0.17890652814137767</v>
      </c>
    </row>
    <row r="31" spans="1:35" x14ac:dyDescent="0.15">
      <c r="B31" s="140"/>
      <c r="C31" s="140" t="s">
        <v>248</v>
      </c>
      <c r="D31" s="184">
        <f>SUMIF(Table13[Scope/Sub-Type],'INN Income Splits'!A25,Table13[Cont. Income - Other])</f>
        <v>266800</v>
      </c>
      <c r="E31" s="185">
        <f>D31/D32</f>
        <v>2.2010580099761323E-2</v>
      </c>
      <c r="F31" s="184">
        <f>AVERAGEIFS(Table13[Cont. Income - Other],Table13[Scope/Sub-Type],$A$25,Table13[Cont. Income - Other],"&gt;0")</f>
        <v>44466.666666666664</v>
      </c>
      <c r="G31" s="185">
        <f>F31/$F$32</f>
        <v>6.30770688355929E-2</v>
      </c>
      <c r="H31" s="185">
        <f t="shared" si="28"/>
        <v>4.079769428830976E-2</v>
      </c>
      <c r="K31" s="140"/>
      <c r="L31" s="140" t="s">
        <v>248</v>
      </c>
      <c r="M31" s="184">
        <f>SUMIF(Table13[Scope/Sub-Type],'INN Income Splits'!J25,Table13[Cont. Income - Other])</f>
        <v>363090.97</v>
      </c>
      <c r="N31" s="185">
        <f>M31/M32</f>
        <v>1.1721061739635677E-2</v>
      </c>
      <c r="O31" s="184">
        <f>AVERAGEIFS(Table13[Cont. Income - Other],Table13[Scope/Sub-Type],$J$25,Table13[Cont. Income - Other],"&gt;0")</f>
        <v>45386.371249999997</v>
      </c>
      <c r="P31" s="185">
        <f t="shared" si="29"/>
        <v>2.8864563464519495E-2</v>
      </c>
      <c r="Q31" s="185">
        <f>M31/$M$41</f>
        <v>1.0243230918266833E-2</v>
      </c>
      <c r="T31" s="140"/>
      <c r="U31" s="140" t="s">
        <v>248</v>
      </c>
      <c r="V31" s="184">
        <f>SUMIF(Table13[Scope/Sub-Type],'INN Income Splits'!S25,Table13[Cont. Income - Other])</f>
        <v>0</v>
      </c>
      <c r="W31" s="185">
        <f>V31/V32</f>
        <v>0</v>
      </c>
      <c r="X31" s="184">
        <f>IFERROR(AVERAGEIFS(Table13[Cont. Income - Other],Table13[Scope/Sub-Type],$S$25,Table13[Cont. Income - Other],"&gt;0"),0)</f>
        <v>0</v>
      </c>
      <c r="Y31" s="185">
        <f t="shared" si="30"/>
        <v>0</v>
      </c>
      <c r="Z31" s="185">
        <f t="shared" si="31"/>
        <v>0</v>
      </c>
      <c r="AC31" s="140"/>
      <c r="AD31" s="140" t="s">
        <v>248</v>
      </c>
      <c r="AE31" s="184">
        <f>SUMIF(Table13[Scope/Sub-Type],'INN Income Splits'!AB25,Table13[Cont. Income - Other])</f>
        <v>974097</v>
      </c>
      <c r="AF31" s="185">
        <f>AE31/AE32</f>
        <v>3.1033905052210702E-2</v>
      </c>
      <c r="AG31" s="184">
        <f>AVERAGEIFS(Table13[Cont. Income - Other],Table13[Scope/Sub-Type],$AB$25,Table13[Cont. Income - Other],"&gt;0")</f>
        <v>194819.4</v>
      </c>
      <c r="AH31" s="185">
        <f t="shared" si="32"/>
        <v>8.5406288432008023E-2</v>
      </c>
      <c r="AI31" s="185">
        <f t="shared" si="33"/>
        <v>5.9728806610972657E-2</v>
      </c>
    </row>
    <row r="32" spans="1:35" x14ac:dyDescent="0.15">
      <c r="C32" s="137" t="s">
        <v>60</v>
      </c>
      <c r="D32" s="173">
        <f>SUM(D28:D31)</f>
        <v>12121443.359999999</v>
      </c>
      <c r="E32" s="189">
        <f>SUM(E28:E31)</f>
        <v>0.99999999999999989</v>
      </c>
      <c r="F32" s="194">
        <f>SUM(F28:F31)</f>
        <v>704957.72057142854</v>
      </c>
      <c r="G32" s="189">
        <f>SUM(G28:G31)</f>
        <v>1</v>
      </c>
      <c r="H32" s="189">
        <f>SUM(H28:H31)</f>
        <v>0.64679121971642073</v>
      </c>
      <c r="L32" s="137" t="s">
        <v>60</v>
      </c>
      <c r="M32" s="173">
        <f>SUM(M28:M31)</f>
        <v>30977651.859999999</v>
      </c>
      <c r="N32" s="189">
        <f>SUM(N28:N31)</f>
        <v>1</v>
      </c>
      <c r="O32" s="194">
        <f>SUM(O28:O31)</f>
        <v>1572390.7034239133</v>
      </c>
      <c r="P32" s="189">
        <f>SUM(P28:P31)</f>
        <v>0.99999999999999978</v>
      </c>
      <c r="Q32" s="189">
        <f>SUM(Q28:Q31)</f>
        <v>0.87391664217828968</v>
      </c>
      <c r="U32" s="137" t="s">
        <v>60</v>
      </c>
      <c r="V32" s="173">
        <f>SUM(V28:V31)</f>
        <v>2989775.26</v>
      </c>
      <c r="W32" s="189">
        <f>SUM(W28:W31)</f>
        <v>1</v>
      </c>
      <c r="X32" s="194">
        <f>SUM(X28:X31)</f>
        <v>369652.29555555555</v>
      </c>
      <c r="Y32" s="189">
        <f>SUM(Y28:Y31)</f>
        <v>1</v>
      </c>
      <c r="Z32" s="189">
        <f>SUM(Z28:Z31)</f>
        <v>0.41047827506093576</v>
      </c>
      <c r="AD32" s="137" t="s">
        <v>60</v>
      </c>
      <c r="AE32" s="173">
        <f>SUM(AE28:AE31)</f>
        <v>31388154.289999999</v>
      </c>
      <c r="AF32" s="189">
        <f>SUM(AF28:AF31)</f>
        <v>1</v>
      </c>
      <c r="AG32" s="194">
        <f>SUM(AG28:AG31)</f>
        <v>2281089.6431249999</v>
      </c>
      <c r="AH32" s="189">
        <f>SUM(AH28:AH31)</f>
        <v>1</v>
      </c>
      <c r="AI32" s="189">
        <f>SUM(AI28:AI31)</f>
        <v>0.69934904920406171</v>
      </c>
    </row>
    <row r="33" spans="1:35" x14ac:dyDescent="0.15">
      <c r="B33" s="137" t="s">
        <v>250</v>
      </c>
      <c r="K33" s="137" t="s">
        <v>250</v>
      </c>
      <c r="T33" s="137" t="s">
        <v>250</v>
      </c>
      <c r="AC33" s="137" t="s">
        <v>250</v>
      </c>
    </row>
    <row r="34" spans="1:35" x14ac:dyDescent="0.15">
      <c r="C34" s="137" t="s">
        <v>137</v>
      </c>
      <c r="D34" s="173">
        <f>SUMIF(Table13[Scope/Sub-Type],'INN Income Splits'!$A$25,Table13[Earned Income - Advertising])</f>
        <v>94888.68</v>
      </c>
      <c r="E34" s="167">
        <f t="shared" ref="E34:E39" si="34">D34/$D$40</f>
        <v>8.2308047961980491E-2</v>
      </c>
      <c r="F34" s="173">
        <f>AVERAGEIFS(Table13[Earned Income - Advertising],Table13[Scope/Sub-Type],$A$25,Table13[Earned Income - Advertising],"&gt;0")</f>
        <v>15814.779999999999</v>
      </c>
      <c r="G34" s="167">
        <f t="shared" ref="G34:G39" si="35">F34/$F$40</f>
        <v>4.108021503530291E-2</v>
      </c>
      <c r="H34" s="179">
        <f>F34/$F$41</f>
        <v>1.4509892646406494E-2</v>
      </c>
      <c r="L34" s="137" t="s">
        <v>137</v>
      </c>
      <c r="M34" s="173">
        <f>SUMIF(Table13[Scope/Sub-Type],'INN Income Splits'!$J$25,Table13[Earned Income - Advertising])</f>
        <v>374002</v>
      </c>
      <c r="N34" s="167">
        <f>M34/$M$40</f>
        <v>8.3683083306137773E-2</v>
      </c>
      <c r="O34" s="173">
        <f>AVERAGEIFS(Table13[Earned Income - Advertising],Table13[Scope/Sub-Type],$J$25,Table13[Earned Income - Advertising],"&gt;0")</f>
        <v>74800.399999999994</v>
      </c>
      <c r="P34" s="179">
        <f>O34/$O$40</f>
        <v>0.10873907327423778</v>
      </c>
      <c r="Q34" s="179">
        <f t="shared" ref="Q34:Q39" si="36">M34/$M$41</f>
        <v>1.0551044136111763E-2</v>
      </c>
      <c r="U34" s="137" t="s">
        <v>137</v>
      </c>
      <c r="V34" s="173">
        <f>SUMIF(Table13[Scope/Sub-Type],'INN Income Splits'!$S$25,Table13[Earned Income - Advertising])</f>
        <v>218225</v>
      </c>
      <c r="W34" s="179">
        <f>V34/$V$40</f>
        <v>0.27196467606012947</v>
      </c>
      <c r="X34" s="173">
        <f>AVERAGEIFS(Table13[Earned Income - Advertising],Table13[Scope/Sub-Type],$S$25,Table13[Earned Income - Advertising],"&gt;0")</f>
        <v>109112.5</v>
      </c>
      <c r="Y34" s="167">
        <f>X34/$X$40</f>
        <v>0.20552822016187342</v>
      </c>
      <c r="Z34" s="179">
        <f>X34/$X$41</f>
        <v>0.12116335087348336</v>
      </c>
      <c r="AD34" s="137" t="s">
        <v>137</v>
      </c>
      <c r="AE34" s="173">
        <f>SUMIF(Table13[Scope/Sub-Type],'INN Income Splits'!$AB$25,Table13[Earned Income - Advertising])</f>
        <v>1440798.1</v>
      </c>
      <c r="AF34" s="179">
        <f>AE34/$AE$40</f>
        <v>0.23507271984504369</v>
      </c>
      <c r="AG34" s="173">
        <f>AVERAGEIFS(Table13[Earned Income - Advertising],Table13[Scope/Sub-Type],$AB$25,Table13[Earned Income - Advertising],"&gt;0")</f>
        <v>180099.76250000001</v>
      </c>
      <c r="AH34" s="179">
        <f>AG34/$AG$40</f>
        <v>0.18365476237876863</v>
      </c>
      <c r="AI34" s="179">
        <f t="shared" ref="AI34:AI39" si="37">AG34/$AG$41</f>
        <v>5.5215978927378929E-2</v>
      </c>
    </row>
    <row r="35" spans="1:35" x14ac:dyDescent="0.15">
      <c r="C35" s="137" t="s">
        <v>138</v>
      </c>
      <c r="D35" s="173">
        <f>SUMIF(Table13[Scope/Sub-Type],'INN Income Splits'!$A$25,Table13[Earned Income - Sponsorships/Underwriting])</f>
        <v>210721</v>
      </c>
      <c r="E35" s="167">
        <f t="shared" si="34"/>
        <v>0.18278296393833798</v>
      </c>
      <c r="F35" s="173">
        <f>AVERAGEIFS(Table13[Earned Income - Sponsorships/Underwriting],Table13[Scope/Sub-Type],$A$25,Table13[Earned Income - Sponsorships/Underwriting],"&gt;0")</f>
        <v>35120.166666666664</v>
      </c>
      <c r="G35" s="167">
        <f t="shared" si="35"/>
        <v>9.1227573114665145E-2</v>
      </c>
      <c r="H35" s="179">
        <f t="shared" ref="H35:H39" si="38">F35/$F$41</f>
        <v>3.2222379828061927E-2</v>
      </c>
      <c r="L35" s="137" t="s">
        <v>138</v>
      </c>
      <c r="M35" s="173">
        <f>SUMIF(Table13[Scope/Sub-Type],'INN Income Splits'!$J$25,Table13[Earned Income - Sponsorships/Underwriting])</f>
        <v>1523027</v>
      </c>
      <c r="N35" s="167">
        <f t="shared" ref="N35:N39" si="39">M35/$M$40</f>
        <v>0.34077784428558433</v>
      </c>
      <c r="O35" s="173">
        <f>AVERAGEIFS(Table13[Earned Income - Sponsorships/Underwriting],Table13[Scope/Sub-Type],$J$25,Table13[Earned Income - Sponsorships/Underwriting],"&gt;0")</f>
        <v>169225.22222222222</v>
      </c>
      <c r="P35" s="179">
        <f t="shared" ref="P35:P39" si="40">O35/$O$40</f>
        <v>0.24600662348157756</v>
      </c>
      <c r="Q35" s="179">
        <f t="shared" si="36"/>
        <v>4.2966414878770412E-2</v>
      </c>
      <c r="U35" s="137" t="s">
        <v>138</v>
      </c>
      <c r="V35" s="173">
        <f>SUMIF(Table13[Scope/Sub-Type],'INN Income Splits'!$S$25,Table13[Earned Income - Sponsorships/Underwriting])</f>
        <v>94579</v>
      </c>
      <c r="W35" s="179">
        <f t="shared" ref="W35:W39" si="41">V35/$V$40</f>
        <v>0.11786984578802147</v>
      </c>
      <c r="X35" s="173">
        <f>AVERAGEIFS(Table13[Earned Income - Sponsorships/Underwriting],Table13[Scope/Sub-Type],$S$25,Table13[Earned Income - Sponsorships/Underwriting],"&gt;0")</f>
        <v>94579</v>
      </c>
      <c r="Y35" s="167">
        <f t="shared" ref="Y35:Y39" si="42">X35/$X$40</f>
        <v>0.17815239807253822</v>
      </c>
      <c r="Z35" s="179">
        <f t="shared" ref="Z35:Z39" si="43">X35/$X$41</f>
        <v>0.10502470901375353</v>
      </c>
      <c r="AD35" s="137" t="s">
        <v>138</v>
      </c>
      <c r="AE35" s="173">
        <f>SUMIF(Table13[Scope/Sub-Type],'INN Income Splits'!$AB$25,Table13[Earned Income - Sponsorships/Underwriting])</f>
        <v>628111</v>
      </c>
      <c r="AF35" s="179">
        <f t="shared" ref="AF35:AF39" si="44">AE35/$AE$40</f>
        <v>0.10247914758812511</v>
      </c>
      <c r="AG35" s="173">
        <f>AVERAGEIFS(Table13[Earned Income - Sponsorships/Underwriting],Table13[Scope/Sub-Type],$AB$25,Table13[Earned Income - Sponsorships/Underwriting],"&gt;0")</f>
        <v>209370.33333333334</v>
      </c>
      <c r="AH35" s="179">
        <f t="shared" ref="AH35:AH39" si="45">AG35/$AG$40</f>
        <v>0.21350310674339124</v>
      </c>
      <c r="AI35" s="179">
        <f t="shared" si="37"/>
        <v>6.4189912040287317E-2</v>
      </c>
    </row>
    <row r="36" spans="1:35" x14ac:dyDescent="0.15">
      <c r="C36" s="137" t="s">
        <v>139</v>
      </c>
      <c r="D36" s="173">
        <f>SUMIF(Table13[Scope/Sub-Type],'INN Income Splits'!$A$25,Table13[Earned Income - Subscriptions])</f>
        <v>212379</v>
      </c>
      <c r="E36" s="167">
        <f t="shared" si="34"/>
        <v>0.18422114121639649</v>
      </c>
      <c r="F36" s="173">
        <f>AVERAGEIFS(Table13[Earned Income - Subscriptions],Table13[Scope/Sub-Type],$A$25,Table13[Earned Income - Subscriptions],"&gt;0")</f>
        <v>212379</v>
      </c>
      <c r="G36" s="167">
        <f t="shared" si="35"/>
        <v>0.55167223249280717</v>
      </c>
      <c r="H36" s="179">
        <f t="shared" si="38"/>
        <v>0.19485547635510359</v>
      </c>
      <c r="L36" s="137" t="s">
        <v>139</v>
      </c>
      <c r="M36" s="173">
        <f>SUMIF(Table13[Scope/Sub-Type],'INN Income Splits'!$J$25,Table13[Earned Income - Subscriptions])</f>
        <v>149874</v>
      </c>
      <c r="N36" s="167">
        <f t="shared" si="39"/>
        <v>3.3534361921658422E-2</v>
      </c>
      <c r="O36" s="173">
        <f>AVERAGEIFS(Table13[Earned Income - Subscriptions],Table13[Scope/Sub-Type],$J$25,Table13[Earned Income - Subscriptions],"&gt;0")</f>
        <v>149874</v>
      </c>
      <c r="P36" s="179">
        <f t="shared" si="40"/>
        <v>0.21787530371365812</v>
      </c>
      <c r="Q36" s="179">
        <f t="shared" si="36"/>
        <v>4.2281249534911964E-3</v>
      </c>
      <c r="U36" s="137" t="s">
        <v>139</v>
      </c>
      <c r="V36" s="173">
        <f>SUMIF(Table13[Scope/Sub-Type],'INN Income Splits'!$S$25,Table13[Earned Income - Subscriptions])</f>
        <v>240996</v>
      </c>
      <c r="W36" s="179">
        <f t="shared" si="41"/>
        <v>0.30034321948350079</v>
      </c>
      <c r="X36" s="173">
        <f>AVERAGEIFS(Table13[Earned Income - Subscriptions],Table13[Scope/Sub-Type],$S$25,Table13[Earned Income - Subscriptions],"&gt;0")</f>
        <v>240996</v>
      </c>
      <c r="Y36" s="167">
        <f t="shared" si="42"/>
        <v>0.45394871299008677</v>
      </c>
      <c r="Z36" s="179">
        <f t="shared" si="43"/>
        <v>0.26761262831578414</v>
      </c>
      <c r="AD36" s="137" t="s">
        <v>139</v>
      </c>
      <c r="AE36" s="173">
        <f>SUMIF(Table13[Scope/Sub-Type],'INN Income Splits'!$AB$25,Table13[Earned Income - Subscriptions])</f>
        <v>1739197</v>
      </c>
      <c r="AF36" s="179">
        <f t="shared" si="44"/>
        <v>0.28375784860928149</v>
      </c>
      <c r="AG36" s="173">
        <f>AVERAGEIFS(Table13[Earned Income - Subscriptions],Table13[Scope/Sub-Type],$AB$25,Table13[Earned Income - Subscriptions],"&gt;0")</f>
        <v>289866.16666666669</v>
      </c>
      <c r="AH36" s="179">
        <f t="shared" si="45"/>
        <v>0.29558785209842353</v>
      </c>
      <c r="AI36" s="179">
        <f t="shared" si="37"/>
        <v>8.8868768777120272E-2</v>
      </c>
    </row>
    <row r="37" spans="1:35" x14ac:dyDescent="0.15">
      <c r="C37" s="137" t="s">
        <v>140</v>
      </c>
      <c r="D37" s="173">
        <f>SUMIF(Table13[Scope/Sub-Type],'INN Income Splits'!$A$25,Table13[Earned Income - Events])</f>
        <v>68145</v>
      </c>
      <c r="E37" s="167">
        <f t="shared" si="34"/>
        <v>5.9110127028526069E-2</v>
      </c>
      <c r="F37" s="173">
        <f>AVERAGEIFS(Table13[Earned Income - Events],Table13[Scope/Sub-Type],$A$25,Table13[Earned Income - Events],"&gt;0")</f>
        <v>22715</v>
      </c>
      <c r="G37" s="167">
        <f t="shared" si="35"/>
        <v>5.900411415947017E-2</v>
      </c>
      <c r="H37" s="179">
        <f t="shared" si="38"/>
        <v>2.0840771193979528E-2</v>
      </c>
      <c r="L37" s="137" t="s">
        <v>140</v>
      </c>
      <c r="M37" s="173">
        <f>SUMIF(Table13[Scope/Sub-Type],'INN Income Splits'!$J$25,Table13[Earned Income - Events])</f>
        <v>2061987.49</v>
      </c>
      <c r="N37" s="167">
        <f t="shared" si="39"/>
        <v>0.46137044962830126</v>
      </c>
      <c r="O37" s="173">
        <f>AVERAGEIFS(Table13[Earned Income - Events],Table13[Scope/Sub-Type],$J$25,Table13[Earned Income - Events],"&gt;0")</f>
        <v>229109.72111111111</v>
      </c>
      <c r="P37" s="179">
        <f t="shared" si="40"/>
        <v>0.3330621059745843</v>
      </c>
      <c r="Q37" s="179">
        <f t="shared" si="36"/>
        <v>5.8171135488848495E-2</v>
      </c>
      <c r="U37" s="137" t="s">
        <v>140</v>
      </c>
      <c r="V37" s="173">
        <f>SUMIF(Table13[Scope/Sub-Type],'INN Income Splits'!$S$25,Table13[Earned Income - Events])</f>
        <v>23071</v>
      </c>
      <c r="W37" s="179">
        <f t="shared" si="41"/>
        <v>2.8752420856378722E-2</v>
      </c>
      <c r="X37" s="173">
        <f>AVERAGEIFS(Table13[Earned Income - Events],Table13[Scope/Sub-Type],$S$25,Table13[Earned Income - Events],"&gt;0")</f>
        <v>7690.333333333333</v>
      </c>
      <c r="Y37" s="167">
        <f t="shared" si="42"/>
        <v>1.4485787810301543E-2</v>
      </c>
      <c r="Z37" s="179">
        <f t="shared" si="43"/>
        <v>8.5396866170302354E-3</v>
      </c>
      <c r="AD37" s="137" t="s">
        <v>140</v>
      </c>
      <c r="AE37" s="173">
        <f>SUMIF(Table13[Scope/Sub-Type],'INN Income Splits'!$AB$25,Table13[Earned Income - Events])</f>
        <v>264224</v>
      </c>
      <c r="AF37" s="179">
        <f t="shared" si="44"/>
        <v>4.3109339419823513E-2</v>
      </c>
      <c r="AG37" s="173">
        <f>AVERAGEIFS(Table13[Earned Income - Events],Table13[Scope/Sub-Type],$AB$25,Table13[Earned Income - Events],"&gt;0")</f>
        <v>88074.666666666672</v>
      </c>
      <c r="AH37" s="179">
        <f t="shared" si="45"/>
        <v>8.9813177728404386E-2</v>
      </c>
      <c r="AI37" s="179">
        <f t="shared" si="37"/>
        <v>2.7002417278049383E-2</v>
      </c>
    </row>
    <row r="38" spans="1:35" x14ac:dyDescent="0.15">
      <c r="C38" s="137" t="s">
        <v>251</v>
      </c>
      <c r="D38" s="173">
        <f>SUMIF(Table13[Scope/Sub-Type],'INN Income Splits'!$A$25,Table13[Earned Income - Syndication])</f>
        <v>167860</v>
      </c>
      <c r="E38" s="167">
        <f t="shared" si="34"/>
        <v>0.14560460669173653</v>
      </c>
      <c r="F38" s="173">
        <f>AVERAGEIFS(Table13[Earned Income - Syndication],Table13[Scope/Sub-Type],$A$25,Table13[Earned Income - Syndication],"&gt;0")</f>
        <v>41965</v>
      </c>
      <c r="G38" s="167">
        <f t="shared" si="35"/>
        <v>0.10900760073529234</v>
      </c>
      <c r="H38" s="179">
        <f t="shared" si="38"/>
        <v>3.8502441697352008E-2</v>
      </c>
      <c r="L38" s="137" t="s">
        <v>251</v>
      </c>
      <c r="M38" s="173">
        <f>SUMIF(Table13[Scope/Sub-Type],'INN Income Splits'!$J$25,Table13[Earned Income - Syndication])</f>
        <v>234452</v>
      </c>
      <c r="N38" s="167">
        <f t="shared" si="39"/>
        <v>5.2458720133289699E-2</v>
      </c>
      <c r="O38" s="173">
        <f>AVERAGEIFS(Table13[Earned Income - Syndication],Table13[Scope/Sub-Type],$J$25,Table13[Earned Income - Syndication],"&gt;0")</f>
        <v>46890.400000000001</v>
      </c>
      <c r="P38" s="179">
        <f t="shared" si="40"/>
        <v>6.8165660096180233E-2</v>
      </c>
      <c r="Q38" s="179">
        <f t="shared" si="36"/>
        <v>6.6141715814345249E-3</v>
      </c>
      <c r="U38" s="137" t="s">
        <v>251</v>
      </c>
      <c r="V38" s="173">
        <f>SUMIF(Table13[Scope/Sub-Type],'INN Income Splits'!$S$25,Table13[Earned Income - Syndication])</f>
        <v>5000</v>
      </c>
      <c r="W38" s="179">
        <f t="shared" si="41"/>
        <v>6.2312905501232547E-3</v>
      </c>
      <c r="X38" s="173">
        <f>AVERAGEIFS(Table13[Earned Income - Syndication],Table13[Scope/Sub-Type],$S$25,Table13[Earned Income - Syndication],"&gt;0")</f>
        <v>5000</v>
      </c>
      <c r="Y38" s="167">
        <f t="shared" si="42"/>
        <v>9.4181794094110854E-3</v>
      </c>
      <c r="Z38" s="179">
        <f t="shared" si="43"/>
        <v>5.5522213712215999E-3</v>
      </c>
      <c r="AD38" s="137" t="s">
        <v>251</v>
      </c>
      <c r="AE38" s="173">
        <f>SUMIF(Table13[Scope/Sub-Type],'INN Income Splits'!$AB$25,Table13[Earned Income - Syndication])</f>
        <v>113238</v>
      </c>
      <c r="AF38" s="179">
        <f t="shared" si="44"/>
        <v>1.847529133319447E-2</v>
      </c>
      <c r="AG38" s="173">
        <f>AVERAGEIFS(Table13[Earned Income - Syndication],Table13[Scope/Sub-Type],$AB$25,Table13[Earned Income - Syndication],"&gt;0")</f>
        <v>18873</v>
      </c>
      <c r="AH38" s="179">
        <f t="shared" si="45"/>
        <v>1.9245535264792477E-2</v>
      </c>
      <c r="AI38" s="179">
        <f t="shared" si="37"/>
        <v>5.7861884759366211E-3</v>
      </c>
    </row>
    <row r="39" spans="1:35" x14ac:dyDescent="0.15">
      <c r="B39" s="140"/>
      <c r="C39" s="140" t="s">
        <v>248</v>
      </c>
      <c r="D39" s="184">
        <f>SUMIF(Table13[Scope/Sub-Type],'INN Income Splits'!$A$25,Table13[Earned Income - Other])</f>
        <v>398854.46</v>
      </c>
      <c r="E39" s="185">
        <f t="shared" si="34"/>
        <v>0.34597311316302254</v>
      </c>
      <c r="F39" s="184">
        <f>AVERAGEIFS(Table13[Earned Income - Other],Table13[Scope/Sub-Type],$A$25,Table13[Earned Income - Other],"&gt;0")</f>
        <v>56979.208571428571</v>
      </c>
      <c r="G39" s="185">
        <f t="shared" si="35"/>
        <v>0.14800826446246235</v>
      </c>
      <c r="H39" s="185">
        <f t="shared" si="38"/>
        <v>5.2277818562675764E-2</v>
      </c>
      <c r="K39" s="140"/>
      <c r="L39" s="140" t="s">
        <v>248</v>
      </c>
      <c r="M39" s="184">
        <f>SUMIF(Table13[Scope/Sub-Type],'INN Income Splits'!$J$25,Table13[Earned Income - Other])</f>
        <v>125924</v>
      </c>
      <c r="N39" s="185">
        <f t="shared" si="39"/>
        <v>2.817554072502846E-2</v>
      </c>
      <c r="O39" s="184">
        <f>AVERAGEIFS(Table13[Earned Income - Other],Table13[Scope/Sub-Type],$J$25,Table13[Earned Income - Other],"&gt;0")</f>
        <v>17989.142857142859</v>
      </c>
      <c r="P39" s="185">
        <f t="shared" si="40"/>
        <v>2.6151233459762096E-2</v>
      </c>
      <c r="Q39" s="179">
        <f t="shared" si="36"/>
        <v>3.5524667830539348E-3</v>
      </c>
      <c r="T39" s="140"/>
      <c r="U39" s="140" t="s">
        <v>248</v>
      </c>
      <c r="V39" s="184">
        <f>SUMIF(Table13[Scope/Sub-Type],'INN Income Splits'!$S$25,Table13[Earned Income - Other])</f>
        <v>220531</v>
      </c>
      <c r="W39" s="185">
        <f t="shared" si="41"/>
        <v>0.27483854726184631</v>
      </c>
      <c r="X39" s="184">
        <f>AVERAGEIFS(Table13[Earned Income - Other],Table13[Scope/Sub-Type],$S$25,Table13[Earned Income - Other],"&gt;0")</f>
        <v>73510.333333333328</v>
      </c>
      <c r="Y39" s="185">
        <f t="shared" si="42"/>
        <v>0.13846670155578905</v>
      </c>
      <c r="Z39" s="185">
        <f t="shared" si="43"/>
        <v>8.1629128747791366E-2</v>
      </c>
      <c r="AC39" s="140"/>
      <c r="AD39" s="140" t="s">
        <v>248</v>
      </c>
      <c r="AE39" s="184">
        <f>SUMIF(Table13[Scope/Sub-Type],'INN Income Splits'!$AB$25,Table13[Earned Income - Other])</f>
        <v>1943591</v>
      </c>
      <c r="AF39" s="185">
        <f t="shared" si="44"/>
        <v>0.31710565320453177</v>
      </c>
      <c r="AG39" s="184">
        <f>AVERAGEIFS(Table13[Earned Income - Other],Table13[Scope/Sub-Type],$AB$25,Table13[Earned Income - Other],"&gt;0")</f>
        <v>194359.1</v>
      </c>
      <c r="AH39" s="185">
        <f t="shared" si="45"/>
        <v>0.19819556578621988</v>
      </c>
      <c r="AI39" s="185">
        <f t="shared" si="37"/>
        <v>5.9587685297165974E-2</v>
      </c>
    </row>
    <row r="40" spans="1:35" ht="13" thickBot="1" x14ac:dyDescent="0.2">
      <c r="B40" s="214"/>
      <c r="C40" s="214" t="s">
        <v>60</v>
      </c>
      <c r="D40" s="215">
        <f>SUM(D34:D39)</f>
        <v>1152848.1399999999</v>
      </c>
      <c r="E40" s="216">
        <f t="shared" ref="E40" si="46">SUM(E34:E39)</f>
        <v>1.0000000000000002</v>
      </c>
      <c r="F40" s="215">
        <f>SUM(F34:F39)</f>
        <v>384973.15523809521</v>
      </c>
      <c r="G40" s="217">
        <f>SUM(G34:G39)</f>
        <v>1</v>
      </c>
      <c r="H40" s="216">
        <f>SUM(H34:H39)</f>
        <v>0.35320878028357933</v>
      </c>
      <c r="K40" s="214"/>
      <c r="L40" s="214" t="s">
        <v>60</v>
      </c>
      <c r="M40" s="215">
        <f>SUM(M34:M39)</f>
        <v>4469266.49</v>
      </c>
      <c r="N40" s="216">
        <f t="shared" ref="N40" si="47">SUM(N34:N39)</f>
        <v>1</v>
      </c>
      <c r="O40" s="215">
        <f>SUM(O34:O39)</f>
        <v>687888.88619047613</v>
      </c>
      <c r="P40" s="217">
        <f>SUM(P34:P39)</f>
        <v>1</v>
      </c>
      <c r="Q40" s="216">
        <f>SUM(Q34:Q39)</f>
        <v>0.12608335782171035</v>
      </c>
      <c r="T40" s="214"/>
      <c r="U40" s="214" t="s">
        <v>60</v>
      </c>
      <c r="V40" s="215">
        <f>SUM(V34:V39)</f>
        <v>802402</v>
      </c>
      <c r="W40" s="216">
        <f t="shared" ref="W40" si="48">SUM(W34:W39)</f>
        <v>1</v>
      </c>
      <c r="X40" s="215">
        <f>SUM(X34:X39)</f>
        <v>530888.16666666663</v>
      </c>
      <c r="Y40" s="217">
        <f>SUM(Y34:Y39)</f>
        <v>1</v>
      </c>
      <c r="Z40" s="216">
        <f>SUM(Z34:Z39)</f>
        <v>0.58952172493906418</v>
      </c>
      <c r="AC40" s="214"/>
      <c r="AD40" s="214" t="s">
        <v>60</v>
      </c>
      <c r="AE40" s="215">
        <f>SUM(AE34:AE39)</f>
        <v>6129159.0999999996</v>
      </c>
      <c r="AF40" s="216">
        <f t="shared" ref="AF40" si="49">SUM(AF34:AF39)</f>
        <v>1</v>
      </c>
      <c r="AG40" s="215">
        <f>SUM(AG34:AG39)</f>
        <v>980643.02916666656</v>
      </c>
      <c r="AH40" s="217">
        <f>SUM(AH34:AH39)</f>
        <v>1</v>
      </c>
      <c r="AI40" s="216">
        <f>SUM(AI34:AI39)</f>
        <v>0.30065095079593851</v>
      </c>
    </row>
    <row r="41" spans="1:35" s="136" customFormat="1" ht="13" thickTop="1" x14ac:dyDescent="0.15">
      <c r="B41" s="136" t="s">
        <v>60</v>
      </c>
      <c r="D41" s="204">
        <f>D32+D40</f>
        <v>13274291.5</v>
      </c>
      <c r="E41" s="168"/>
      <c r="F41" s="204">
        <f>F32+F40</f>
        <v>1089930.8758095237</v>
      </c>
      <c r="G41" s="218"/>
      <c r="H41" s="168">
        <f>H40+H32</f>
        <v>1</v>
      </c>
      <c r="K41" s="136" t="s">
        <v>60</v>
      </c>
      <c r="M41" s="204">
        <f>M32+M40</f>
        <v>35446918.350000001</v>
      </c>
      <c r="N41" s="168"/>
      <c r="O41" s="204"/>
      <c r="P41" s="218"/>
      <c r="Q41" s="168">
        <f>Q40+Q32</f>
        <v>1</v>
      </c>
      <c r="T41" s="136" t="s">
        <v>60</v>
      </c>
      <c r="V41" s="204">
        <f>V32+V40</f>
        <v>3792177.26</v>
      </c>
      <c r="W41" s="168"/>
      <c r="X41" s="204">
        <f>X32+X40</f>
        <v>900540.46222222224</v>
      </c>
      <c r="Y41" s="218"/>
      <c r="Z41" s="168">
        <f>Z40+Z32</f>
        <v>1</v>
      </c>
      <c r="AC41" s="136" t="s">
        <v>60</v>
      </c>
      <c r="AE41" s="204">
        <f>AE32+AE40</f>
        <v>37517313.390000001</v>
      </c>
      <c r="AF41" s="168"/>
      <c r="AG41" s="204">
        <f>AG32+AG40</f>
        <v>3261732.6722916663</v>
      </c>
      <c r="AH41" s="218"/>
      <c r="AI41" s="168">
        <f>AI40+AI32</f>
        <v>1.0000000000000002</v>
      </c>
    </row>
    <row r="43" spans="1:35" x14ac:dyDescent="0.15">
      <c r="A43" s="220" t="s">
        <v>122</v>
      </c>
      <c r="B43" s="221"/>
      <c r="C43" s="221"/>
      <c r="D43" s="221"/>
      <c r="E43" s="221"/>
      <c r="F43" s="221"/>
      <c r="G43" s="221"/>
      <c r="H43" s="221"/>
      <c r="J43" s="220" t="s">
        <v>125</v>
      </c>
      <c r="K43" s="221"/>
      <c r="L43" s="221"/>
      <c r="M43" s="221"/>
      <c r="N43" s="221"/>
      <c r="O43" s="221"/>
      <c r="P43" s="221"/>
      <c r="Q43" s="221"/>
      <c r="S43" s="220" t="s">
        <v>128</v>
      </c>
      <c r="T43" s="221"/>
      <c r="U43" s="221"/>
      <c r="V43" s="221"/>
      <c r="W43" s="221"/>
      <c r="X43" s="221"/>
      <c r="Y43" s="221"/>
      <c r="Z43" s="221"/>
      <c r="AB43" s="220" t="s">
        <v>131</v>
      </c>
      <c r="AC43" s="221"/>
      <c r="AD43" s="221"/>
      <c r="AE43" s="221"/>
      <c r="AF43" s="221"/>
      <c r="AG43" s="221"/>
      <c r="AH43" s="221"/>
      <c r="AI43" s="221"/>
    </row>
    <row r="44" spans="1:35" ht="13" x14ac:dyDescent="0.15">
      <c r="A44" s="169"/>
      <c r="B44" s="169"/>
      <c r="C44" s="169"/>
      <c r="D44" s="169" t="s">
        <v>269</v>
      </c>
      <c r="E44" s="169" t="s">
        <v>282</v>
      </c>
      <c r="F44" s="169" t="s">
        <v>283</v>
      </c>
      <c r="G44" s="169" t="s">
        <v>284</v>
      </c>
      <c r="H44" s="169" t="s">
        <v>285</v>
      </c>
      <c r="J44" s="169"/>
      <c r="K44" s="169"/>
      <c r="L44" s="169"/>
      <c r="M44" s="169" t="s">
        <v>269</v>
      </c>
      <c r="N44" s="169" t="s">
        <v>282</v>
      </c>
      <c r="O44" s="169" t="s">
        <v>283</v>
      </c>
      <c r="P44" s="169" t="s">
        <v>284</v>
      </c>
      <c r="Q44" s="169" t="s">
        <v>285</v>
      </c>
      <c r="S44" s="169"/>
      <c r="T44" s="169"/>
      <c r="U44" s="169"/>
      <c r="V44" s="169" t="s">
        <v>269</v>
      </c>
      <c r="W44" s="169" t="s">
        <v>282</v>
      </c>
      <c r="X44" s="169" t="s">
        <v>283</v>
      </c>
      <c r="Y44" s="169" t="s">
        <v>284</v>
      </c>
      <c r="Z44" s="169" t="s">
        <v>285</v>
      </c>
      <c r="AB44" s="169"/>
      <c r="AC44" s="169"/>
      <c r="AD44" s="169"/>
      <c r="AE44" s="169" t="s">
        <v>269</v>
      </c>
      <c r="AF44" s="169" t="s">
        <v>282</v>
      </c>
      <c r="AG44" s="169" t="s">
        <v>283</v>
      </c>
      <c r="AH44" s="169" t="s">
        <v>284</v>
      </c>
      <c r="AI44" s="169" t="s">
        <v>285</v>
      </c>
    </row>
    <row r="45" spans="1:35" x14ac:dyDescent="0.15">
      <c r="B45" s="137" t="s">
        <v>246</v>
      </c>
      <c r="D45" s="173"/>
      <c r="K45" s="137" t="s">
        <v>246</v>
      </c>
      <c r="M45" s="173"/>
      <c r="T45" s="137" t="s">
        <v>246</v>
      </c>
      <c r="V45" s="173"/>
      <c r="AC45" s="137" t="s">
        <v>246</v>
      </c>
      <c r="AE45" s="173"/>
    </row>
    <row r="46" spans="1:35" x14ac:dyDescent="0.15">
      <c r="C46" s="137" t="s">
        <v>134</v>
      </c>
      <c r="D46" s="173">
        <f>SUMIF(Table13[Scope/Sub-Type],'INN Income Splits'!A43,Table13[Cont. Income - Foundation])</f>
        <v>665917</v>
      </c>
      <c r="E46" s="167">
        <f>D46/D50</f>
        <v>0.32825698031320766</v>
      </c>
      <c r="F46" s="173">
        <f>AVERAGEIFS(Table13[Cont. Income - Foundation],Table13[Scope/Sub-Type],A43,Table13[Cont. Income - Foundation],"&gt;0")</f>
        <v>133183.4</v>
      </c>
      <c r="G46" s="167">
        <f>F46/$F50</f>
        <v>0.29041683959137615</v>
      </c>
      <c r="H46" s="179">
        <f>F46/$F$59</f>
        <v>0.17819372341972736</v>
      </c>
      <c r="L46" s="137" t="s">
        <v>134</v>
      </c>
      <c r="M46" s="173">
        <f>SUMIF(Table13[Scope/Sub-Type],'INN Income Splits'!J43,Table13[Cont. Income - Foundation])</f>
        <v>5368323</v>
      </c>
      <c r="N46" s="167">
        <f>M46/M50</f>
        <v>0.82542211989079839</v>
      </c>
      <c r="O46" s="173">
        <f>AVERAGEIFS(Table13[Cont. Income - Foundation],Table13[Scope/Sub-Type],J43,Table13[Cont. Income - Foundation],"&gt;0")</f>
        <v>766903.28571428568</v>
      </c>
      <c r="P46" s="179">
        <f>O46/$O$50</f>
        <v>0.84203677856052761</v>
      </c>
      <c r="Q46" s="179">
        <f>M46/$M$59</f>
        <v>0.80246165234665234</v>
      </c>
      <c r="U46" s="137" t="s">
        <v>134</v>
      </c>
      <c r="V46" s="173">
        <f>SUMIF(Table13[Scope/Sub-Type],'INN Income Splits'!S43,Table13[Cont. Income - Foundation])</f>
        <v>2836852</v>
      </c>
      <c r="W46" s="167">
        <f>V46/V50</f>
        <v>0.73789354787933692</v>
      </c>
      <c r="X46" s="173">
        <f>AVERAGEIFS(Table13[Cont. Income - Foundation],Table13[Scope/Sub-Type],S43,Table13[Cont. Income - Foundation],"&gt;0")</f>
        <v>354606.5</v>
      </c>
      <c r="Y46" s="179">
        <f>X46/$X$50</f>
        <v>0.51542790074295708</v>
      </c>
      <c r="Z46" s="179">
        <f>X46/$X$59</f>
        <v>0.46122464208223718</v>
      </c>
      <c r="AD46" s="137" t="s">
        <v>134</v>
      </c>
      <c r="AE46" s="173">
        <f>SUMIF(Table13[Scope/Sub-Type],'INN Income Splits'!AB43,Table13[Cont. Income - Foundation])</f>
        <v>28675906.84</v>
      </c>
      <c r="AF46" s="167">
        <f>AE46/AE50</f>
        <v>0.45675389006244299</v>
      </c>
      <c r="AG46" s="173">
        <f>AVERAGEIFS(Table13[Cont. Income - Foundation],Table13[Scope/Sub-Type],AB43,Table13[Cont. Income - Foundation],"&gt;0")</f>
        <v>1593105.9355555556</v>
      </c>
      <c r="AH46" s="179">
        <f>AG46/$AG$50</f>
        <v>0.46087382093209106</v>
      </c>
      <c r="AI46" s="167">
        <f>AG46/$AG$59</f>
        <v>0.40778129187873202</v>
      </c>
    </row>
    <row r="47" spans="1:35" x14ac:dyDescent="0.15">
      <c r="C47" s="137" t="s">
        <v>135</v>
      </c>
      <c r="D47" s="173">
        <f>SUMIF(Table13[Scope/Sub-Type],'INN Income Splits'!A43,Table13[Cont. Income - Membership])</f>
        <v>22628.440000000002</v>
      </c>
      <c r="E47" s="167">
        <f>D47/D50</f>
        <v>1.115445826371545E-2</v>
      </c>
      <c r="F47" s="173">
        <f>AVERAGEIFS(Table13[Cont. Income - Membership],Table13[Scope/Sub-Type],$A43,Table13[Cont. Income - Membership],"&gt;0")</f>
        <v>7542.8133333333344</v>
      </c>
      <c r="G47" s="167">
        <f>F47/$F50</f>
        <v>1.6447695507806229E-2</v>
      </c>
      <c r="H47" s="179">
        <f t="shared" ref="H47:H49" si="50">F47/$F$59</f>
        <v>1.0091963359747777E-2</v>
      </c>
      <c r="L47" s="137" t="s">
        <v>135</v>
      </c>
      <c r="M47" s="173">
        <f>SUMIF(Table13[Scope/Sub-Type],'INN Income Splits'!J43,Table13[Cont. Income - Membership])</f>
        <v>2220</v>
      </c>
      <c r="N47" s="167">
        <f>M47/M50</f>
        <v>3.4134255821744938E-4</v>
      </c>
      <c r="O47" s="173">
        <f>AVERAGEIFS(Table13[Cont. Income - Membership],Table13[Scope/Sub-Type],$J43,Table13[Cont. Income - Membership],"&gt;0")</f>
        <v>2220</v>
      </c>
      <c r="P47" s="179">
        <f t="shared" ref="P47:P49" si="51">O47/$O$50</f>
        <v>2.4374933361555554E-3</v>
      </c>
      <c r="Q47" s="179">
        <f>M47/$M$59</f>
        <v>3.3184755615665602E-4</v>
      </c>
      <c r="U47" s="137" t="s">
        <v>135</v>
      </c>
      <c r="V47" s="173">
        <f>SUMIF(Table13[Scope/Sub-Type],'INN Income Splits'!S43,Table13[Cont. Income - Membership])</f>
        <v>234050</v>
      </c>
      <c r="W47" s="167">
        <f>V47/V50</f>
        <v>6.0878743368056841E-2</v>
      </c>
      <c r="X47" s="173">
        <f>AVERAGEIFS(Table13[Cont. Income - Membership],Table13[Scope/Sub-Type],$S43,Table13[Cont. Income - Membership],"&gt;0")</f>
        <v>234050</v>
      </c>
      <c r="Y47" s="179">
        <f t="shared" ref="Y47:Y49" si="52">X47/$X$50</f>
        <v>0.34019652817669477</v>
      </c>
      <c r="Z47" s="179">
        <f t="shared" ref="Z47:Z49" si="53">X47/$X$59</f>
        <v>0.30442089324179794</v>
      </c>
      <c r="AD47" s="137" t="s">
        <v>135</v>
      </c>
      <c r="AE47" s="173">
        <f>SUMIF(Table13[Scope/Sub-Type],'INN Income Splits'!AB43,Table13[Cont. Income - Membership])</f>
        <v>498186.35</v>
      </c>
      <c r="AF47" s="167">
        <f>AE47/AE50</f>
        <v>7.9351824724546265E-3</v>
      </c>
      <c r="AG47" s="173">
        <f>AVERAGEIFS(Table13[Cont. Income - Membership],Table13[Scope/Sub-Type],$AB43,Table13[Cont. Income - Membership],"&gt;0")</f>
        <v>124546.58749999999</v>
      </c>
      <c r="AH47" s="179">
        <f t="shared" ref="AH47:AH49" si="54">AG47/$AG$50</f>
        <v>3.6030411025467127E-2</v>
      </c>
      <c r="AI47" s="167">
        <f t="shared" ref="AI47:AI49" si="55">AG47/$AG$59</f>
        <v>3.1879718238653466E-2</v>
      </c>
    </row>
    <row r="48" spans="1:35" x14ac:dyDescent="0.15">
      <c r="C48" s="137" t="s">
        <v>247</v>
      </c>
      <c r="D48" s="173">
        <f>SUMIF(Table13[Scope/Sub-Type],'INN Income Splits'!A43,Table13[Total Individual Donations])</f>
        <v>966241.91999999993</v>
      </c>
      <c r="E48" s="167">
        <f>D48/D50</f>
        <v>0.47629908068308202</v>
      </c>
      <c r="F48" s="173">
        <f>AVERAGEIFS(Table13[Total Individual Donations],Table13[Scope/Sub-Type],$A43,Table13[Total Individual Donations],"&gt;0")</f>
        <v>193248.38399999999</v>
      </c>
      <c r="G48" s="167">
        <f>F48/$F50</f>
        <v>0.42139324373323295</v>
      </c>
      <c r="H48" s="179">
        <f t="shared" si="50"/>
        <v>0.25855811677585394</v>
      </c>
      <c r="L48" s="137" t="s">
        <v>247</v>
      </c>
      <c r="M48" s="173">
        <f>SUMIF(Table13[Scope/Sub-Type],'INN Income Splits'!J43,Table13[Total Individual Donations])</f>
        <v>1133187.48</v>
      </c>
      <c r="N48" s="167">
        <f>M48/M50</f>
        <v>0.17423653755098412</v>
      </c>
      <c r="O48" s="173">
        <f>AVERAGEIFS(Table13[Total Individual Donations],Table13[Scope/Sub-Type],$J43,Table13[Total Individual Donations],"&gt;0")</f>
        <v>141648.435</v>
      </c>
      <c r="P48" s="179">
        <f t="shared" si="51"/>
        <v>0.1555257281033168</v>
      </c>
      <c r="Q48" s="179">
        <f>M48/$M$59</f>
        <v>0.1693898630204142</v>
      </c>
      <c r="U48" s="137" t="s">
        <v>247</v>
      </c>
      <c r="V48" s="173">
        <f>SUMIF(Table13[Scope/Sub-Type],'INN Income Splits'!S43,Table13[Total Individual Donations])</f>
        <v>770625.45</v>
      </c>
      <c r="W48" s="167">
        <f>V48/V50</f>
        <v>0.20044737877993299</v>
      </c>
      <c r="X48" s="173">
        <f>AVERAGEIFS(Table13[Total Individual Donations],Table13[Scope/Sub-Type],$S43,Table13[Total Individual Donations],"&gt;0")</f>
        <v>96328.181249999994</v>
      </c>
      <c r="Y48" s="179">
        <f t="shared" si="52"/>
        <v>0.14001500887342613</v>
      </c>
      <c r="Z48" s="179">
        <f t="shared" si="53"/>
        <v>0.12529079675489344</v>
      </c>
      <c r="AD48" s="137" t="s">
        <v>247</v>
      </c>
      <c r="AE48" s="173">
        <f>SUMIF(Table13[Scope/Sub-Type],'INN Income Splits'!AB43,Table13[Total Individual Donations])</f>
        <v>32825722.029999997</v>
      </c>
      <c r="AF48" s="167">
        <f>AE48/AE50</f>
        <v>0.52285273191070714</v>
      </c>
      <c r="AG48" s="173">
        <f>AVERAGEIFS(Table13[Total Individual Donations],Table13[Scope/Sub-Type],$AB43,Table13[Total Individual Donations],"&gt;0")</f>
        <v>1641286.1014999999</v>
      </c>
      <c r="AH48" s="179">
        <f t="shared" si="54"/>
        <v>0.47481198830462978</v>
      </c>
      <c r="AI48" s="167">
        <f t="shared" si="55"/>
        <v>0.42011378645631692</v>
      </c>
    </row>
    <row r="49" spans="1:35" x14ac:dyDescent="0.15">
      <c r="B49" s="140"/>
      <c r="C49" s="140" t="s">
        <v>248</v>
      </c>
      <c r="D49" s="184">
        <f>SUMIF(Table13[Scope/Sub-Type],'INN Income Splits'!A43,Table13[Cont. Income - Other])</f>
        <v>373858</v>
      </c>
      <c r="E49" s="185">
        <f>D49/D50</f>
        <v>0.1842894807399949</v>
      </c>
      <c r="F49" s="184">
        <f>AVERAGEIFS(Table13[Cont. Income - Other],Table13[Scope/Sub-Type],$A43,Table13[Cont. Income - Other],"&gt;0")</f>
        <v>124619.33333333333</v>
      </c>
      <c r="G49" s="185">
        <f>F49/$F50</f>
        <v>0.27174222116758467</v>
      </c>
      <c r="H49" s="185">
        <f t="shared" si="50"/>
        <v>0.16673536654531129</v>
      </c>
      <c r="K49" s="140"/>
      <c r="L49" s="140" t="s">
        <v>248</v>
      </c>
      <c r="M49" s="184">
        <f>SUMIF(Table13[Scope/Sub-Type],'INN Income Splits'!J43,Table13[Cont. Income - Other])</f>
        <v>0</v>
      </c>
      <c r="N49" s="185">
        <f>M49/M50</f>
        <v>0</v>
      </c>
      <c r="O49" s="184">
        <f>IFERROR(AVERAGEIFS(Table13[Cont. Income - Other],Table13[Scope/Sub-Type],$J43,Table13[Cont. Income - Other],"&gt;0"),0)</f>
        <v>0</v>
      </c>
      <c r="P49" s="185">
        <f t="shared" si="51"/>
        <v>0</v>
      </c>
      <c r="Q49" s="185">
        <f>M49/$M$59</f>
        <v>0</v>
      </c>
      <c r="T49" s="140"/>
      <c r="U49" s="140" t="s">
        <v>248</v>
      </c>
      <c r="V49" s="184">
        <f>SUMIF(Table13[Scope/Sub-Type],'INN Income Splits'!S43,Table13[Cont. Income - Other])</f>
        <v>3000</v>
      </c>
      <c r="W49" s="185">
        <f>V49/V50</f>
        <v>7.8032997267323445E-4</v>
      </c>
      <c r="X49" s="184">
        <f>AVERAGEIFS(Table13[Cont. Income - Other],Table13[Scope/Sub-Type],$S43,Table13[Cont. Income - Other],"&gt;0")</f>
        <v>3000</v>
      </c>
      <c r="Y49" s="185">
        <f t="shared" si="52"/>
        <v>4.360562206921958E-3</v>
      </c>
      <c r="Z49" s="185">
        <f t="shared" si="53"/>
        <v>3.9019982043383625E-3</v>
      </c>
      <c r="AC49" s="140"/>
      <c r="AD49" s="140" t="s">
        <v>248</v>
      </c>
      <c r="AE49" s="184">
        <f>SUMIF(Table13[Scope/Sub-Type],'INN Income Splits'!AB43,Table13[Cont. Income - Other])</f>
        <v>782150</v>
      </c>
      <c r="AF49" s="185">
        <f>AE49/AE50</f>
        <v>1.2458195554395231E-2</v>
      </c>
      <c r="AG49" s="184">
        <f>AVERAGEIFS(Table13[Cont. Income - Other],Table13[Scope/Sub-Type],$AB43,Table13[Cont. Income - Other],"&gt;0")</f>
        <v>97768.75</v>
      </c>
      <c r="AH49" s="185">
        <f t="shared" si="54"/>
        <v>2.8283779737812077E-2</v>
      </c>
      <c r="AI49" s="185">
        <f t="shared" si="55"/>
        <v>2.5025496604195206E-2</v>
      </c>
    </row>
    <row r="50" spans="1:35" x14ac:dyDescent="0.15">
      <c r="C50" s="137" t="s">
        <v>60</v>
      </c>
      <c r="D50" s="173">
        <f>SUM(D46:D49)</f>
        <v>2028645.3599999999</v>
      </c>
      <c r="E50" s="189">
        <f>SUM(E46:E49)</f>
        <v>1</v>
      </c>
      <c r="F50" s="194">
        <f>SUM(F46:F49)</f>
        <v>458593.93066666665</v>
      </c>
      <c r="G50" s="189">
        <f>SUM(G46:G49)</f>
        <v>1</v>
      </c>
      <c r="H50" s="189">
        <f>SUM(H46:H49)</f>
        <v>0.61357917010064034</v>
      </c>
      <c r="L50" s="137" t="s">
        <v>60</v>
      </c>
      <c r="M50" s="173">
        <f>SUM(M46:M49)</f>
        <v>6503730.4800000004</v>
      </c>
      <c r="N50" s="189">
        <f>SUM(N46:N49)</f>
        <v>1</v>
      </c>
      <c r="O50" s="194">
        <f>SUM(O46:O49)</f>
        <v>910771.72071428574</v>
      </c>
      <c r="P50" s="189">
        <f>SUM(P46:P49)</f>
        <v>0.99999999999999989</v>
      </c>
      <c r="Q50" s="189">
        <f>SUM(Q46:Q49)</f>
        <v>0.97218336292322327</v>
      </c>
      <c r="U50" s="137" t="s">
        <v>60</v>
      </c>
      <c r="V50" s="173">
        <f>SUM(V46:V49)</f>
        <v>3844527.45</v>
      </c>
      <c r="W50" s="189">
        <f>SUM(W46:W49)</f>
        <v>1</v>
      </c>
      <c r="X50" s="194">
        <f>SUM(X46:X49)</f>
        <v>687984.68125000002</v>
      </c>
      <c r="Y50" s="189">
        <f>SUM(Y46:Y49)</f>
        <v>0.99999999999999989</v>
      </c>
      <c r="Z50" s="189">
        <f>SUM(Z46:Z49)</f>
        <v>0.89483833028326687</v>
      </c>
      <c r="AD50" s="137" t="s">
        <v>60</v>
      </c>
      <c r="AE50" s="173">
        <f>SUM(AE46:AE49)</f>
        <v>62781965.219999999</v>
      </c>
      <c r="AF50" s="189">
        <f>SUM(AF46:AF49)</f>
        <v>1</v>
      </c>
      <c r="AG50" s="194">
        <f>SUM(AG46:AG49)</f>
        <v>3456707.3745555552</v>
      </c>
      <c r="AH50" s="189">
        <f>SUM(AH46:AH49)</f>
        <v>1</v>
      </c>
      <c r="AI50" s="189">
        <f>SUM(AI46:AI49)</f>
        <v>0.88480029317789755</v>
      </c>
    </row>
    <row r="51" spans="1:35" x14ac:dyDescent="0.15">
      <c r="B51" s="137" t="s">
        <v>250</v>
      </c>
      <c r="K51" s="137" t="s">
        <v>250</v>
      </c>
      <c r="T51" s="137" t="s">
        <v>250</v>
      </c>
      <c r="AC51" s="137" t="s">
        <v>250</v>
      </c>
    </row>
    <row r="52" spans="1:35" x14ac:dyDescent="0.15">
      <c r="C52" s="137" t="s">
        <v>137</v>
      </c>
      <c r="D52" s="173">
        <f>SUMIF(Table13[Scope/Sub-Type],'INN Income Splits'!$A43,Table13[Earned Income - Advertising])</f>
        <v>165261</v>
      </c>
      <c r="E52" s="167">
        <f>D52/$D$58</f>
        <v>0.32949574595971892</v>
      </c>
      <c r="F52" s="173">
        <f>AVERAGEIFS(Table13[Earned Income - Advertising],Table13[Scope/Sub-Type],A43,Table13[Earned Income - Advertising],"&gt;0")</f>
        <v>55087</v>
      </c>
      <c r="G52" s="167">
        <f>F52/$F$58</f>
        <v>0.19073522137169335</v>
      </c>
      <c r="H52" s="179">
        <f>F52/$F$59</f>
        <v>7.3704062533487824E-2</v>
      </c>
      <c r="L52" s="137" t="s">
        <v>137</v>
      </c>
      <c r="M52" s="173">
        <f>SUMIF(Table13[Scope/Sub-Type],'INN Income Splits'!$J43,Table13[Earned Income - Advertising])</f>
        <v>1100</v>
      </c>
      <c r="N52" s="179">
        <f>M52/$M$58</f>
        <v>5.9111735474338895E-3</v>
      </c>
      <c r="O52" s="173">
        <f>AVERAGEIFS(Table13[Earned Income - Advertising],Table13[Scope/Sub-Type],J43,Table13[Earned Income - Advertising],"&gt;0")</f>
        <v>550</v>
      </c>
      <c r="P52" s="179">
        <f>O52/$O$58</f>
        <v>5.3898249708238975E-3</v>
      </c>
      <c r="Q52" s="179">
        <f t="shared" ref="Q52:Q57" si="56">M52/$M$59</f>
        <v>1.6442896926681155E-4</v>
      </c>
      <c r="U52" s="137" t="s">
        <v>137</v>
      </c>
      <c r="V52" s="173">
        <f>SUMIF(Table13[Scope/Sub-Type],'INN Income Splits'!$S43,Table13[Earned Income - Advertising])</f>
        <v>47108</v>
      </c>
      <c r="W52" s="179">
        <f>V52/$V$58</f>
        <v>0.41723572915282758</v>
      </c>
      <c r="X52" s="173">
        <f>AVERAGEIFS(Table13[Earned Income - Advertising],Table13[Scope/Sub-Type],S43,Table13[Earned Income - Advertising],"&gt;0")</f>
        <v>15702.666666666666</v>
      </c>
      <c r="Y52" s="179">
        <f>X52/$X$58</f>
        <v>0.19421454382793285</v>
      </c>
      <c r="Z52" s="179">
        <f>X52/$X$59</f>
        <v>2.0423925712219064E-2</v>
      </c>
      <c r="AD52" s="137" t="s">
        <v>137</v>
      </c>
      <c r="AE52" s="173">
        <f>SUMIF(Table13[Scope/Sub-Type],'INN Income Splits'!$AB43,Table13[Earned Income - Advertising])</f>
        <v>617590.96</v>
      </c>
      <c r="AF52" s="179">
        <f>AE52/$AE$58</f>
        <v>0.22357411970483451</v>
      </c>
      <c r="AG52" s="173">
        <f>AVERAGEIFS(Table13[Earned Income - Advertising],Table13[Scope/Sub-Type],AB43,Table13[Earned Income - Advertising],"&gt;0")</f>
        <v>77198.87</v>
      </c>
      <c r="AH52" s="179">
        <f>AG52/$AG$58</f>
        <v>0.17153083876088779</v>
      </c>
      <c r="AI52" s="179">
        <f>AG52/$AG$59</f>
        <v>1.9760302336203614E-2</v>
      </c>
    </row>
    <row r="53" spans="1:35" x14ac:dyDescent="0.15">
      <c r="C53" s="137" t="s">
        <v>138</v>
      </c>
      <c r="D53" s="173">
        <f>SUMIF(Table13[Scope/Sub-Type],'INN Income Splits'!$A43,Table13[Earned Income - Sponsorships/Underwriting])</f>
        <v>60116</v>
      </c>
      <c r="E53" s="167">
        <f t="shared" ref="E53:E57" si="57">D53/$D$58</f>
        <v>0.11985868574021979</v>
      </c>
      <c r="F53" s="173">
        <f>AVERAGEIFS(Table13[Earned Income - Sponsorships/Underwriting],Table13[Scope/Sub-Type],A43,Table13[Earned Income - Sponsorships/Underwriting],"&gt;0")</f>
        <v>30058</v>
      </c>
      <c r="G53" s="167">
        <f t="shared" ref="G53:G57" si="58">F53/$F$58</f>
        <v>0.10407390643873073</v>
      </c>
      <c r="H53" s="179">
        <f t="shared" ref="H53:H57" si="59">F53/$F$59</f>
        <v>4.021632529692263E-2</v>
      </c>
      <c r="L53" s="137" t="s">
        <v>138</v>
      </c>
      <c r="M53" s="173">
        <f>SUMIF(Table13[Scope/Sub-Type],'INN Income Splits'!$J43,Table13[Earned Income - Sponsorships/Underwriting])</f>
        <v>45540</v>
      </c>
      <c r="N53" s="179">
        <f t="shared" ref="N53:N57" si="60">M53/$M$58</f>
        <v>0.24472258486376303</v>
      </c>
      <c r="O53" s="173">
        <f>AVERAGEIFS(Table13[Earned Income - Sponsorships/Underwriting],Table13[Scope/Sub-Type],J43,Table13[Earned Income - Sponsorships/Underwriting],"&gt;0")</f>
        <v>22770</v>
      </c>
      <c r="P53" s="179">
        <f t="shared" ref="P53:P57" si="61">O53/$O$58</f>
        <v>0.22313875379210935</v>
      </c>
      <c r="Q53" s="179">
        <f t="shared" si="56"/>
        <v>6.8073593276459978E-3</v>
      </c>
      <c r="U53" s="137" t="s">
        <v>138</v>
      </c>
      <c r="V53" s="173">
        <f>SUMIF(Table13[Scope/Sub-Type],'INN Income Splits'!$S43,Table13[Earned Income - Sponsorships/Underwriting])</f>
        <v>0</v>
      </c>
      <c r="W53" s="179">
        <f t="shared" ref="W53:W57" si="62">V53/$V$58</f>
        <v>0</v>
      </c>
      <c r="X53" s="173">
        <f>IFERROR(AVERAGEIFS(Table13[Earned Income - Sponsorships/Underwriting],Table13[Scope/Sub-Type],S43,Table13[Earned Income - Sponsorships/Underwriting],"&gt;0"),0)</f>
        <v>0</v>
      </c>
      <c r="Y53" s="179">
        <f t="shared" ref="Y53:Y57" si="63">X53/$X$58</f>
        <v>0</v>
      </c>
      <c r="Z53" s="179">
        <f t="shared" ref="Z53:Z57" si="64">X53/$X$59</f>
        <v>0</v>
      </c>
      <c r="AD53" s="137" t="s">
        <v>138</v>
      </c>
      <c r="AE53" s="173">
        <f>SUMIF(Table13[Scope/Sub-Type],'INN Income Splits'!$AB43,Table13[Earned Income - Sponsorships/Underwriting])</f>
        <v>1234613</v>
      </c>
      <c r="AF53" s="179">
        <f t="shared" ref="AF53:AF57" si="65">AE53/$AE$58</f>
        <v>0.44694228466547642</v>
      </c>
      <c r="AG53" s="173">
        <f>AVERAGEIFS(Table13[Earned Income - Sponsorships/Underwriting],Table13[Scope/Sub-Type],AB43,Table13[Earned Income - Sponsorships/Underwriting],"&gt;0")</f>
        <v>205768.83333333334</v>
      </c>
      <c r="AH53" s="179">
        <f t="shared" ref="AH53:AH57" si="66">AG53/$AG$58</f>
        <v>0.45720488619219418</v>
      </c>
      <c r="AI53" s="179">
        <f t="shared" ref="AI53:AI57" si="67">AG53/$AG$59</f>
        <v>5.2669868846973521E-2</v>
      </c>
    </row>
    <row r="54" spans="1:35" x14ac:dyDescent="0.15">
      <c r="C54" s="137" t="s">
        <v>139</v>
      </c>
      <c r="D54" s="173">
        <f>SUMIF(Table13[Scope/Sub-Type],'INN Income Splits'!$A43,Table13[Earned Income - Subscriptions])</f>
        <v>145925</v>
      </c>
      <c r="E54" s="167">
        <f t="shared" si="57"/>
        <v>0.29094382055761486</v>
      </c>
      <c r="F54" s="173">
        <f>AVERAGEIFS(Table13[Earned Income - Subscriptions],Table13[Scope/Sub-Type],$A$43,Table13[Earned Income - Subscriptions],"&gt;0")</f>
        <v>145925</v>
      </c>
      <c r="G54" s="167">
        <f t="shared" si="58"/>
        <v>0.50525599830566836</v>
      </c>
      <c r="H54" s="179">
        <f t="shared" si="59"/>
        <v>0.19524144217690581</v>
      </c>
      <c r="L54" s="137" t="s">
        <v>139</v>
      </c>
      <c r="M54" s="173">
        <f>SUMIF(Table13[Scope/Sub-Type],'INN Income Splits'!$J43,Table13[Earned Income - Subscriptions])</f>
        <v>0</v>
      </c>
      <c r="N54" s="179">
        <f t="shared" si="60"/>
        <v>0</v>
      </c>
      <c r="O54" s="173">
        <f>IFERROR(AVERAGEIFS(Table13[Earned Income - Subscriptions],Table13[Scope/Sub-Type],$J$43,Table13[Earned Income - Subscriptions],"&gt;0"),0)</f>
        <v>0</v>
      </c>
      <c r="P54" s="179">
        <f t="shared" si="61"/>
        <v>0</v>
      </c>
      <c r="Q54" s="179">
        <f t="shared" si="56"/>
        <v>0</v>
      </c>
      <c r="U54" s="137" t="s">
        <v>139</v>
      </c>
      <c r="V54" s="173">
        <f>SUMIF(Table13[Scope/Sub-Type],'INN Income Splits'!$S43,Table13[Earned Income - Subscriptions])</f>
        <v>0</v>
      </c>
      <c r="W54" s="179">
        <f t="shared" si="62"/>
        <v>0</v>
      </c>
      <c r="X54" s="173">
        <f>IFERROR(AVERAGEIFS(Table13[Earned Income - Subscriptions],Table13[Scope/Sub-Type],$S$43,Table13[Earned Income - Subscriptions],"&gt;0"),0)</f>
        <v>0</v>
      </c>
      <c r="Y54" s="179">
        <f t="shared" si="63"/>
        <v>0</v>
      </c>
      <c r="Z54" s="179">
        <f t="shared" si="64"/>
        <v>0</v>
      </c>
      <c r="AD54" s="137" t="s">
        <v>139</v>
      </c>
      <c r="AE54" s="173">
        <f>SUMIF(Table13[Scope/Sub-Type],'INN Income Splits'!$AB43,Table13[Earned Income - Subscriptions])</f>
        <v>378349.49</v>
      </c>
      <c r="AF54" s="179">
        <f t="shared" si="65"/>
        <v>0.13696630884545832</v>
      </c>
      <c r="AG54" s="173">
        <f>AVERAGEIFS(Table13[Earned Income - Subscriptions],Table13[Scope/Sub-Type],$AB$43,Table13[Earned Income - Subscriptions],"&gt;0")</f>
        <v>94587.372499999998</v>
      </c>
      <c r="AH54" s="179">
        <f t="shared" si="66"/>
        <v>0.21016695375351391</v>
      </c>
      <c r="AI54" s="179">
        <f t="shared" si="67"/>
        <v>2.4211171456099179E-2</v>
      </c>
    </row>
    <row r="55" spans="1:35" x14ac:dyDescent="0.15">
      <c r="C55" s="137" t="s">
        <v>140</v>
      </c>
      <c r="D55" s="173">
        <f>SUMIF(Table13[Scope/Sub-Type],'INN Income Splits'!$A43,Table13[Earned Income - Events])</f>
        <v>67988.570000000007</v>
      </c>
      <c r="E55" s="167">
        <f t="shared" si="57"/>
        <v>0.13555493787938214</v>
      </c>
      <c r="F55" s="173">
        <f>AVERAGEIFS(Table13[Earned Income - Events],Table13[Scope/Sub-Type],$A$43,Table13[Earned Income - Events],"&gt;0")</f>
        <v>33994.285000000003</v>
      </c>
      <c r="G55" s="167">
        <f t="shared" si="58"/>
        <v>0.11770304200351146</v>
      </c>
      <c r="H55" s="179">
        <f t="shared" si="59"/>
        <v>4.5482907172676085E-2</v>
      </c>
      <c r="L55" s="137" t="s">
        <v>140</v>
      </c>
      <c r="M55" s="173">
        <f>SUMIF(Table13[Scope/Sub-Type],'INN Income Splits'!$J43,Table13[Earned Income - Events])</f>
        <v>0</v>
      </c>
      <c r="N55" s="179">
        <f t="shared" si="60"/>
        <v>0</v>
      </c>
      <c r="O55" s="173">
        <f>IFERROR(AVERAGEIFS(Table13[Earned Income - Events],Table13[Scope/Sub-Type],$J$43,Table13[Earned Income - Events],"&gt;0"),0)</f>
        <v>0</v>
      </c>
      <c r="P55" s="179">
        <f t="shared" si="61"/>
        <v>0</v>
      </c>
      <c r="Q55" s="179">
        <f t="shared" si="56"/>
        <v>0</v>
      </c>
      <c r="U55" s="137" t="s">
        <v>140</v>
      </c>
      <c r="V55" s="173">
        <f>SUMIF(Table13[Scope/Sub-Type],'INN Income Splits'!$S43,Table13[Earned Income - Events])</f>
        <v>0</v>
      </c>
      <c r="W55" s="179">
        <f t="shared" si="62"/>
        <v>0</v>
      </c>
      <c r="X55" s="173">
        <f>IFERROR(AVERAGEIFS(Table13[Earned Income - Events],Table13[Scope/Sub-Type],$S$43,Table13[Earned Income - Events],"&gt;0"),0)</f>
        <v>0</v>
      </c>
      <c r="Y55" s="179">
        <f t="shared" si="63"/>
        <v>0</v>
      </c>
      <c r="Z55" s="179">
        <f t="shared" si="64"/>
        <v>0</v>
      </c>
      <c r="AD55" s="137" t="s">
        <v>140</v>
      </c>
      <c r="AE55" s="173">
        <f>SUMIF(Table13[Scope/Sub-Type],'INN Income Splits'!$AB43,Table13[Earned Income - Events])</f>
        <v>151441</v>
      </c>
      <c r="AF55" s="179">
        <f t="shared" si="65"/>
        <v>5.4823160400890338E-2</v>
      </c>
      <c r="AG55" s="173">
        <f>AVERAGEIFS(Table13[Earned Income - Events],Table13[Scope/Sub-Type],$AB$43,Table13[Earned Income - Events],"&gt;0")</f>
        <v>30288.2</v>
      </c>
      <c r="AH55" s="179">
        <f t="shared" si="66"/>
        <v>6.72983989345637E-2</v>
      </c>
      <c r="AI55" s="179">
        <f t="shared" si="67"/>
        <v>7.7527558268586354E-3</v>
      </c>
    </row>
    <row r="56" spans="1:35" x14ac:dyDescent="0.15">
      <c r="C56" s="137" t="s">
        <v>251</v>
      </c>
      <c r="D56" s="173">
        <f>SUMIF(Table13[Scope/Sub-Type],'INN Income Splits'!$A43,Table13[Earned Income - Syndication])</f>
        <v>17964.739999999998</v>
      </c>
      <c r="E56" s="167">
        <f t="shared" si="57"/>
        <v>3.5817920787556655E-2</v>
      </c>
      <c r="F56" s="173">
        <f>AVERAGEIFS(Table13[Earned Income - Syndication],Table13[Scope/Sub-Type],$A$43,Table13[Earned Income - Syndication],"&gt;0")</f>
        <v>8982.369999999999</v>
      </c>
      <c r="G56" s="167">
        <f t="shared" si="58"/>
        <v>3.1100882792536481E-2</v>
      </c>
      <c r="H56" s="179">
        <f t="shared" si="59"/>
        <v>1.2018028939294659E-2</v>
      </c>
      <c r="L56" s="137" t="s">
        <v>251</v>
      </c>
      <c r="M56" s="173">
        <f>SUMIF(Table13[Scope/Sub-Type],'INN Income Splits'!$J43,Table13[Earned Income - Syndication])</f>
        <v>18000</v>
      </c>
      <c r="N56" s="179">
        <f t="shared" si="60"/>
        <v>9.6728294412554552E-2</v>
      </c>
      <c r="O56" s="173">
        <f>AVERAGEIFS(Table13[Earned Income - Syndication],Table13[Scope/Sub-Type],$J$43,Table13[Earned Income - Syndication],"&gt;0")</f>
        <v>18000</v>
      </c>
      <c r="P56" s="179">
        <f t="shared" si="61"/>
        <v>0.17639427177241845</v>
      </c>
      <c r="Q56" s="179">
        <f t="shared" si="56"/>
        <v>2.6906558607296435E-3</v>
      </c>
      <c r="U56" s="137" t="s">
        <v>251</v>
      </c>
      <c r="V56" s="173">
        <f>SUMIF(Table13[Scope/Sub-Type],'INN Income Splits'!$S43,Table13[Earned Income - Syndication])</f>
        <v>1295</v>
      </c>
      <c r="W56" s="179">
        <f t="shared" si="62"/>
        <v>1.14698197599752E-2</v>
      </c>
      <c r="X56" s="173">
        <f>AVERAGEIFS(Table13[Earned Income - Syndication],Table13[Scope/Sub-Type],$S$43,Table13[Earned Income - Syndication],"&gt;0")</f>
        <v>647.5</v>
      </c>
      <c r="Y56" s="179">
        <f t="shared" si="63"/>
        <v>8.0084433936010776E-3</v>
      </c>
      <c r="Z56" s="179">
        <f t="shared" si="64"/>
        <v>8.4218127910302986E-4</v>
      </c>
      <c r="AD56" s="137" t="s">
        <v>251</v>
      </c>
      <c r="AE56" s="173">
        <f>SUMIF(Table13[Scope/Sub-Type],'INN Income Splits'!$AB43,Table13[Earned Income - Syndication])</f>
        <v>90156.98</v>
      </c>
      <c r="AF56" s="179">
        <f t="shared" si="65"/>
        <v>3.263773070568645E-2</v>
      </c>
      <c r="AG56" s="173">
        <f>AVERAGEIFS(Table13[Earned Income - Syndication],Table13[Scope/Sub-Type],$AB$43,Table13[Earned Income - Syndication],"&gt;0")</f>
        <v>18031.396000000001</v>
      </c>
      <c r="AH56" s="179">
        <f t="shared" si="66"/>
        <v>4.0064582291291534E-2</v>
      </c>
      <c r="AI56" s="179">
        <f t="shared" si="67"/>
        <v>4.6154281339067854E-3</v>
      </c>
    </row>
    <row r="57" spans="1:35" x14ac:dyDescent="0.15">
      <c r="B57" s="140"/>
      <c r="C57" s="140" t="s">
        <v>248</v>
      </c>
      <c r="D57" s="184">
        <f>SUMIF(Table13[Scope/Sub-Type],'INN Income Splits'!$A43,Table13[Earned Income - Other])</f>
        <v>44302</v>
      </c>
      <c r="E57" s="185">
        <f t="shared" si="57"/>
        <v>8.8328889075507649E-2</v>
      </c>
      <c r="F57" s="184">
        <f>AVERAGEIFS(Table13[Earned Income - Other],Table13[Scope/Sub-Type],$A$43,Table13[Earned Income - Other],"&gt;0")</f>
        <v>14767.333333333334</v>
      </c>
      <c r="G57" s="185">
        <f t="shared" si="58"/>
        <v>5.1130949087859569E-2</v>
      </c>
      <c r="H57" s="179">
        <f t="shared" si="59"/>
        <v>1.97580637800726E-2</v>
      </c>
      <c r="K57" s="140"/>
      <c r="L57" s="140" t="s">
        <v>248</v>
      </c>
      <c r="M57" s="184">
        <f>SUMIF(Table13[Scope/Sub-Type],'INN Income Splits'!$J43,Table13[Earned Income - Other])</f>
        <v>121448.26</v>
      </c>
      <c r="N57" s="185">
        <f t="shared" si="60"/>
        <v>0.65263794717624846</v>
      </c>
      <c r="O57" s="184">
        <f>AVERAGEIFS(Table13[Earned Income - Other],Table13[Scope/Sub-Type],$J$43,Table13[Earned Income - Other],"&gt;0")</f>
        <v>60724.13</v>
      </c>
      <c r="P57" s="185">
        <f t="shared" si="61"/>
        <v>0.59507714946464818</v>
      </c>
      <c r="Q57" s="185">
        <f t="shared" si="56"/>
        <v>1.8154192919134306E-2</v>
      </c>
      <c r="T57" s="140"/>
      <c r="U57" s="140" t="s">
        <v>248</v>
      </c>
      <c r="V57" s="184">
        <f>SUMIF(Table13[Scope/Sub-Type],'INN Income Splits'!$S43,Table13[Earned Income - Other])</f>
        <v>64502</v>
      </c>
      <c r="W57" s="185">
        <f t="shared" si="62"/>
        <v>0.57129445108719723</v>
      </c>
      <c r="X57" s="184">
        <f>AVERAGEIFS(Table13[Earned Income - Other],Table13[Scope/Sub-Type],$S$43,Table13[Earned Income - Other],"&gt;0")</f>
        <v>64502</v>
      </c>
      <c r="Y57" s="185">
        <f t="shared" si="63"/>
        <v>0.79777701277846602</v>
      </c>
      <c r="Z57" s="185">
        <f t="shared" si="64"/>
        <v>8.3895562725411016E-2</v>
      </c>
      <c r="AC57" s="140"/>
      <c r="AD57" s="140" t="s">
        <v>248</v>
      </c>
      <c r="AE57" s="184">
        <f>SUMIF(Table13[Scope/Sub-Type],'INN Income Splits'!$AB43,Table13[Earned Income - Other])</f>
        <v>290203</v>
      </c>
      <c r="AF57" s="185">
        <f t="shared" si="65"/>
        <v>0.10505639567765386</v>
      </c>
      <c r="AG57" s="184">
        <f>AVERAGEIFS(Table13[Earned Income - Other],Table13[Scope/Sub-Type],$AB$43,Table13[Earned Income - Other],"&gt;0")</f>
        <v>24183.583333333332</v>
      </c>
      <c r="AH57" s="185">
        <f t="shared" si="66"/>
        <v>5.3734340067548826E-2</v>
      </c>
      <c r="AI57" s="185">
        <f t="shared" si="67"/>
        <v>6.1901802220607821E-3</v>
      </c>
    </row>
    <row r="58" spans="1:35" ht="13" thickBot="1" x14ac:dyDescent="0.2">
      <c r="B58" s="214"/>
      <c r="C58" s="214" t="s">
        <v>60</v>
      </c>
      <c r="D58" s="215">
        <f>SUM(D52:D57)</f>
        <v>501557.31</v>
      </c>
      <c r="E58" s="216">
        <f t="shared" ref="E58" si="68">SUM(E52:E57)</f>
        <v>1</v>
      </c>
      <c r="F58" s="215">
        <f>SUM(F52:F57)</f>
        <v>288813.98833333334</v>
      </c>
      <c r="G58" s="217">
        <f>SUM(G52:G57)</f>
        <v>1</v>
      </c>
      <c r="H58" s="216">
        <f>SUM(H52:H57)</f>
        <v>0.38642082989935961</v>
      </c>
      <c r="K58" s="214"/>
      <c r="L58" s="214" t="s">
        <v>60</v>
      </c>
      <c r="M58" s="215">
        <f>SUM(M52:M57)</f>
        <v>186088.26</v>
      </c>
      <c r="N58" s="216">
        <f t="shared" ref="N58" si="69">SUM(N52:N57)</f>
        <v>0.99999999999999989</v>
      </c>
      <c r="O58" s="215">
        <f>SUM(O52:O57)</f>
        <v>102044.13</v>
      </c>
      <c r="P58" s="217">
        <f>SUM(P52:P57)</f>
        <v>0.99999999999999989</v>
      </c>
      <c r="Q58" s="216">
        <f>SUM(Q52:Q57)</f>
        <v>2.7816637076776757E-2</v>
      </c>
      <c r="T58" s="214"/>
      <c r="U58" s="214"/>
      <c r="V58" s="215">
        <f>SUM(V52:V57)</f>
        <v>112905</v>
      </c>
      <c r="W58" s="216">
        <f t="shared" ref="W58" si="70">SUM(W52:W57)</f>
        <v>1</v>
      </c>
      <c r="X58" s="215">
        <f>SUM(X52:X57)</f>
        <v>80852.166666666672</v>
      </c>
      <c r="Y58" s="217">
        <f>SUM(Y52:Y57)</f>
        <v>1</v>
      </c>
      <c r="Z58" s="216">
        <f>SUM(Z52:Z57)</f>
        <v>0.1051616697167331</v>
      </c>
      <c r="AC58" s="214"/>
      <c r="AD58" s="214" t="s">
        <v>60</v>
      </c>
      <c r="AE58" s="215">
        <f>SUM(AE52:AE57)</f>
        <v>2762354.43</v>
      </c>
      <c r="AF58" s="216">
        <f t="shared" ref="AF58" si="71">SUM(AF52:AF57)</f>
        <v>0.99999999999999989</v>
      </c>
      <c r="AG58" s="215">
        <f>SUM(AG52:AG57)</f>
        <v>450058.2551666667</v>
      </c>
      <c r="AH58" s="217">
        <f>SUM(AH52:AH57)</f>
        <v>0.99999999999999989</v>
      </c>
      <c r="AI58" s="216">
        <f>SUM(AI52:AI57)</f>
        <v>0.1151997068221025</v>
      </c>
    </row>
    <row r="59" spans="1:35" s="136" customFormat="1" ht="13" thickTop="1" x14ac:dyDescent="0.15">
      <c r="B59" s="136" t="s">
        <v>60</v>
      </c>
      <c r="D59" s="204">
        <f>D50+D58</f>
        <v>2530202.67</v>
      </c>
      <c r="E59" s="168"/>
      <c r="F59" s="204">
        <f>F50+F58</f>
        <v>747407.91899999999</v>
      </c>
      <c r="G59" s="218"/>
      <c r="H59" s="168">
        <f>H58+H50</f>
        <v>1</v>
      </c>
      <c r="K59" s="136" t="s">
        <v>60</v>
      </c>
      <c r="M59" s="204">
        <f>M50+M58</f>
        <v>6689818.7400000002</v>
      </c>
      <c r="N59" s="168"/>
      <c r="O59" s="204"/>
      <c r="P59" s="218"/>
      <c r="Q59" s="168">
        <f>Q50+Q58</f>
        <v>1</v>
      </c>
      <c r="T59" s="136" t="s">
        <v>60</v>
      </c>
      <c r="V59" s="204">
        <f>V50+V58</f>
        <v>3957432.45</v>
      </c>
      <c r="W59" s="168"/>
      <c r="X59" s="204">
        <f>X50+X58</f>
        <v>768836.84791666665</v>
      </c>
      <c r="Y59" s="218"/>
      <c r="Z59" s="168">
        <f>Z50+Z58</f>
        <v>1</v>
      </c>
      <c r="AC59" s="136" t="s">
        <v>60</v>
      </c>
      <c r="AE59" s="204">
        <f>AE50+AE58</f>
        <v>65544319.649999999</v>
      </c>
      <c r="AF59" s="168"/>
      <c r="AG59" s="204">
        <f>AG50+AG58</f>
        <v>3906765.6297222218</v>
      </c>
      <c r="AH59" s="218"/>
      <c r="AI59" s="168">
        <f>AI50+AI58</f>
        <v>1</v>
      </c>
    </row>
    <row r="61" spans="1:35" x14ac:dyDescent="0.15">
      <c r="A61" s="220" t="s">
        <v>286</v>
      </c>
      <c r="B61" s="221"/>
      <c r="C61" s="221"/>
      <c r="D61" s="221"/>
      <c r="E61" s="221"/>
      <c r="F61" s="221"/>
      <c r="G61" s="221"/>
      <c r="H61" s="221"/>
      <c r="J61" s="220" t="s">
        <v>287</v>
      </c>
      <c r="K61" s="221"/>
      <c r="L61" s="221"/>
      <c r="M61" s="221"/>
      <c r="N61" s="221"/>
      <c r="O61" s="221"/>
      <c r="P61" s="221"/>
      <c r="Q61" s="221"/>
      <c r="S61" s="220" t="s">
        <v>288</v>
      </c>
      <c r="T61" s="221"/>
      <c r="U61" s="221"/>
      <c r="V61" s="221"/>
      <c r="W61" s="221"/>
      <c r="X61" s="221"/>
      <c r="Y61" s="221"/>
      <c r="Z61" s="221"/>
      <c r="AB61" s="220" t="s">
        <v>289</v>
      </c>
      <c r="AC61" s="221"/>
      <c r="AD61" s="221"/>
      <c r="AE61" s="221"/>
      <c r="AF61" s="221"/>
      <c r="AG61" s="221"/>
      <c r="AH61" s="221"/>
      <c r="AI61" s="221"/>
    </row>
    <row r="62" spans="1:35" ht="13" x14ac:dyDescent="0.15">
      <c r="A62" s="169"/>
      <c r="B62" s="169"/>
      <c r="C62" s="169"/>
      <c r="D62" s="169" t="s">
        <v>269</v>
      </c>
      <c r="E62" s="169" t="s">
        <v>282</v>
      </c>
      <c r="F62" s="169" t="s">
        <v>283</v>
      </c>
      <c r="G62" s="169" t="s">
        <v>284</v>
      </c>
      <c r="H62" s="169" t="s">
        <v>285</v>
      </c>
      <c r="J62" s="169"/>
      <c r="K62" s="169"/>
      <c r="L62" s="169"/>
      <c r="M62" s="169" t="s">
        <v>269</v>
      </c>
      <c r="N62" s="169" t="s">
        <v>282</v>
      </c>
      <c r="O62" s="169" t="s">
        <v>283</v>
      </c>
      <c r="P62" s="169" t="s">
        <v>284</v>
      </c>
      <c r="Q62" s="169" t="s">
        <v>285</v>
      </c>
      <c r="S62" s="169"/>
      <c r="T62" s="169"/>
      <c r="U62" s="169"/>
      <c r="V62" s="169" t="s">
        <v>269</v>
      </c>
      <c r="W62" s="169" t="s">
        <v>282</v>
      </c>
      <c r="X62" s="169" t="s">
        <v>283</v>
      </c>
      <c r="Y62" s="169" t="s">
        <v>284</v>
      </c>
      <c r="Z62" s="169" t="s">
        <v>285</v>
      </c>
      <c r="AB62" s="169"/>
      <c r="AC62" s="169"/>
      <c r="AD62" s="169"/>
      <c r="AE62" s="169" t="s">
        <v>269</v>
      </c>
      <c r="AF62" s="169" t="s">
        <v>282</v>
      </c>
      <c r="AG62" s="169" t="s">
        <v>283</v>
      </c>
      <c r="AH62" s="169" t="s">
        <v>284</v>
      </c>
      <c r="AI62" s="169" t="s">
        <v>285</v>
      </c>
    </row>
    <row r="63" spans="1:35" x14ac:dyDescent="0.15">
      <c r="B63" s="137" t="s">
        <v>246</v>
      </c>
      <c r="D63" s="173"/>
      <c r="K63" s="137" t="s">
        <v>246</v>
      </c>
      <c r="M63" s="173"/>
      <c r="T63" s="137" t="s">
        <v>246</v>
      </c>
      <c r="V63" s="173"/>
      <c r="AC63" s="137" t="s">
        <v>246</v>
      </c>
      <c r="AE63" s="173"/>
    </row>
    <row r="64" spans="1:35" x14ac:dyDescent="0.15">
      <c r="C64" s="137" t="s">
        <v>134</v>
      </c>
      <c r="D64" s="173">
        <f>SUMIF(Table13[Scope/Sub-Type],'INN Income Splits'!A61,Table13[Cont. Income - Foundation])</f>
        <v>0</v>
      </c>
      <c r="E64" s="167">
        <f>D64/$D$13</f>
        <v>0</v>
      </c>
      <c r="F64" s="173">
        <f>AVERAGEIFS(Table13[Cont. Income - Foundation],Table13[Scope/Content Type],$A61,Table13[Cont. Income - Foundation],"&gt;0")</f>
        <v>236082.644</v>
      </c>
      <c r="G64" s="179">
        <f>F64/$F$68</f>
        <v>0.54973444954276496</v>
      </c>
      <c r="H64" s="179">
        <f>F64/$F$77</f>
        <v>0.29803991630108756</v>
      </c>
      <c r="L64" s="137" t="s">
        <v>134</v>
      </c>
      <c r="M64" s="173">
        <f>SUMIF(Table13[Scope/Sub-Type],'INN Income Splits'!J61,Table13[Cont. Income - Foundation])</f>
        <v>0</v>
      </c>
      <c r="N64" s="167">
        <f>M64/$D$13</f>
        <v>0</v>
      </c>
      <c r="O64" s="173">
        <f>AVERAGEIFS(Table13[Cont. Income - Foundation],Table13[Scope/Content Type],$J61,Table13[Cont. Income - Foundation],"&gt;0")</f>
        <v>672987.21052631584</v>
      </c>
      <c r="P64" s="179">
        <f>O64/$O$68</f>
        <v>0.38548975389220064</v>
      </c>
      <c r="Q64" s="179">
        <f>O64/$O$77</f>
        <v>0.31835755145238148</v>
      </c>
      <c r="U64" s="137" t="s">
        <v>134</v>
      </c>
      <c r="V64" s="173">
        <f>SUMIF(Table13[Scope/Sub-Type],'INN Income Splits'!S61,Table13[Cont. Income - Foundation])</f>
        <v>0</v>
      </c>
      <c r="W64" s="167">
        <f>V64/$D$13</f>
        <v>0</v>
      </c>
      <c r="X64" s="173">
        <f>AVERAGEIFS(Table13[Cont. Income - Foundation],Table13[Scope/Content Type],$S61,Table13[Cont. Income - Foundation],"&gt;0")</f>
        <v>256565</v>
      </c>
      <c r="Y64" s="179">
        <f>X64/$O$68</f>
        <v>0.14696145359137555</v>
      </c>
      <c r="Z64" s="179">
        <f>X64/$O$77</f>
        <v>0.12136843599821479</v>
      </c>
      <c r="AD64" s="137" t="s">
        <v>134</v>
      </c>
      <c r="AE64" s="173">
        <f>SUMIF(Table13[Scope/Sub-Type],'INN Income Splits'!AB61,Table13[Cont. Income - Foundation])</f>
        <v>0</v>
      </c>
      <c r="AF64" s="167">
        <f>AE64/$D$13</f>
        <v>0</v>
      </c>
      <c r="AG64" s="173">
        <f>AVERAGEIFS(Table13[Cont. Income - Foundation],Table13[Scope/Content Type],$AB61,Table13[Cont. Income - Foundation],"&gt;0")</f>
        <v>861863.35636363633</v>
      </c>
      <c r="AH64" s="179">
        <f>AG64/$AG$68</f>
        <v>0.44939346765002469</v>
      </c>
      <c r="AI64" s="179">
        <f>AG64/$AG$77</f>
        <v>0.34675881114511542</v>
      </c>
    </row>
    <row r="65" spans="1:35" x14ac:dyDescent="0.15">
      <c r="C65" s="137" t="s">
        <v>135</v>
      </c>
      <c r="D65" s="173">
        <f>SUMIF(Table13[Scope/Sub-Type],'INN Income Splits'!A61,Table13[Cont. Income - Membership])</f>
        <v>0</v>
      </c>
      <c r="E65" s="167">
        <f t="shared" ref="E65:E67" si="72">D65/$D$13</f>
        <v>0</v>
      </c>
      <c r="F65" s="173">
        <f>AVERAGEIFS(Table13[Cont. Income - Membership],Table13[Scope/Content Type],$A$61,Table13[Cont. Income - Membership],"&gt;0")</f>
        <v>25196.196</v>
      </c>
      <c r="G65" s="179">
        <f t="shared" ref="G65:G67" si="73">F65/$F$68</f>
        <v>5.8671051390934169E-2</v>
      </c>
      <c r="H65" s="179">
        <f t="shared" ref="H65:H67" si="74">F65/$F$77</f>
        <v>3.1808658271998164E-2</v>
      </c>
      <c r="L65" s="137" t="s">
        <v>135</v>
      </c>
      <c r="M65" s="173">
        <f>SUMIF(Table13[Scope/Sub-Type],'INN Income Splits'!J61,Table13[Cont. Income - Membership])</f>
        <v>0</v>
      </c>
      <c r="N65" s="167">
        <f t="shared" ref="N65:N67" si="75">M65/$D$13</f>
        <v>0</v>
      </c>
      <c r="O65" s="173">
        <f>AVERAGEIFS(Table13[Cont. Income - Membership],Table13[Scope/Content Type],$J61,Table13[Cont. Income - Membership],"&gt;0")</f>
        <v>429193</v>
      </c>
      <c r="P65" s="179">
        <f t="shared" ref="P65:P67" si="76">O65/$O$68</f>
        <v>0.24584345936212362</v>
      </c>
      <c r="Q65" s="179">
        <f t="shared" ref="Q65:Q67" si="77">O65/$O$77</f>
        <v>0.20303035547086234</v>
      </c>
      <c r="U65" s="137" t="s">
        <v>135</v>
      </c>
      <c r="V65" s="173">
        <f>SUMIF(Table13[Scope/Sub-Type],'INN Income Splits'!S61,Table13[Cont. Income - Membership])</f>
        <v>0</v>
      </c>
      <c r="W65" s="167">
        <f t="shared" ref="W65:W67" si="78">V65/$D$13</f>
        <v>0</v>
      </c>
      <c r="X65" s="173">
        <f>AVERAGEIFS(Table13[Cont. Income - Membership],Table13[Scope/Content Type],$S61,Table13[Cont. Income - Membership],"&gt;0")</f>
        <v>76396.666666666672</v>
      </c>
      <c r="Y65" s="179">
        <f t="shared" ref="Y65:Y67" si="79">X65/$O$68</f>
        <v>4.3760314863169655E-2</v>
      </c>
      <c r="Z65" s="179">
        <f t="shared" ref="Z65:Z67" si="80">X65/$O$77</f>
        <v>3.6139551181222231E-2</v>
      </c>
      <c r="AD65" s="137" t="s">
        <v>135</v>
      </c>
      <c r="AE65" s="173">
        <f>SUMIF(Table13[Scope/Sub-Type],'INN Income Splits'!AB61,Table13[Cont. Income - Membership])</f>
        <v>0</v>
      </c>
      <c r="AF65" s="167">
        <f t="shared" ref="AF65:AF67" si="81">AE65/$D$13</f>
        <v>0</v>
      </c>
      <c r="AG65" s="173">
        <f>AVERAGEIFS(Table13[Cont. Income - Membership],Table13[Scope/Content Type],$AB61,Table13[Cont. Income - Membership],"&gt;0")</f>
        <v>201954.71666666667</v>
      </c>
      <c r="AH65" s="179">
        <f t="shared" ref="AH65:AH67" si="82">AG65/$AG$68</f>
        <v>0.10530338685477125</v>
      </c>
      <c r="AI65" s="179">
        <f t="shared" ref="AI65:AI67" si="83">AG65/$AG$77</f>
        <v>8.1253689392190812E-2</v>
      </c>
    </row>
    <row r="66" spans="1:35" x14ac:dyDescent="0.15">
      <c r="C66" s="137" t="s">
        <v>247</v>
      </c>
      <c r="D66" s="173">
        <f>SUMIF(Table13[Scope/Sub-Type],'INN Income Splits'!A61,Table13[Total Individual Donations])</f>
        <v>0</v>
      </c>
      <c r="E66" s="167">
        <f t="shared" si="72"/>
        <v>0</v>
      </c>
      <c r="F66" s="173">
        <f>AVERAGEIFS(Table13[Total Individual Donations],Table13[Scope/Content Type],$A$61,Table13[Total Individual Donations],"&gt;0")</f>
        <v>99512.426818181804</v>
      </c>
      <c r="G66" s="179">
        <f t="shared" si="73"/>
        <v>0.23172143556456379</v>
      </c>
      <c r="H66" s="179">
        <f t="shared" si="74"/>
        <v>0.12562835987133814</v>
      </c>
      <c r="L66" s="137" t="s">
        <v>247</v>
      </c>
      <c r="M66" s="173">
        <f>SUMIF(Table13[Scope/Sub-Type],'INN Income Splits'!J61,Table13[Total Individual Donations])</f>
        <v>0</v>
      </c>
      <c r="N66" s="167">
        <f t="shared" si="75"/>
        <v>0</v>
      </c>
      <c r="O66" s="173">
        <f>AVERAGEIFS(Table13[Total Individual Donations],Table13[Scope/Content Type],$J61,Table13[Total Individual Donations],"&gt;0")</f>
        <v>620242.7094736842</v>
      </c>
      <c r="P66" s="179">
        <f t="shared" si="76"/>
        <v>0.35527749367102246</v>
      </c>
      <c r="Q66" s="179">
        <f t="shared" si="77"/>
        <v>0.29340669065584224</v>
      </c>
      <c r="U66" s="137" t="s">
        <v>247</v>
      </c>
      <c r="V66" s="173">
        <f>SUMIF(Table13[Scope/Sub-Type],'INN Income Splits'!S61,Table13[Total Individual Donations])</f>
        <v>0</v>
      </c>
      <c r="W66" s="167">
        <f t="shared" si="78"/>
        <v>0</v>
      </c>
      <c r="X66" s="173">
        <f>AVERAGEIFS(Table13[Total Individual Donations],Table13[Scope/Content Type],$S61,Table13[Total Individual Donations],"&gt;0")</f>
        <v>1018410.0718181818</v>
      </c>
      <c r="Y66" s="179">
        <f t="shared" si="79"/>
        <v>0.58334934424608642</v>
      </c>
      <c r="Z66" s="179">
        <f t="shared" si="80"/>
        <v>0.4817603243677131</v>
      </c>
      <c r="AD66" s="137" t="s">
        <v>247</v>
      </c>
      <c r="AE66" s="173">
        <f>SUMIF(Table13[Scope/Sub-Type],'INN Income Splits'!AB61,Table13[Total Individual Donations])</f>
        <v>0</v>
      </c>
      <c r="AF66" s="167">
        <f t="shared" si="81"/>
        <v>0</v>
      </c>
      <c r="AG66" s="173">
        <f>AVERAGEIFS(Table13[Total Individual Donations],Table13[Scope/Content Type],$AB61,Table13[Total Individual Donations],"&gt;0")</f>
        <v>627342.51304347813</v>
      </c>
      <c r="AH66" s="179">
        <f t="shared" si="82"/>
        <v>0.32710942547827804</v>
      </c>
      <c r="AI66" s="179">
        <f t="shared" si="83"/>
        <v>0.25240259073268084</v>
      </c>
    </row>
    <row r="67" spans="1:35" x14ac:dyDescent="0.15">
      <c r="B67" s="140"/>
      <c r="C67" s="140" t="s">
        <v>248</v>
      </c>
      <c r="D67" s="184">
        <f>SUMIF(Table13[Scope/Sub-Type],'INN Income Splits'!A61,Table13[Cont. Income - Other])</f>
        <v>0</v>
      </c>
      <c r="E67" s="185">
        <f t="shared" si="72"/>
        <v>0</v>
      </c>
      <c r="F67" s="184">
        <f>AVERAGEIFS(Table13[Cont. Income - Other],Table13[Scope/Content Type],$A$61,Table13[Cont. Income - Other],"&gt;0")</f>
        <v>68657.25</v>
      </c>
      <c r="G67" s="185">
        <f t="shared" si="73"/>
        <v>0.15987306350173713</v>
      </c>
      <c r="H67" s="185">
        <f t="shared" si="74"/>
        <v>8.6675584010584214E-2</v>
      </c>
      <c r="K67" s="140"/>
      <c r="L67" s="140" t="s">
        <v>248</v>
      </c>
      <c r="M67" s="184">
        <f>SUMIF(Table13[Scope/Sub-Type],'INN Income Splits'!J61,Table13[Cont. Income - Other])</f>
        <v>0</v>
      </c>
      <c r="N67" s="185">
        <f t="shared" si="75"/>
        <v>0</v>
      </c>
      <c r="O67" s="184">
        <f>AVERAGEIFS(Table13[Cont. Income - Other],Table13[Scope/Content Type],$J61,Table13[Cont. Income - Other],"&gt;0")</f>
        <v>23375</v>
      </c>
      <c r="P67" s="185">
        <f t="shared" si="76"/>
        <v>1.3389293074653221E-2</v>
      </c>
      <c r="Q67" s="185">
        <f t="shared" si="77"/>
        <v>1.1057576799089005E-2</v>
      </c>
      <c r="T67" s="140"/>
      <c r="U67" s="140" t="s">
        <v>248</v>
      </c>
      <c r="V67" s="184">
        <f>SUMIF(Table13[Scope/Sub-Type],'INN Income Splits'!S61,Table13[Cont. Income - Other])</f>
        <v>0</v>
      </c>
      <c r="W67" s="185">
        <f t="shared" si="78"/>
        <v>0</v>
      </c>
      <c r="X67" s="184">
        <f>AVERAGEIFS(Table13[Cont. Income - Other],Table13[Scope/Content Type],$S61,Table13[Cont. Income - Other],"&gt;0")</f>
        <v>277943</v>
      </c>
      <c r="Y67" s="185">
        <f t="shared" si="79"/>
        <v>0.15920685711436749</v>
      </c>
      <c r="Z67" s="185">
        <f t="shared" si="80"/>
        <v>0.13148132912381583</v>
      </c>
      <c r="AC67" s="140"/>
      <c r="AD67" s="140" t="s">
        <v>248</v>
      </c>
      <c r="AE67" s="184">
        <f>SUMIF(Table13[Scope/Sub-Type],'INN Income Splits'!AB61,Table13[Cont. Income - Other])</f>
        <v>0</v>
      </c>
      <c r="AF67" s="185">
        <f t="shared" si="81"/>
        <v>0</v>
      </c>
      <c r="AG67" s="184">
        <f>AVERAGEIFS(Table13[Cont. Income - Other],Table13[Scope/Content Type],$AB61,Table13[Cont. Income - Other],"&gt;0")</f>
        <v>226676.27272727274</v>
      </c>
      <c r="AH67" s="185">
        <f t="shared" si="82"/>
        <v>0.11819372001692607</v>
      </c>
      <c r="AI67" s="185">
        <f t="shared" si="83"/>
        <v>9.1200065840310984E-2</v>
      </c>
    </row>
    <row r="68" spans="1:35" x14ac:dyDescent="0.15">
      <c r="C68" s="137" t="s">
        <v>60</v>
      </c>
      <c r="D68" s="173">
        <f>SUM(D64:D67)</f>
        <v>0</v>
      </c>
      <c r="E68" s="189">
        <f>SUM(E64:E67)</f>
        <v>0</v>
      </c>
      <c r="F68" s="194">
        <f>SUM(F64:F67)</f>
        <v>429448.51681818179</v>
      </c>
      <c r="G68" s="189">
        <f>SUM(G64:G67)</f>
        <v>1</v>
      </c>
      <c r="H68" s="189">
        <f>SUM(H64:H67)</f>
        <v>0.542152518455008</v>
      </c>
      <c r="L68" s="137" t="s">
        <v>60</v>
      </c>
      <c r="M68" s="173">
        <f>SUM(M64:M67)</f>
        <v>0</v>
      </c>
      <c r="N68" s="189">
        <f>SUM(N64:N67)</f>
        <v>0</v>
      </c>
      <c r="O68" s="194">
        <f>SUM(O64:O67)</f>
        <v>1745797.9200000002</v>
      </c>
      <c r="P68" s="189">
        <f>SUM(P64:P67)</f>
        <v>0.99999999999999989</v>
      </c>
      <c r="Q68" s="189">
        <f>SUM(Q64:Q67)</f>
        <v>0.82585217437817515</v>
      </c>
      <c r="U68" s="137" t="s">
        <v>60</v>
      </c>
      <c r="V68" s="173">
        <f>SUM(V64:V67)</f>
        <v>0</v>
      </c>
      <c r="W68" s="189">
        <f>SUM(W64:W67)</f>
        <v>0</v>
      </c>
      <c r="X68" s="194">
        <f>SUM(X64:X67)</f>
        <v>1629314.7384848485</v>
      </c>
      <c r="Y68" s="189">
        <f>SUM(Y64:Y67)</f>
        <v>0.93327796981499911</v>
      </c>
      <c r="Z68" s="189">
        <f>SUM(Z64:Z67)</f>
        <v>0.77074964067096596</v>
      </c>
      <c r="AD68" s="137" t="s">
        <v>60</v>
      </c>
      <c r="AE68" s="173">
        <f>SUM(AE64:AE67)</f>
        <v>0</v>
      </c>
      <c r="AF68" s="189">
        <f>SUM(AF64:AF67)</f>
        <v>0</v>
      </c>
      <c r="AG68" s="194">
        <f>SUM(AG64:AG67)</f>
        <v>1917836.8588010538</v>
      </c>
      <c r="AH68" s="189">
        <f>SUM(AH64:AH67)</f>
        <v>1</v>
      </c>
      <c r="AI68" s="189">
        <f>SUM(AI64:AI67)</f>
        <v>0.77161515711029804</v>
      </c>
    </row>
    <row r="69" spans="1:35" x14ac:dyDescent="0.15">
      <c r="B69" s="137" t="s">
        <v>250</v>
      </c>
      <c r="K69" s="137" t="s">
        <v>250</v>
      </c>
      <c r="T69" s="137" t="s">
        <v>250</v>
      </c>
      <c r="AC69" s="137" t="s">
        <v>250</v>
      </c>
    </row>
    <row r="70" spans="1:35" x14ac:dyDescent="0.15">
      <c r="C70" s="137" t="s">
        <v>137</v>
      </c>
      <c r="D70" s="173">
        <f>SUMIF(Table13[Scope/Sub-Type],'INN Income Splits'!$A$6,Table13[Earned Income - Advertising])</f>
        <v>5199703.7200000007</v>
      </c>
      <c r="E70" s="167">
        <f>D70/$D$21</f>
        <v>0.66628811912977526</v>
      </c>
      <c r="F70" s="173">
        <f>AVERAGEIFS(Table13[Earned Income - Advertising],Table13[Scope/Content Type],$A$61,Table13[Earned Income - Advertising],"&gt;0")</f>
        <v>166293.03076923077</v>
      </c>
      <c r="G70" s="167">
        <f>F70/$F$76</f>
        <v>0.45852560371571643</v>
      </c>
      <c r="H70" s="179">
        <f>F70/$F$77</f>
        <v>0.20993479288513778</v>
      </c>
      <c r="L70" s="137" t="s">
        <v>137</v>
      </c>
      <c r="M70" s="173">
        <f>SUMIF(Table13[Scope/Sub-Type],'INN Income Splits'!$A$6,Table13[Earned Income - Advertising])</f>
        <v>5199703.7200000007</v>
      </c>
      <c r="N70" s="167">
        <f>M70/$D$21</f>
        <v>0.66628811912977526</v>
      </c>
      <c r="O70" s="173">
        <f>AVERAGEIFS(Table13[Earned Income - Advertising],Table13[Scope/Content Type],$J61,Table13[Earned Income - Advertising],"&gt;0")</f>
        <v>64549</v>
      </c>
      <c r="P70" s="179">
        <f>O70/$O$76</f>
        <v>0.17533951747331089</v>
      </c>
      <c r="Q70" s="179">
        <f>O70/$O$77</f>
        <v>3.0534995713557056E-2</v>
      </c>
      <c r="U70" s="137" t="s">
        <v>137</v>
      </c>
      <c r="V70" s="173">
        <f>SUMIF(Table13[Scope/Sub-Type],'INN Income Splits'!$A$6,Table13[Earned Income - Advertising])</f>
        <v>5199703.7200000007</v>
      </c>
      <c r="W70" s="167">
        <f>V70/$D$21</f>
        <v>0.66628811912977526</v>
      </c>
      <c r="X70" s="173">
        <f>AVERAGEIFS(Table13[Earned Income - Advertising],Table13[Scope/Content Type],$S61,Table13[Earned Income - Advertising],"&gt;0")</f>
        <v>62286.166666666664</v>
      </c>
      <c r="Y70" s="179">
        <f>X70/$O$76</f>
        <v>0.1691928055987785</v>
      </c>
      <c r="Z70" s="179">
        <f>X70/$O$77</f>
        <v>2.9464559205883388E-2</v>
      </c>
      <c r="AD70" s="137" t="s">
        <v>137</v>
      </c>
      <c r="AE70" s="173">
        <f>SUMIF(Table13[Scope/Sub-Type],'INN Income Splits'!$A$6,Table13[Earned Income - Advertising])</f>
        <v>5199703.7200000007</v>
      </c>
      <c r="AF70" s="167">
        <f>AE70/$D$21</f>
        <v>0.66628811912977526</v>
      </c>
      <c r="AG70" s="173">
        <f>AVERAGEIFS(Table13[Earned Income - Advertising],Table13[Scope/Content Type],$AB61,Table13[Earned Income - Advertising],"&gt;0")</f>
        <v>165261.908</v>
      </c>
      <c r="AH70" s="179">
        <f>AG70/$AG$76</f>
        <v>0.2911351035831426</v>
      </c>
      <c r="AI70" s="179">
        <f>AG70/$AG$77</f>
        <v>6.6490844891513121E-2</v>
      </c>
    </row>
    <row r="71" spans="1:35" x14ac:dyDescent="0.15">
      <c r="C71" s="137" t="s">
        <v>138</v>
      </c>
      <c r="D71" s="173">
        <f>SUMIF(Table13[Scope/Sub-Type],'INN Income Splits'!$A$6,Table13[Earned Income - Sponsorships/Underwriting])</f>
        <v>658091.25</v>
      </c>
      <c r="E71" s="167">
        <f t="shared" ref="E71:E75" si="84">D71/$D$21</f>
        <v>8.4327570336692692E-2</v>
      </c>
      <c r="F71" s="173">
        <f>AVERAGEIFS(Table13[Earned Income - Sponsorships/Underwriting],Table13[Scope/Content Type],$A$61,Table13[Earned Income - Sponsorships/Underwriting],"&gt;0")</f>
        <v>28730.857142857141</v>
      </c>
      <c r="G71" s="167">
        <f t="shared" ref="G71:G75" si="85">F71/$F$76</f>
        <v>7.9220599659286101E-2</v>
      </c>
      <c r="H71" s="179">
        <f t="shared" ref="H71:H75" si="86">F71/$F$77</f>
        <v>3.6270952040488184E-2</v>
      </c>
      <c r="L71" s="137" t="s">
        <v>138</v>
      </c>
      <c r="M71" s="173">
        <f>SUMIF(Table13[Scope/Sub-Type],'INN Income Splits'!$A$6,Table13[Earned Income - Sponsorships/Underwriting])</f>
        <v>658091.25</v>
      </c>
      <c r="N71" s="167">
        <f t="shared" ref="N71:N75" si="87">M71/$D$21</f>
        <v>8.4327570336692692E-2</v>
      </c>
      <c r="O71" s="173">
        <f>AVERAGEIFS(Table13[Earned Income - Sponsorships/Underwriting],Table13[Scope/Content Type],$J61,Table13[Earned Income - Sponsorships/Underwriting],"&gt;0")</f>
        <v>104800.00444444445</v>
      </c>
      <c r="P71" s="179">
        <f t="shared" ref="P71:P75" si="88">O71/$O$76</f>
        <v>0.28467648159521802</v>
      </c>
      <c r="Q71" s="179">
        <f t="shared" ref="Q71:Q75" si="89">O71/$O$77</f>
        <v>4.9575790275478655E-2</v>
      </c>
      <c r="U71" s="137" t="s">
        <v>138</v>
      </c>
      <c r="V71" s="173">
        <f>SUMIF(Table13[Scope/Sub-Type],'INN Income Splits'!$A$6,Table13[Earned Income - Sponsorships/Underwriting])</f>
        <v>658091.25</v>
      </c>
      <c r="W71" s="167">
        <f t="shared" ref="W71:W75" si="90">V71/$D$21</f>
        <v>8.4327570336692692E-2</v>
      </c>
      <c r="X71" s="173">
        <f>AVERAGEIFS(Table13[Earned Income - Sponsorships/Underwriting],Table13[Scope/Content Type],$S61,Table13[Earned Income - Sponsorships/Underwriting],"&gt;0")</f>
        <v>536496.6</v>
      </c>
      <c r="Y71" s="179">
        <f t="shared" ref="Y71:Y75" si="91">X71/$O$76</f>
        <v>1.4573278434998509</v>
      </c>
      <c r="Z71" s="179">
        <f t="shared" ref="Z71:Z75" si="92">X71/$O$77</f>
        <v>0.25379047516364206</v>
      </c>
      <c r="AD71" s="137" t="s">
        <v>138</v>
      </c>
      <c r="AE71" s="173">
        <f>SUMIF(Table13[Scope/Sub-Type],'INN Income Splits'!$A$6,Table13[Earned Income - Sponsorships/Underwriting])</f>
        <v>658091.25</v>
      </c>
      <c r="AF71" s="167">
        <f t="shared" ref="AF71:AF75" si="93">AE71/$D$21</f>
        <v>8.4327570336692692E-2</v>
      </c>
      <c r="AG71" s="173">
        <f>AVERAGEIFS(Table13[Earned Income - Sponsorships/Underwriting],Table13[Scope/Content Type],$AB61,Table13[Earned Income - Sponsorships/Underwriting],"&gt;0")</f>
        <v>25975</v>
      </c>
      <c r="AH71" s="179">
        <f t="shared" ref="AH71:AH75" si="94">AG71/$AG$76</f>
        <v>4.5759088752455462E-2</v>
      </c>
      <c r="AI71" s="179">
        <f t="shared" ref="AI71:AI75" si="95">AG71/$AG$77</f>
        <v>1.0450682295505467E-2</v>
      </c>
    </row>
    <row r="72" spans="1:35" x14ac:dyDescent="0.15">
      <c r="C72" s="137" t="s">
        <v>139</v>
      </c>
      <c r="D72" s="173">
        <f>SUMIF(Table13[Scope/Sub-Type],'INN Income Splits'!$A$6,Table13[Earned Income - Subscriptions])</f>
        <v>1090306</v>
      </c>
      <c r="E72" s="167">
        <f t="shared" si="84"/>
        <v>0.13971140917542677</v>
      </c>
      <c r="F72" s="173">
        <f>AVERAGEIFS(Table13[Earned Income - Subscriptions],Table13[Scope/Content Type],$A$61,Table13[Earned Income - Subscriptions],"&gt;0")</f>
        <v>119969.66666666667</v>
      </c>
      <c r="G72" s="167">
        <f t="shared" si="85"/>
        <v>0.33079656785042466</v>
      </c>
      <c r="H72" s="179">
        <f t="shared" si="86"/>
        <v>0.15145437549404397</v>
      </c>
      <c r="L72" s="137" t="s">
        <v>139</v>
      </c>
      <c r="M72" s="173">
        <f>SUMIF(Table13[Scope/Sub-Type],'INN Income Splits'!$A$6,Table13[Earned Income - Subscriptions])</f>
        <v>1090306</v>
      </c>
      <c r="N72" s="167">
        <f t="shared" si="87"/>
        <v>0.13971140917542677</v>
      </c>
      <c r="O72" s="173">
        <f>IFERROR(AVERAGEIFS(Table13[Earned Income - Subscriptions],Table13[Scope/Content Type],$J61,Table13[Earned Income - Subscriptions],"&gt;0"),0)</f>
        <v>0</v>
      </c>
      <c r="P72" s="179">
        <f t="shared" si="88"/>
        <v>0</v>
      </c>
      <c r="Q72" s="179">
        <f t="shared" si="89"/>
        <v>0</v>
      </c>
      <c r="U72" s="137" t="s">
        <v>139</v>
      </c>
      <c r="V72" s="173">
        <f>SUMIF(Table13[Scope/Sub-Type],'INN Income Splits'!$A$6,Table13[Earned Income - Subscriptions])</f>
        <v>1090306</v>
      </c>
      <c r="W72" s="167">
        <f t="shared" si="90"/>
        <v>0.13971140917542677</v>
      </c>
      <c r="X72" s="173">
        <f>IFERROR(AVERAGEIFS(Table13[Earned Income - Subscriptions],Table13[Scope/Content Type],$S61,Table13[Earned Income - Subscriptions],"&gt;0"),0)</f>
        <v>577903.5</v>
      </c>
      <c r="Y72" s="179">
        <f t="shared" si="91"/>
        <v>1.5698046574871418</v>
      </c>
      <c r="Z72" s="179">
        <f t="shared" si="92"/>
        <v>0.27337806775239926</v>
      </c>
      <c r="AD72" s="137" t="s">
        <v>139</v>
      </c>
      <c r="AE72" s="173">
        <f>SUMIF(Table13[Scope/Sub-Type],'INN Income Splits'!$A$6,Table13[Earned Income - Subscriptions])</f>
        <v>1090306</v>
      </c>
      <c r="AF72" s="167">
        <f t="shared" si="93"/>
        <v>0.13971140917542677</v>
      </c>
      <c r="AG72" s="173">
        <f>IFERROR(AVERAGEIFS(Table13[Earned Income - Subscriptions],Table13[Scope/Content Type],$AB61,Table13[Earned Income - Subscriptions],"&gt;0"),0)</f>
        <v>217480.43625</v>
      </c>
      <c r="AH72" s="179">
        <f t="shared" si="94"/>
        <v>0.38312633625741987</v>
      </c>
      <c r="AI72" s="179">
        <f t="shared" si="95"/>
        <v>8.7500248113057955E-2</v>
      </c>
    </row>
    <row r="73" spans="1:35" x14ac:dyDescent="0.15">
      <c r="C73" s="137" t="s">
        <v>140</v>
      </c>
      <c r="D73" s="173">
        <f>SUMIF(Table13[Scope/Sub-Type],'INN Income Splits'!$A$6,Table13[Earned Income - Events])</f>
        <v>495112.13</v>
      </c>
      <c r="E73" s="167">
        <f t="shared" si="84"/>
        <v>6.3443485940779087E-2</v>
      </c>
      <c r="F73" s="173">
        <f>AVERAGEIFS(Table13[Earned Income - Events],Table13[Scope/Content Type],$A$61,Table13[Earned Income - Events],"&gt;0")</f>
        <v>18363.142500000002</v>
      </c>
      <c r="G73" s="167">
        <f t="shared" si="85"/>
        <v>5.0633336598542411E-2</v>
      </c>
      <c r="H73" s="179">
        <f t="shared" si="86"/>
        <v>2.3182345643862512E-2</v>
      </c>
      <c r="L73" s="137" t="s">
        <v>140</v>
      </c>
      <c r="M73" s="173">
        <f>SUMIF(Table13[Scope/Sub-Type],'INN Income Splits'!$A$6,Table13[Earned Income - Events])</f>
        <v>495112.13</v>
      </c>
      <c r="N73" s="167">
        <f t="shared" si="87"/>
        <v>6.3443485940779087E-2</v>
      </c>
      <c r="O73" s="173">
        <f>AVERAGEIFS(Table13[Earned Income - Events],Table13[Scope/Content Type],$J61,Table13[Earned Income - Events],"&gt;0")</f>
        <v>50562.128333333334</v>
      </c>
      <c r="P73" s="179">
        <f t="shared" si="88"/>
        <v>0.13734587963237677</v>
      </c>
      <c r="Q73" s="179">
        <f t="shared" si="89"/>
        <v>2.3918486296095293E-2</v>
      </c>
      <c r="U73" s="137" t="s">
        <v>140</v>
      </c>
      <c r="V73" s="173">
        <f>SUMIF(Table13[Scope/Sub-Type],'INN Income Splits'!$A$6,Table13[Earned Income - Events])</f>
        <v>495112.13</v>
      </c>
      <c r="W73" s="167">
        <f t="shared" si="90"/>
        <v>6.3443485940779087E-2</v>
      </c>
      <c r="X73" s="173">
        <f>AVERAGEIFS(Table13[Earned Income - Events],Table13[Scope/Content Type],$S61,Table13[Earned Income - Events],"&gt;0")</f>
        <v>45634.5</v>
      </c>
      <c r="Y73" s="179">
        <f t="shared" si="91"/>
        <v>0.12396057584371262</v>
      </c>
      <c r="Z73" s="179">
        <f t="shared" si="92"/>
        <v>2.1587464746011857E-2</v>
      </c>
      <c r="AD73" s="137" t="s">
        <v>140</v>
      </c>
      <c r="AE73" s="173">
        <f>SUMIF(Table13[Scope/Sub-Type],'INN Income Splits'!$A$6,Table13[Earned Income - Events])</f>
        <v>495112.13</v>
      </c>
      <c r="AF73" s="167">
        <f t="shared" si="93"/>
        <v>6.3443485940779087E-2</v>
      </c>
      <c r="AG73" s="173">
        <f>AVERAGEIFS(Table13[Earned Income - Events],Table13[Scope/Content Type],$AB61,Table13[Earned Income - Events],"&gt;0")</f>
        <v>79741.2</v>
      </c>
      <c r="AH73" s="179">
        <f t="shared" si="94"/>
        <v>0.14047679106938599</v>
      </c>
      <c r="AI73" s="179">
        <f t="shared" si="95"/>
        <v>3.2082769858031206E-2</v>
      </c>
    </row>
    <row r="74" spans="1:35" x14ac:dyDescent="0.15">
      <c r="C74" s="137" t="s">
        <v>251</v>
      </c>
      <c r="D74" s="173">
        <f>SUMIF(Table13[Scope/Sub-Type],'INN Income Splits'!$A$6,Table13[Earned Income - Syndication])</f>
        <v>441.48</v>
      </c>
      <c r="E74" s="167">
        <f t="shared" si="84"/>
        <v>5.6571084560451297E-5</v>
      </c>
      <c r="F74" s="173">
        <f>AVERAGEIFS(Table13[Earned Income - Syndication],Table13[Scope/Content Type],$A$61,Table13[Earned Income - Syndication],"&gt;0")</f>
        <v>6696.5</v>
      </c>
      <c r="G74" s="167">
        <f t="shared" si="85"/>
        <v>1.8464494218902849E-2</v>
      </c>
      <c r="H74" s="179">
        <f t="shared" si="86"/>
        <v>8.4539221761267339E-3</v>
      </c>
      <c r="L74" s="137" t="s">
        <v>251</v>
      </c>
      <c r="M74" s="173">
        <f>SUMIF(Table13[Scope/Sub-Type],'INN Income Splits'!$A$6,Table13[Earned Income - Syndication])</f>
        <v>441.48</v>
      </c>
      <c r="N74" s="167">
        <f t="shared" si="87"/>
        <v>5.6571084560451297E-5</v>
      </c>
      <c r="O74" s="173">
        <f>AVERAGEIFS(Table13[Earned Income - Syndication],Table13[Scope/Content Type],$J61,Table13[Earned Income - Syndication],"&gt;0")</f>
        <v>121522.75</v>
      </c>
      <c r="P74" s="179">
        <f t="shared" si="88"/>
        <v>0.33010178851771199</v>
      </c>
      <c r="Q74" s="179">
        <f t="shared" si="89"/>
        <v>5.7486508704235009E-2</v>
      </c>
      <c r="U74" s="137" t="s">
        <v>251</v>
      </c>
      <c r="V74" s="173">
        <f>SUMIF(Table13[Scope/Sub-Type],'INN Income Splits'!$A$6,Table13[Earned Income - Syndication])</f>
        <v>441.48</v>
      </c>
      <c r="W74" s="167">
        <f t="shared" si="90"/>
        <v>5.6571084560451297E-5</v>
      </c>
      <c r="X74" s="173">
        <f>AVERAGEIFS(Table13[Earned Income - Syndication],Table13[Scope/Content Type],$S61,Table13[Earned Income - Syndication],"&gt;0")</f>
        <v>3164.5</v>
      </c>
      <c r="Y74" s="179">
        <f t="shared" si="91"/>
        <v>8.5959798454552719E-3</v>
      </c>
      <c r="Z74" s="179">
        <f t="shared" si="92"/>
        <v>1.4969711991750655E-3</v>
      </c>
      <c r="AD74" s="137" t="s">
        <v>251</v>
      </c>
      <c r="AE74" s="173">
        <f>SUMIF(Table13[Scope/Sub-Type],'INN Income Splits'!$A$6,Table13[Earned Income - Syndication])</f>
        <v>441.48</v>
      </c>
      <c r="AF74" s="167">
        <f t="shared" si="93"/>
        <v>5.6571084560451297E-5</v>
      </c>
      <c r="AG74" s="173">
        <f>AVERAGEIFS(Table13[Earned Income - Syndication],Table13[Scope/Content Type],$AB61,Table13[Earned Income - Syndication],"&gt;0")</f>
        <v>46110.22</v>
      </c>
      <c r="AH74" s="179">
        <f t="shared" si="94"/>
        <v>8.1230477358046074E-2</v>
      </c>
      <c r="AI74" s="179">
        <f t="shared" si="95"/>
        <v>1.8551809809272842E-2</v>
      </c>
    </row>
    <row r="75" spans="1:35" x14ac:dyDescent="0.15">
      <c r="B75" s="140"/>
      <c r="C75" s="140" t="s">
        <v>248</v>
      </c>
      <c r="D75" s="184">
        <f>SUMIF(Table13[Scope/Sub-Type],'INN Income Splits'!$A$6,Table13[Earned Income - Other])</f>
        <v>360332.27</v>
      </c>
      <c r="E75" s="185">
        <f t="shared" si="84"/>
        <v>4.6172844332765625E-2</v>
      </c>
      <c r="F75" s="184">
        <f>AVERAGEIFS(Table13[Earned Income - Other],Table13[Scope/Content Type],$A$61,Table13[Earned Income - Other],"&gt;0")</f>
        <v>22615.821666666667</v>
      </c>
      <c r="G75" s="167">
        <f t="shared" si="85"/>
        <v>6.2359397957127527E-2</v>
      </c>
      <c r="H75" s="185">
        <f t="shared" si="86"/>
        <v>2.8551093305332755E-2</v>
      </c>
      <c r="K75" s="140"/>
      <c r="L75" s="140" t="s">
        <v>248</v>
      </c>
      <c r="M75" s="184">
        <f>SUMIF(Table13[Scope/Sub-Type],'INN Income Splits'!$A$6,Table13[Earned Income - Other])</f>
        <v>360332.27</v>
      </c>
      <c r="N75" s="185">
        <f t="shared" si="87"/>
        <v>4.6172844332765625E-2</v>
      </c>
      <c r="O75" s="184">
        <f>AVERAGEIFS(Table13[Earned Income - Other],Table13[Scope/Content Type],$J61,Table13[Earned Income - Other],"&gt;0")</f>
        <v>26703.322857142859</v>
      </c>
      <c r="P75" s="185">
        <f t="shared" si="88"/>
        <v>7.2536332781382551E-2</v>
      </c>
      <c r="Q75" s="185">
        <f t="shared" si="89"/>
        <v>1.2632044632458865E-2</v>
      </c>
      <c r="T75" s="140"/>
      <c r="U75" s="140" t="s">
        <v>248</v>
      </c>
      <c r="V75" s="184">
        <f>SUMIF(Table13[Scope/Sub-Type],'INN Income Splits'!$A$6,Table13[Earned Income - Other])</f>
        <v>360332.27</v>
      </c>
      <c r="W75" s="185">
        <f t="shared" si="90"/>
        <v>4.6172844332765625E-2</v>
      </c>
      <c r="X75" s="184">
        <f>AVERAGEIFS(Table13[Earned Income - Other],Table13[Scope/Content Type],$S61,Table13[Earned Income - Other],"&gt;0")</f>
        <v>109821.2</v>
      </c>
      <c r="Y75" s="185">
        <f t="shared" si="91"/>
        <v>0.29831594937706191</v>
      </c>
      <c r="Z75" s="185">
        <f t="shared" si="92"/>
        <v>5.1951073932325703E-2</v>
      </c>
      <c r="AC75" s="140"/>
      <c r="AD75" s="140" t="s">
        <v>248</v>
      </c>
      <c r="AE75" s="184">
        <f>SUMIF(Table13[Scope/Sub-Type],'INN Income Splits'!$A$6,Table13[Earned Income - Other])</f>
        <v>360332.27</v>
      </c>
      <c r="AF75" s="185">
        <f t="shared" si="93"/>
        <v>4.6172844332765625E-2</v>
      </c>
      <c r="AG75" s="184">
        <f>AVERAGEIFS(Table13[Earned Income - Other],Table13[Scope/Content Type],$AB61,Table13[Earned Income - Other],"&gt;0")</f>
        <v>33078.029166666667</v>
      </c>
      <c r="AH75" s="185">
        <f t="shared" si="94"/>
        <v>5.8272202979549964E-2</v>
      </c>
      <c r="AI75" s="185">
        <f t="shared" si="95"/>
        <v>1.330848792232134E-2</v>
      </c>
    </row>
    <row r="76" spans="1:35" ht="13" thickBot="1" x14ac:dyDescent="0.2">
      <c r="B76" s="214"/>
      <c r="C76" s="214" t="s">
        <v>60</v>
      </c>
      <c r="D76" s="215">
        <f>SUM(D70:D75)</f>
        <v>7803986.8500000015</v>
      </c>
      <c r="E76" s="216">
        <f t="shared" ref="E76" si="96">SUM(E70:E75)</f>
        <v>0.99999999999999989</v>
      </c>
      <c r="F76" s="215">
        <f>SUM(F70:F75)</f>
        <v>362669.01874542126</v>
      </c>
      <c r="G76" s="217">
        <f>SUM(G70:G75)</f>
        <v>1</v>
      </c>
      <c r="H76" s="216">
        <f>SUM(H70:H75)</f>
        <v>0.45784748154499189</v>
      </c>
      <c r="K76" s="214"/>
      <c r="L76" s="214" t="s">
        <v>60</v>
      </c>
      <c r="M76" s="215">
        <f>SUM(M70:M75)</f>
        <v>7803986.8500000015</v>
      </c>
      <c r="N76" s="216">
        <f t="shared" ref="N76" si="97">SUM(N70:N75)</f>
        <v>0.99999999999999989</v>
      </c>
      <c r="O76" s="215">
        <f>SUM(O70:O75)</f>
        <v>368137.20563492057</v>
      </c>
      <c r="P76" s="217">
        <f>SUM(P70:P75)</f>
        <v>1.0000000000000002</v>
      </c>
      <c r="Q76" s="216">
        <f>SUM(Q70:Q75)</f>
        <v>0.17414782562182488</v>
      </c>
      <c r="T76" s="214"/>
      <c r="U76" s="214" t="s">
        <v>60</v>
      </c>
      <c r="V76" s="215">
        <f>SUM(V70:V75)</f>
        <v>7803986.8500000015</v>
      </c>
      <c r="W76" s="216">
        <f t="shared" ref="W76" si="98">SUM(W70:W75)</f>
        <v>0.99999999999999989</v>
      </c>
      <c r="X76" s="215">
        <f>SUM(X70:X75)</f>
        <v>1335306.4666666666</v>
      </c>
      <c r="Y76" s="217">
        <f>SUM(Y70:Y75)</f>
        <v>3.6271978116520009</v>
      </c>
      <c r="Z76" s="216">
        <f>SUM(Z70:Z75)</f>
        <v>0.63166861199943714</v>
      </c>
      <c r="AC76" s="214"/>
      <c r="AD76" s="214" t="s">
        <v>60</v>
      </c>
      <c r="AE76" s="215">
        <f>SUM(AE70:AE75)</f>
        <v>7803986.8500000015</v>
      </c>
      <c r="AF76" s="216">
        <f t="shared" ref="AF76" si="99">SUM(AF70:AF75)</f>
        <v>0.99999999999999989</v>
      </c>
      <c r="AG76" s="215">
        <f>SUM(AG70:AG75)</f>
        <v>567646.79341666668</v>
      </c>
      <c r="AH76" s="217">
        <f>SUM(AH70:AH75)</f>
        <v>1</v>
      </c>
      <c r="AI76" s="216">
        <f>SUM(AI70:AI75)</f>
        <v>0.22838484288970193</v>
      </c>
    </row>
    <row r="77" spans="1:35" ht="13" thickTop="1" x14ac:dyDescent="0.15">
      <c r="A77" s="136"/>
      <c r="B77" s="136" t="s">
        <v>60</v>
      </c>
      <c r="C77" s="136"/>
      <c r="D77" s="204">
        <f>D68+D76</f>
        <v>7803986.8500000015</v>
      </c>
      <c r="E77" s="168"/>
      <c r="F77" s="204">
        <f>F68+F76</f>
        <v>792117.53556360304</v>
      </c>
      <c r="G77" s="218"/>
      <c r="H77" s="168">
        <f>H76+H68</f>
        <v>0.99999999999999989</v>
      </c>
      <c r="J77" s="136"/>
      <c r="K77" s="136" t="s">
        <v>60</v>
      </c>
      <c r="L77" s="136"/>
      <c r="M77" s="204">
        <f>M68+M76</f>
        <v>7803986.8500000015</v>
      </c>
      <c r="N77" s="168"/>
      <c r="O77" s="204">
        <f>O68+O76</f>
        <v>2113935.1256349208</v>
      </c>
      <c r="P77" s="218"/>
      <c r="Q77" s="168">
        <f>Q76+Q68</f>
        <v>1</v>
      </c>
      <c r="S77" s="136"/>
      <c r="T77" s="136" t="s">
        <v>60</v>
      </c>
      <c r="U77" s="136"/>
      <c r="V77" s="204">
        <f>V68+V76</f>
        <v>7803986.8500000015</v>
      </c>
      <c r="W77" s="168"/>
      <c r="X77" s="204">
        <f>X68+X76</f>
        <v>2964621.2051515151</v>
      </c>
      <c r="Y77" s="218"/>
      <c r="Z77" s="168">
        <f>Z76+Z68</f>
        <v>1.4024182526704032</v>
      </c>
      <c r="AB77" s="136"/>
      <c r="AC77" s="136" t="s">
        <v>60</v>
      </c>
      <c r="AD77" s="136"/>
      <c r="AE77" s="204">
        <f>AE68+AE76</f>
        <v>7803986.8500000015</v>
      </c>
      <c r="AF77" s="168"/>
      <c r="AG77" s="204">
        <f>AG68+AG76</f>
        <v>2485483.6522177206</v>
      </c>
      <c r="AH77" s="218"/>
      <c r="AI77" s="168">
        <f>AI76+AI68</f>
        <v>1</v>
      </c>
    </row>
    <row r="79" spans="1:35" x14ac:dyDescent="0.15">
      <c r="A79" s="220" t="s">
        <v>290</v>
      </c>
      <c r="B79" s="221"/>
      <c r="C79" s="221"/>
      <c r="D79" s="221"/>
      <c r="E79" s="221"/>
      <c r="F79" s="221"/>
      <c r="G79" s="221"/>
      <c r="H79" s="221"/>
      <c r="J79" s="220" t="s">
        <v>291</v>
      </c>
      <c r="K79" s="221"/>
      <c r="L79" s="221"/>
      <c r="M79" s="221"/>
      <c r="N79" s="221"/>
      <c r="O79" s="221"/>
      <c r="P79" s="221"/>
      <c r="Q79" s="221"/>
      <c r="S79" s="220" t="s">
        <v>292</v>
      </c>
      <c r="T79" s="221"/>
      <c r="U79" s="221"/>
      <c r="V79" s="221"/>
      <c r="W79" s="221"/>
      <c r="X79" s="221"/>
      <c r="Y79" s="221"/>
      <c r="Z79" s="221"/>
      <c r="AB79" s="220" t="s">
        <v>293</v>
      </c>
      <c r="AC79" s="221"/>
      <c r="AD79" s="221"/>
      <c r="AE79" s="221"/>
      <c r="AF79" s="221"/>
      <c r="AG79" s="221"/>
      <c r="AH79" s="221"/>
      <c r="AI79" s="221"/>
    </row>
    <row r="80" spans="1:35" ht="13" x14ac:dyDescent="0.15">
      <c r="A80" s="169"/>
      <c r="B80" s="169"/>
      <c r="C80" s="169"/>
      <c r="D80" s="169" t="s">
        <v>269</v>
      </c>
      <c r="E80" s="169" t="s">
        <v>282</v>
      </c>
      <c r="F80" s="169" t="s">
        <v>283</v>
      </c>
      <c r="G80" s="169" t="s">
        <v>284</v>
      </c>
      <c r="H80" s="169" t="s">
        <v>285</v>
      </c>
      <c r="J80" s="169"/>
      <c r="K80" s="169"/>
      <c r="L80" s="169"/>
      <c r="M80" s="169" t="s">
        <v>269</v>
      </c>
      <c r="N80" s="169" t="s">
        <v>282</v>
      </c>
      <c r="O80" s="169" t="s">
        <v>283</v>
      </c>
      <c r="P80" s="169" t="s">
        <v>284</v>
      </c>
      <c r="Q80" s="169" t="s">
        <v>285</v>
      </c>
      <c r="S80" s="169"/>
      <c r="T80" s="169"/>
      <c r="U80" s="169"/>
      <c r="V80" s="169" t="s">
        <v>269</v>
      </c>
      <c r="W80" s="169" t="s">
        <v>282</v>
      </c>
      <c r="X80" s="169" t="s">
        <v>283</v>
      </c>
      <c r="Y80" s="169" t="s">
        <v>284</v>
      </c>
      <c r="Z80" s="169" t="s">
        <v>285</v>
      </c>
      <c r="AB80" s="169"/>
      <c r="AC80" s="169"/>
      <c r="AD80" s="169"/>
      <c r="AE80" s="169" t="s">
        <v>269</v>
      </c>
      <c r="AF80" s="169" t="s">
        <v>282</v>
      </c>
      <c r="AG80" s="169" t="s">
        <v>283</v>
      </c>
      <c r="AH80" s="169" t="s">
        <v>284</v>
      </c>
      <c r="AI80" s="169" t="s">
        <v>285</v>
      </c>
    </row>
    <row r="81" spans="1:35" x14ac:dyDescent="0.15">
      <c r="B81" s="137" t="s">
        <v>246</v>
      </c>
      <c r="D81" s="173"/>
      <c r="K81" s="137" t="s">
        <v>246</v>
      </c>
      <c r="M81" s="173"/>
      <c r="T81" s="137" t="s">
        <v>246</v>
      </c>
      <c r="V81" s="173"/>
      <c r="AC81" s="137" t="s">
        <v>246</v>
      </c>
      <c r="AE81" s="173"/>
    </row>
    <row r="82" spans="1:35" x14ac:dyDescent="0.15">
      <c r="C82" s="137" t="s">
        <v>134</v>
      </c>
      <c r="D82" s="173">
        <f>SUMIF(Table13[Scope/Sub-Type],'INN Income Splits'!A79,Table13[Cont. Income - Foundation])</f>
        <v>0</v>
      </c>
      <c r="E82" s="167">
        <f>D82/$D$13</f>
        <v>0</v>
      </c>
      <c r="F82" s="173">
        <f>AVERAGEIFS(Table13[Cont. Income - Foundation],Table13[Scope/Content Type],$A79,Table13[Cont. Income - Foundation],"&gt;0")</f>
        <v>199414.17391304349</v>
      </c>
      <c r="G82" s="179">
        <f>F82/$F$86</f>
        <v>0.45220934091677484</v>
      </c>
      <c r="H82" s="179">
        <f>F82/$F$95</f>
        <v>0.28139818160890845</v>
      </c>
      <c r="L82" s="137" t="s">
        <v>134</v>
      </c>
      <c r="M82" s="173">
        <f>SUMIF(Table13[Scope/Sub-Type],'INN Income Splits'!J79,Table13[Cont. Income - Foundation])</f>
        <v>0</v>
      </c>
      <c r="N82" s="167">
        <f>M82/$D$13</f>
        <v>0</v>
      </c>
      <c r="O82" s="173">
        <f>AVERAGEIFS(Table13[Cont. Income - Foundation],Table13[Scope/Content Type],$J79,Table13[Cont. Income - Foundation],"&gt;0")</f>
        <v>522940.39699999988</v>
      </c>
      <c r="P82" s="179">
        <f>O82/$O$86</f>
        <v>0.43211312769614718</v>
      </c>
      <c r="Q82" s="179">
        <f>O82/$O$95</f>
        <v>0.11821920006793418</v>
      </c>
      <c r="U82" s="137" t="s">
        <v>134</v>
      </c>
      <c r="V82" s="173">
        <f>SUMIF(Table13[Scope/Sub-Type],'INN Income Splits'!S79,Table13[Cont. Income - Foundation])</f>
        <v>0</v>
      </c>
      <c r="W82" s="167">
        <f>V82/$D$13</f>
        <v>0</v>
      </c>
      <c r="X82" s="173">
        <f>AVERAGEIFS(Table13[Cont. Income - Foundation],Table13[Scope/Content Type],$S79,Table13[Cont. Income - Foundation],"&gt;0")</f>
        <v>182986.57142857142</v>
      </c>
      <c r="Y82" s="179">
        <f>X82/$X$86</f>
        <v>0.51056588984340279</v>
      </c>
      <c r="Z82" s="179">
        <f>X82/$X$95</f>
        <v>0.42614327520209178</v>
      </c>
      <c r="AD82" s="137" t="s">
        <v>134</v>
      </c>
      <c r="AE82" s="173">
        <f>SUMIF(Table13[Scope/Sub-Type],'INN Income Splits'!AB79,Table13[Cont. Income - Foundation])</f>
        <v>0</v>
      </c>
      <c r="AF82" s="167">
        <f>AE82/$D$13</f>
        <v>0</v>
      </c>
      <c r="AG82" s="173">
        <f>AVERAGEIFS(Table13[Cont. Income - Foundation],Table13[Scope/Content Type],$AB79,Table13[Cont. Income - Foundation],"&gt;0")</f>
        <v>2094934.8691666666</v>
      </c>
      <c r="AH82" s="179">
        <f>AG82/$AG$86</f>
        <v>0.36648348514922113</v>
      </c>
      <c r="AI82" s="179">
        <f>AG82/$AG$95</f>
        <v>0.34086264506349145</v>
      </c>
    </row>
    <row r="83" spans="1:35" x14ac:dyDescent="0.15">
      <c r="C83" s="137" t="s">
        <v>135</v>
      </c>
      <c r="D83" s="173">
        <f>SUMIF(Table13[Scope/Sub-Type],'INN Income Splits'!A79,Table13[Cont. Income - Membership])</f>
        <v>0</v>
      </c>
      <c r="E83" s="167">
        <f t="shared" ref="E83:E85" si="100">D83/$D$13</f>
        <v>0</v>
      </c>
      <c r="F83" s="173">
        <f>AVERAGEIFS(Table13[Cont. Income - Membership],Table13[Scope/Content Type],$A79,Table13[Cont. Income - Membership],"&gt;0")</f>
        <v>43962.375</v>
      </c>
      <c r="G83" s="179">
        <f t="shared" ref="G83:G85" si="101">F83/$F$86</f>
        <v>9.969299691081665E-2</v>
      </c>
      <c r="H83" s="179">
        <f t="shared" ref="H83:H85" si="102">F83/$F$95</f>
        <v>6.2036374553813833E-2</v>
      </c>
      <c r="L83" s="137" t="s">
        <v>135</v>
      </c>
      <c r="M83" s="173">
        <f>SUMIF(Table13[Scope/Sub-Type],'INN Income Splits'!J79,Table13[Cont. Income - Membership])</f>
        <v>0</v>
      </c>
      <c r="N83" s="167">
        <f t="shared" ref="N83:N85" si="103">M83/$D$13</f>
        <v>0</v>
      </c>
      <c r="O83" s="173">
        <f>AVERAGEIFS(Table13[Cont. Income - Membership],Table13[Scope/Content Type],$J79,Table13[Cont. Income - Membership],"&gt;0")</f>
        <v>304355.33333333331</v>
      </c>
      <c r="P83" s="179">
        <f t="shared" ref="P83:P85" si="104">O83/$O$86</f>
        <v>0.2514931639860864</v>
      </c>
      <c r="Q83" s="179">
        <f t="shared" ref="Q83:Q85" si="105">O83/$O$95</f>
        <v>6.8804483741339517E-2</v>
      </c>
      <c r="U83" s="137" t="s">
        <v>135</v>
      </c>
      <c r="V83" s="173">
        <f>SUMIF(Table13[Scope/Sub-Type],'INN Income Splits'!S79,Table13[Cont. Income - Membership])</f>
        <v>0</v>
      </c>
      <c r="W83" s="167">
        <f t="shared" ref="W83:W85" si="106">V83/$D$13</f>
        <v>0</v>
      </c>
      <c r="X83" s="173">
        <f>AVERAGEIFS(Table13[Cont. Income - Membership],Table13[Scope/Content Type],$S79,Table13[Cont. Income - Membership],"&gt;0")</f>
        <v>95892.333333333328</v>
      </c>
      <c r="Y83" s="179">
        <f t="shared" ref="Y83:Y85" si="107">X83/$X$86</f>
        <v>0.26755708965564584</v>
      </c>
      <c r="Z83" s="179">
        <f t="shared" ref="Z83:Z85" si="108">X83/$X$95</f>
        <v>0.22331623940715534</v>
      </c>
      <c r="AD83" s="137" t="s">
        <v>135</v>
      </c>
      <c r="AE83" s="173">
        <f>SUMIF(Table13[Scope/Sub-Type],'INN Income Splits'!AB79,Table13[Cont. Income - Membership])</f>
        <v>0</v>
      </c>
      <c r="AF83" s="167">
        <f t="shared" ref="AF83:AF85" si="109">AE83/$D$13</f>
        <v>0</v>
      </c>
      <c r="AG83" s="173">
        <f>AVERAGEIFS(Table13[Cont. Income - Membership],Table13[Scope/Content Type],$AB79,Table13[Cont. Income - Membership],"&gt;0")</f>
        <v>1156615.46</v>
      </c>
      <c r="AH83" s="179">
        <f t="shared" ref="AH83:AH85" si="110">AG83/$AG$86</f>
        <v>0.20233586781000154</v>
      </c>
      <c r="AI83" s="179">
        <f t="shared" ref="AI83:AI85" si="111">AG83/$AG$95</f>
        <v>0.18819057853276</v>
      </c>
    </row>
    <row r="84" spans="1:35" x14ac:dyDescent="0.15">
      <c r="C84" s="137" t="s">
        <v>247</v>
      </c>
      <c r="D84" s="173">
        <f>SUMIF(Table13[Scope/Sub-Type],'INN Income Splits'!A79,Table13[Total Individual Donations])</f>
        <v>0</v>
      </c>
      <c r="E84" s="167">
        <f t="shared" si="100"/>
        <v>0</v>
      </c>
      <c r="F84" s="173">
        <f>AVERAGEIFS(Table13[Total Individual Donations],Table13[Scope/Content Type],$A79,Table13[Total Individual Donations],"&gt;0")</f>
        <v>134437.44083333336</v>
      </c>
      <c r="G84" s="179">
        <f t="shared" si="101"/>
        <v>0.30486231405140413</v>
      </c>
      <c r="H84" s="179">
        <f t="shared" si="102"/>
        <v>0.18970793624304541</v>
      </c>
      <c r="L84" s="137" t="s">
        <v>247</v>
      </c>
      <c r="M84" s="173">
        <f>SUMIF(Table13[Scope/Sub-Type],'INN Income Splits'!J79,Table13[Total Individual Donations])</f>
        <v>0</v>
      </c>
      <c r="N84" s="167">
        <f t="shared" si="103"/>
        <v>0</v>
      </c>
      <c r="O84" s="173">
        <f>AVERAGEIFS(Table13[Total Individual Donations],Table13[Scope/Content Type],$J79,Table13[Total Individual Donations],"&gt;0")</f>
        <v>342084.29249999998</v>
      </c>
      <c r="P84" s="179">
        <f t="shared" si="104"/>
        <v>0.28266914244129182</v>
      </c>
      <c r="Q84" s="179">
        <f t="shared" si="105"/>
        <v>7.7333729899538101E-2</v>
      </c>
      <c r="U84" s="137" t="s">
        <v>247</v>
      </c>
      <c r="V84" s="173">
        <f>SUMIF(Table13[Scope/Sub-Type],'INN Income Splits'!S79,Table13[Total Individual Donations])</f>
        <v>0</v>
      </c>
      <c r="W84" s="167">
        <f t="shared" si="106"/>
        <v>0</v>
      </c>
      <c r="X84" s="173">
        <f>AVERAGEIFS(Table13[Total Individual Donations],Table13[Scope/Content Type],$S79,Table13[Total Individual Donations],"&gt;0")</f>
        <v>79520.618333333332</v>
      </c>
      <c r="Y84" s="179">
        <f t="shared" si="107"/>
        <v>0.22187702050095137</v>
      </c>
      <c r="Z84" s="179">
        <f t="shared" si="108"/>
        <v>0.18518941842620396</v>
      </c>
      <c r="AD84" s="137" t="s">
        <v>247</v>
      </c>
      <c r="AE84" s="173">
        <f>SUMIF(Table13[Scope/Sub-Type],'INN Income Splits'!AB79,Table13[Total Individual Donations])</f>
        <v>0</v>
      </c>
      <c r="AF84" s="167">
        <f t="shared" si="109"/>
        <v>0</v>
      </c>
      <c r="AG84" s="173">
        <f>AVERAGEIFS(Table13[Total Individual Donations],Table13[Scope/Content Type],$AB79,Table13[Total Individual Donations],"&gt;0")</f>
        <v>2290264.1953846151</v>
      </c>
      <c r="AH84" s="179">
        <f t="shared" si="110"/>
        <v>0.40065398528160867</v>
      </c>
      <c r="AI84" s="179">
        <f t="shared" si="111"/>
        <v>0.37264428743006495</v>
      </c>
    </row>
    <row r="85" spans="1:35" x14ac:dyDescent="0.15">
      <c r="B85" s="140"/>
      <c r="C85" s="140" t="s">
        <v>248</v>
      </c>
      <c r="D85" s="184">
        <f>SUMIF(Table13[Scope/Sub-Type],'INN Income Splits'!A79,Table13[Cont. Income - Other])</f>
        <v>0</v>
      </c>
      <c r="E85" s="185">
        <f t="shared" si="100"/>
        <v>0</v>
      </c>
      <c r="F85" s="184">
        <f>AVERAGEIFS(Table13[Cont. Income - Other],Table13[Scope/Content Type],$A79,Table13[Cont. Income - Other],"&gt;0")</f>
        <v>63163.575000000004</v>
      </c>
      <c r="G85" s="185">
        <f t="shared" si="101"/>
        <v>0.1432353481210043</v>
      </c>
      <c r="H85" s="185">
        <f t="shared" si="102"/>
        <v>8.9131653984979464E-2</v>
      </c>
      <c r="K85" s="140"/>
      <c r="L85" s="140" t="s">
        <v>248</v>
      </c>
      <c r="M85" s="184">
        <f>SUMIF(Table13[Scope/Sub-Type],'INN Income Splits'!J79,Table13[Cont. Income - Other])</f>
        <v>0</v>
      </c>
      <c r="N85" s="185">
        <f t="shared" si="103"/>
        <v>0</v>
      </c>
      <c r="O85" s="184">
        <f>AVERAGEIFS(Table13[Cont. Income - Other],Table13[Scope/Content Type],$J79,Table13[Cont. Income - Other],"&gt;0")</f>
        <v>40813.2425</v>
      </c>
      <c r="P85" s="185">
        <f t="shared" si="104"/>
        <v>3.3724565876474689E-2</v>
      </c>
      <c r="Q85" s="185">
        <f t="shared" si="105"/>
        <v>9.2264986759640517E-3</v>
      </c>
      <c r="T85" s="140"/>
      <c r="U85" s="140" t="s">
        <v>248</v>
      </c>
      <c r="V85" s="184">
        <f>SUMIF(Table13[Scope/Sub-Type],'INN Income Splits'!S79,Table13[Cont. Income - Other])</f>
        <v>0</v>
      </c>
      <c r="W85" s="185">
        <f t="shared" si="106"/>
        <v>0</v>
      </c>
      <c r="X85" s="184">
        <f>IFERROR(AVERAGEIFS(Table13[Cont. Income - Other],Table13[Scope/Content Type],$S79,Table13[Cont. Income - Other],"&gt;0"),0)</f>
        <v>0</v>
      </c>
      <c r="Y85" s="185">
        <f t="shared" si="107"/>
        <v>0</v>
      </c>
      <c r="Z85" s="185">
        <f t="shared" si="108"/>
        <v>0</v>
      </c>
      <c r="AC85" s="140"/>
      <c r="AD85" s="140" t="s">
        <v>248</v>
      </c>
      <c r="AE85" s="184">
        <f>SUMIF(Table13[Scope/Sub-Type],'INN Income Splits'!AB79,Table13[Cont. Income - Other])</f>
        <v>0</v>
      </c>
      <c r="AF85" s="185">
        <f t="shared" si="109"/>
        <v>0</v>
      </c>
      <c r="AG85" s="184">
        <f>IFERROR(AVERAGEIFS(Table13[Cont. Income - Other],Table13[Scope/Content Type],$AB79,Table13[Cont. Income - Other],"&gt;0"),0)</f>
        <v>174500</v>
      </c>
      <c r="AH85" s="185">
        <f t="shared" si="110"/>
        <v>3.0526661759168662E-2</v>
      </c>
      <c r="AI85" s="185">
        <f t="shared" si="111"/>
        <v>2.8392544531582364E-2</v>
      </c>
    </row>
    <row r="86" spans="1:35" x14ac:dyDescent="0.15">
      <c r="C86" s="137" t="s">
        <v>60</v>
      </c>
      <c r="D86" s="173">
        <f>SUM(D82:D85)</f>
        <v>0</v>
      </c>
      <c r="E86" s="189">
        <f>SUM(E82:E85)</f>
        <v>0</v>
      </c>
      <c r="F86" s="194">
        <f>SUM(F82:F85)</f>
        <v>440977.56474637688</v>
      </c>
      <c r="G86" s="189">
        <f>SUM(G82:G85)</f>
        <v>0.99999999999999978</v>
      </c>
      <c r="H86" s="189">
        <f>SUM(H82:H85)</f>
        <v>0.62227414639074718</v>
      </c>
      <c r="L86" s="137" t="s">
        <v>60</v>
      </c>
      <c r="M86" s="173">
        <f>SUM(M82:M85)</f>
        <v>0</v>
      </c>
      <c r="N86" s="189">
        <f>SUM(N82:N85)</f>
        <v>0</v>
      </c>
      <c r="O86" s="194">
        <f>SUM(O82:O85)</f>
        <v>1210193.2653333331</v>
      </c>
      <c r="P86" s="189">
        <f>SUM(P82:P85)</f>
        <v>1.0000000000000002</v>
      </c>
      <c r="Q86" s="189">
        <f>SUM(Q82:Q85)</f>
        <v>0.27358391238477586</v>
      </c>
      <c r="U86" s="137" t="s">
        <v>60</v>
      </c>
      <c r="V86" s="173">
        <f>SUM(V82:V85)</f>
        <v>0</v>
      </c>
      <c r="W86" s="189">
        <f>SUM(W82:W85)</f>
        <v>0</v>
      </c>
      <c r="X86" s="194">
        <f>SUM(X82:X85)</f>
        <v>358399.52309523808</v>
      </c>
      <c r="Y86" s="189">
        <f>SUM(Y82:Y85)</f>
        <v>1</v>
      </c>
      <c r="Z86" s="189">
        <f>SUM(Z82:Z85)</f>
        <v>0.83464893303545107</v>
      </c>
      <c r="AD86" s="137" t="s">
        <v>60</v>
      </c>
      <c r="AE86" s="173">
        <f>SUM(AE82:AE85)</f>
        <v>0</v>
      </c>
      <c r="AF86" s="189">
        <f>SUM(AF82:AF85)</f>
        <v>0</v>
      </c>
      <c r="AG86" s="194">
        <f>SUM(AG82:AG85)</f>
        <v>5716314.5245512817</v>
      </c>
      <c r="AH86" s="189">
        <f>SUM(AH82:AH85)</f>
        <v>1</v>
      </c>
      <c r="AI86" s="189">
        <f>SUM(AI82:AI85)</f>
        <v>0.93009005555789881</v>
      </c>
    </row>
    <row r="87" spans="1:35" x14ac:dyDescent="0.15">
      <c r="B87" s="137" t="s">
        <v>250</v>
      </c>
      <c r="K87" s="137" t="s">
        <v>250</v>
      </c>
      <c r="T87" s="137" t="s">
        <v>250</v>
      </c>
      <c r="AC87" s="137" t="s">
        <v>250</v>
      </c>
    </row>
    <row r="88" spans="1:35" x14ac:dyDescent="0.15">
      <c r="C88" s="137" t="s">
        <v>137</v>
      </c>
      <c r="D88" s="173">
        <f>SUMIF(Table13[Scope/Sub-Type],'INN Income Splits'!$A$6,Table13[Earned Income - Advertising])</f>
        <v>5199703.7200000007</v>
      </c>
      <c r="E88" s="167">
        <f>D88/$D$21</f>
        <v>0.66628811912977526</v>
      </c>
      <c r="F88" s="173">
        <f>AVERAGEIFS(Table13[Earned Income - Advertising],Table13[Scope/Content Type],$A79,Table13[Earned Income - Advertising],"&gt;0")</f>
        <v>151903.875</v>
      </c>
      <c r="G88" s="179">
        <f>F88/$F$94</f>
        <v>0.5674889432294844</v>
      </c>
      <c r="H88" s="179">
        <f>F88/$F$95</f>
        <v>0.21435524549516985</v>
      </c>
      <c r="L88" s="137" t="s">
        <v>137</v>
      </c>
      <c r="M88" s="173">
        <f>SUMIF(Table13[Scope/Sub-Type],'INN Income Splits'!$A$6,Table13[Earned Income - Advertising])</f>
        <v>5199703.7200000007</v>
      </c>
      <c r="N88" s="167">
        <f>M88/$D$21</f>
        <v>0.66628811912977526</v>
      </c>
      <c r="O88" s="173">
        <f>AVERAGEIFS(Table13[Earned Income - Advertising],Table13[Scope/Content Type],$J79,Table13[Earned Income - Advertising],"&gt;0")</f>
        <v>501305</v>
      </c>
      <c r="P88" s="179">
        <f>O88/$O$94</f>
        <v>0.15600998914559319</v>
      </c>
      <c r="Q88" s="179">
        <f>O88/$O$95</f>
        <v>0.11332816594403541</v>
      </c>
      <c r="U88" s="137" t="s">
        <v>137</v>
      </c>
      <c r="V88" s="173">
        <f>SUMIF(Table13[Scope/Sub-Type],'INN Income Splits'!$A$6,Table13[Earned Income - Advertising])</f>
        <v>5199703.7200000007</v>
      </c>
      <c r="W88" s="167">
        <f>V88/$D$21</f>
        <v>0.66628811912977526</v>
      </c>
      <c r="X88" s="173">
        <f>IFERROR(AVERAGEIFS(Table13[Earned Income - Advertising],Table13[Scope/Content Type],$S79,Table13[Earned Income - Advertising],"&gt;0"),0)</f>
        <v>0</v>
      </c>
      <c r="Y88" s="179">
        <f>X88/$X$94</f>
        <v>0</v>
      </c>
      <c r="Z88" s="179">
        <f>X88/$X$95</f>
        <v>0</v>
      </c>
      <c r="AD88" s="137" t="s">
        <v>137</v>
      </c>
      <c r="AE88" s="173">
        <f>SUMIF(Table13[Scope/Sub-Type],'INN Income Splits'!$A$6,Table13[Earned Income - Advertising])</f>
        <v>5199703.7200000007</v>
      </c>
      <c r="AF88" s="167">
        <f>AE88/$D$21</f>
        <v>0.66628811912977526</v>
      </c>
      <c r="AG88" s="173">
        <f>IFERROR(AVERAGEIFS(Table13[Earned Income - Advertising],Table13[Scope/Content Type],$AB79,Table13[Earned Income - Advertising],"&gt;0"),0)</f>
        <v>56713.571428571428</v>
      </c>
      <c r="AH88" s="179">
        <f>AG88/$AG$94</f>
        <v>0.13199483101288387</v>
      </c>
      <c r="AI88" s="179">
        <f>AG88/$AG$95</f>
        <v>9.2277513027552525E-3</v>
      </c>
    </row>
    <row r="89" spans="1:35" x14ac:dyDescent="0.15">
      <c r="C89" s="137" t="s">
        <v>138</v>
      </c>
      <c r="D89" s="173">
        <f>SUMIF(Table13[Scope/Sub-Type],'INN Income Splits'!$A$6,Table13[Earned Income - Sponsorships/Underwriting])</f>
        <v>658091.25</v>
      </c>
      <c r="E89" s="167">
        <f t="shared" ref="E89:E93" si="112">D89/$D$21</f>
        <v>8.4327570336692692E-2</v>
      </c>
      <c r="F89" s="173">
        <f>AVERAGEIFS(Table13[Earned Income - Sponsorships/Underwriting],Table13[Scope/Content Type],$A79,Table13[Earned Income - Sponsorships/Underwriting],"&gt;0")</f>
        <v>5731.6</v>
      </c>
      <c r="G89" s="179">
        <f t="shared" ref="G89:G93" si="113">F89/$F$94</f>
        <v>2.1412354536802389E-2</v>
      </c>
      <c r="H89" s="179">
        <f t="shared" ref="H89:H93" si="114">F89/$F$95</f>
        <v>8.0879998951976402E-3</v>
      </c>
      <c r="L89" s="137" t="s">
        <v>138</v>
      </c>
      <c r="M89" s="173">
        <f>SUMIF(Table13[Scope/Sub-Type],'INN Income Splits'!$A$6,Table13[Earned Income - Sponsorships/Underwriting])</f>
        <v>658091.25</v>
      </c>
      <c r="N89" s="167">
        <f t="shared" ref="N89:N93" si="115">M89/$D$21</f>
        <v>8.4327570336692692E-2</v>
      </c>
      <c r="O89" s="173">
        <f>AVERAGEIFS(Table13[Earned Income - Sponsorships/Underwriting],Table13[Scope/Content Type],$J79,Table13[Earned Income - Sponsorships/Underwriting],"&gt;0")</f>
        <v>258030</v>
      </c>
      <c r="P89" s="179">
        <f t="shared" ref="P89:P93" si="116">O89/$O$94</f>
        <v>8.0300929572291138E-2</v>
      </c>
      <c r="Q89" s="179">
        <f t="shared" ref="Q89:Q93" si="117">O89/$O$95</f>
        <v>5.8331887091769397E-2</v>
      </c>
      <c r="U89" s="137" t="s">
        <v>138</v>
      </c>
      <c r="V89" s="173">
        <f>SUMIF(Table13[Scope/Sub-Type],'INN Income Splits'!$A$6,Table13[Earned Income - Sponsorships/Underwriting])</f>
        <v>658091.25</v>
      </c>
      <c r="W89" s="167">
        <f t="shared" ref="W89:W93" si="118">V89/$D$21</f>
        <v>8.4327570336692692E-2</v>
      </c>
      <c r="X89" s="173">
        <f>IFERROR(AVERAGEIFS(Table13[Earned Income - Sponsorships/Underwriting],Table13[Scope/Content Type],$S79,Table13[Earned Income - Sponsorships/Underwriting],"&gt;0"),0)</f>
        <v>0</v>
      </c>
      <c r="Y89" s="179">
        <f t="shared" ref="Y89:Y93" si="119">X89/$X$94</f>
        <v>0</v>
      </c>
      <c r="Z89" s="179">
        <f t="shared" ref="Z89:Z93" si="120">X89/$X$95</f>
        <v>0</v>
      </c>
      <c r="AD89" s="137" t="s">
        <v>138</v>
      </c>
      <c r="AE89" s="173">
        <f>SUMIF(Table13[Scope/Sub-Type],'INN Income Splits'!$A$6,Table13[Earned Income - Sponsorships/Underwriting])</f>
        <v>658091.25</v>
      </c>
      <c r="AF89" s="167">
        <f t="shared" ref="AF89:AF93" si="121">AE89/$D$21</f>
        <v>8.4327570336692692E-2</v>
      </c>
      <c r="AG89" s="173">
        <f>IFERROR(AVERAGEIFS(Table13[Earned Income - Sponsorships/Underwriting],Table13[Scope/Content Type],$AB79,Table13[Earned Income - Sponsorships/Underwriting],"&gt;0"),0)</f>
        <v>164065.25</v>
      </c>
      <c r="AH89" s="179">
        <f t="shared" ref="AH89:AH93" si="122">AG89/$AG$94</f>
        <v>0.38184449336101417</v>
      </c>
      <c r="AI89" s="179">
        <f t="shared" ref="AI89:AI93" si="123">AG89/$AG$95</f>
        <v>2.6694727316390793E-2</v>
      </c>
    </row>
    <row r="90" spans="1:35" x14ac:dyDescent="0.15">
      <c r="C90" s="137" t="s">
        <v>139</v>
      </c>
      <c r="D90" s="173">
        <f>SUMIF(Table13[Scope/Sub-Type],'INN Income Splits'!$A$6,Table13[Earned Income - Subscriptions])</f>
        <v>1090306</v>
      </c>
      <c r="E90" s="167">
        <f t="shared" si="112"/>
        <v>0.13971140917542677</v>
      </c>
      <c r="F90" s="173">
        <f>AVERAGEIFS(Table13[Earned Income - Subscriptions],Table13[Scope/Content Type],$A79,Table13[Earned Income - Subscriptions],"&gt;0")</f>
        <v>11781.5</v>
      </c>
      <c r="G90" s="179">
        <f t="shared" si="113"/>
        <v>4.40138277226843E-2</v>
      </c>
      <c r="H90" s="179">
        <f t="shared" si="114"/>
        <v>1.6625160647161526E-2</v>
      </c>
      <c r="L90" s="137" t="s">
        <v>139</v>
      </c>
      <c r="M90" s="173">
        <f>SUMIF(Table13[Scope/Sub-Type],'INN Income Splits'!$A$6,Table13[Earned Income - Subscriptions])</f>
        <v>1090306</v>
      </c>
      <c r="N90" s="167">
        <f t="shared" si="115"/>
        <v>0.13971140917542677</v>
      </c>
      <c r="O90" s="173">
        <f>AVERAGEIFS(Table13[Earned Income - Subscriptions],Table13[Scope/Content Type],$J79,Table13[Earned Income - Subscriptions],"&gt;0")</f>
        <v>674937</v>
      </c>
      <c r="P90" s="179">
        <f t="shared" si="116"/>
        <v>0.21004560904830238</v>
      </c>
      <c r="Q90" s="179">
        <f t="shared" si="117"/>
        <v>0.15258050954562477</v>
      </c>
      <c r="U90" s="137" t="s">
        <v>139</v>
      </c>
      <c r="V90" s="173">
        <f>SUMIF(Table13[Scope/Sub-Type],'INN Income Splits'!$A$6,Table13[Earned Income - Subscriptions])</f>
        <v>1090306</v>
      </c>
      <c r="W90" s="167">
        <f t="shared" si="118"/>
        <v>0.13971140917542677</v>
      </c>
      <c r="X90" s="173">
        <f>IFERROR(AVERAGEIFS(Table13[Earned Income - Subscriptions],Table13[Scope/Content Type],$S79,Table13[Earned Income - Subscriptions],"&gt;0"),0)</f>
        <v>0</v>
      </c>
      <c r="Y90" s="179">
        <f t="shared" si="119"/>
        <v>0</v>
      </c>
      <c r="Z90" s="179">
        <f t="shared" si="120"/>
        <v>0</v>
      </c>
      <c r="AD90" s="137" t="s">
        <v>139</v>
      </c>
      <c r="AE90" s="173">
        <f>SUMIF(Table13[Scope/Sub-Type],'INN Income Splits'!$A$6,Table13[Earned Income - Subscriptions])</f>
        <v>1090306</v>
      </c>
      <c r="AF90" s="167">
        <f t="shared" si="121"/>
        <v>0.13971140917542677</v>
      </c>
      <c r="AG90" s="173">
        <f>IFERROR(AVERAGEIFS(Table13[Earned Income - Subscriptions],Table13[Scope/Content Type],$AB79,Table13[Earned Income - Subscriptions],"&gt;0"),0)</f>
        <v>59330</v>
      </c>
      <c r="AH90" s="179">
        <f t="shared" si="122"/>
        <v>0.13808429140911296</v>
      </c>
      <c r="AI90" s="179">
        <f t="shared" si="123"/>
        <v>9.6534651407380045E-3</v>
      </c>
    </row>
    <row r="91" spans="1:35" x14ac:dyDescent="0.15">
      <c r="C91" s="137" t="s">
        <v>140</v>
      </c>
      <c r="D91" s="173">
        <f>SUMIF(Table13[Scope/Sub-Type],'INN Income Splits'!$A$6,Table13[Earned Income - Events])</f>
        <v>495112.13</v>
      </c>
      <c r="E91" s="167">
        <f t="shared" si="112"/>
        <v>6.3443485940779087E-2</v>
      </c>
      <c r="F91" s="173">
        <f>AVERAGEIFS(Table13[Earned Income - Events],Table13[Scope/Content Type],$A79,Table13[Earned Income - Events],"&gt;0")</f>
        <v>18553.599999999999</v>
      </c>
      <c r="G91" s="179">
        <f t="shared" si="113"/>
        <v>6.931332631970423E-2</v>
      </c>
      <c r="H91" s="179">
        <f t="shared" si="114"/>
        <v>2.6181435350606973E-2</v>
      </c>
      <c r="L91" s="137" t="s">
        <v>140</v>
      </c>
      <c r="M91" s="173">
        <f>SUMIF(Table13[Scope/Sub-Type],'INN Income Splits'!$A$6,Table13[Earned Income - Events])</f>
        <v>495112.13</v>
      </c>
      <c r="N91" s="167">
        <f t="shared" si="115"/>
        <v>6.3443485940779087E-2</v>
      </c>
      <c r="O91" s="173">
        <f>AVERAGEIFS(Table13[Earned Income - Events],Table13[Scope/Content Type],$J79,Table13[Earned Income - Events],"&gt;0")</f>
        <v>661761.73333333328</v>
      </c>
      <c r="P91" s="179">
        <f t="shared" si="116"/>
        <v>0.20594536426786539</v>
      </c>
      <c r="Q91" s="179">
        <f t="shared" si="117"/>
        <v>0.14960202577395498</v>
      </c>
      <c r="U91" s="137" t="s">
        <v>140</v>
      </c>
      <c r="V91" s="173">
        <f>SUMIF(Table13[Scope/Sub-Type],'INN Income Splits'!$A$6,Table13[Earned Income - Events])</f>
        <v>495112.13</v>
      </c>
      <c r="W91" s="167">
        <f t="shared" si="118"/>
        <v>6.3443485940779087E-2</v>
      </c>
      <c r="X91" s="173">
        <f>AVERAGEIFS(Table13[Earned Income - Events],Table13[Scope/Content Type],$S79,Table13[Earned Income - Events],"&gt;0")</f>
        <v>1500</v>
      </c>
      <c r="Y91" s="179">
        <f t="shared" si="119"/>
        <v>2.1126165460127883E-2</v>
      </c>
      <c r="Z91" s="179">
        <f t="shared" si="120"/>
        <v>3.4932339997017455E-3</v>
      </c>
      <c r="AD91" s="137" t="s">
        <v>140</v>
      </c>
      <c r="AE91" s="173">
        <f>SUMIF(Table13[Scope/Sub-Type],'INN Income Splits'!$A$6,Table13[Earned Income - Events])</f>
        <v>495112.13</v>
      </c>
      <c r="AF91" s="167">
        <f t="shared" si="121"/>
        <v>6.3443485940779087E-2</v>
      </c>
      <c r="AG91" s="173">
        <f>AVERAGEIFS(Table13[Earned Income - Events],Table13[Scope/Content Type],$AB79,Table13[Earned Income - Events],"&gt;0")</f>
        <v>11999</v>
      </c>
      <c r="AH91" s="179">
        <f t="shared" si="122"/>
        <v>2.7926401695903359E-2</v>
      </c>
      <c r="AI91" s="179">
        <f t="shared" si="123"/>
        <v>1.9523331910284057E-3</v>
      </c>
    </row>
    <row r="92" spans="1:35" x14ac:dyDescent="0.15">
      <c r="C92" s="137" t="s">
        <v>251</v>
      </c>
      <c r="D92" s="173">
        <f>SUMIF(Table13[Scope/Sub-Type],'INN Income Splits'!$A$6,Table13[Earned Income - Syndication])</f>
        <v>441.48</v>
      </c>
      <c r="E92" s="167">
        <f t="shared" si="112"/>
        <v>5.6571084560451297E-5</v>
      </c>
      <c r="F92" s="173">
        <f>AVERAGEIFS(Table13[Earned Income - Syndication],Table13[Scope/Content Type],$A79,Table13[Earned Income - Syndication],"&gt;0")</f>
        <v>44251.666666666664</v>
      </c>
      <c r="G92" s="179">
        <f t="shared" si="113"/>
        <v>0.1653172544335032</v>
      </c>
      <c r="H92" s="179">
        <f t="shared" si="114"/>
        <v>6.2444601047233039E-2</v>
      </c>
      <c r="L92" s="137" t="s">
        <v>251</v>
      </c>
      <c r="M92" s="173">
        <f>SUMIF(Table13[Scope/Sub-Type],'INN Income Splits'!$A$6,Table13[Earned Income - Syndication])</f>
        <v>441.48</v>
      </c>
      <c r="N92" s="167">
        <f t="shared" si="115"/>
        <v>5.6571084560451297E-5</v>
      </c>
      <c r="O92" s="173">
        <f>AVERAGEIFS(Table13[Earned Income - Syndication],Table13[Scope/Content Type],$J79,Table13[Earned Income - Syndication],"&gt;0")</f>
        <v>55800.5</v>
      </c>
      <c r="P92" s="179">
        <f t="shared" si="116"/>
        <v>1.7365546721693725E-2</v>
      </c>
      <c r="Q92" s="179">
        <f t="shared" si="117"/>
        <v>1.261461250887214E-2</v>
      </c>
      <c r="U92" s="137" t="s">
        <v>251</v>
      </c>
      <c r="V92" s="173">
        <f>SUMIF(Table13[Scope/Sub-Type],'INN Income Splits'!$A$6,Table13[Earned Income - Syndication])</f>
        <v>441.48</v>
      </c>
      <c r="W92" s="167">
        <f t="shared" si="118"/>
        <v>5.6571084560451297E-5</v>
      </c>
      <c r="X92" s="173">
        <f>AVERAGEIFS(Table13[Earned Income - Syndication],Table13[Scope/Content Type],$S79,Table13[Earned Income - Syndication],"&gt;0")</f>
        <v>5000</v>
      </c>
      <c r="Y92" s="179">
        <f t="shared" si="119"/>
        <v>7.0420551533759618E-2</v>
      </c>
      <c r="Z92" s="179">
        <f t="shared" si="120"/>
        <v>1.1644113332339152E-2</v>
      </c>
      <c r="AD92" s="137" t="s">
        <v>251</v>
      </c>
      <c r="AE92" s="173">
        <f>SUMIF(Table13[Scope/Sub-Type],'INN Income Splits'!$A$6,Table13[Earned Income - Syndication])</f>
        <v>441.48</v>
      </c>
      <c r="AF92" s="167">
        <f t="shared" si="121"/>
        <v>5.6571084560451297E-5</v>
      </c>
      <c r="AG92" s="173">
        <f>AVERAGEIFS(Table13[Earned Income - Syndication],Table13[Scope/Content Type],$AB79,Table13[Earned Income - Syndication],"&gt;0")</f>
        <v>17982</v>
      </c>
      <c r="AH92" s="179">
        <f t="shared" si="122"/>
        <v>4.1851200541356298E-2</v>
      </c>
      <c r="AI92" s="179">
        <f t="shared" si="123"/>
        <v>2.9258151046814558E-3</v>
      </c>
    </row>
    <row r="93" spans="1:35" x14ac:dyDescent="0.15">
      <c r="B93" s="140"/>
      <c r="C93" s="140" t="s">
        <v>248</v>
      </c>
      <c r="D93" s="184">
        <f>SUMIF(Table13[Scope/Sub-Type],'INN Income Splits'!$A$6,Table13[Earned Income - Other])</f>
        <v>360332.27</v>
      </c>
      <c r="E93" s="185">
        <f t="shared" si="112"/>
        <v>4.6172844332765625E-2</v>
      </c>
      <c r="F93" s="184">
        <f>AVERAGEIFS(Table13[Earned Income - Other],Table13[Scope/Content Type],$A79,Table13[Earned Income - Other],"&gt;0")</f>
        <v>35455</v>
      </c>
      <c r="G93" s="185">
        <f t="shared" si="113"/>
        <v>0.13245429375782133</v>
      </c>
      <c r="H93" s="185">
        <f t="shared" si="114"/>
        <v>5.0031411173883787E-2</v>
      </c>
      <c r="K93" s="140"/>
      <c r="L93" s="140" t="s">
        <v>248</v>
      </c>
      <c r="M93" s="184">
        <f>SUMIF(Table13[Scope/Sub-Type],'INN Income Splits'!$A$6,Table13[Earned Income - Other])</f>
        <v>360332.27</v>
      </c>
      <c r="N93" s="185">
        <f t="shared" si="115"/>
        <v>4.6172844332765625E-2</v>
      </c>
      <c r="O93" s="184">
        <f>AVERAGEIFS(Table13[Earned Income - Other],Table13[Scope/Content Type],$J79,Table13[Earned Income - Other],"&gt;0")</f>
        <v>1061453.6000000001</v>
      </c>
      <c r="P93" s="185">
        <f t="shared" si="116"/>
        <v>0.33033256124425414</v>
      </c>
      <c r="Q93" s="185">
        <f t="shared" si="117"/>
        <v>0.23995888675096755</v>
      </c>
      <c r="T93" s="140"/>
      <c r="U93" s="140" t="s">
        <v>248</v>
      </c>
      <c r="V93" s="184">
        <f>SUMIF(Table13[Scope/Sub-Type],'INN Income Splits'!$A$6,Table13[Earned Income - Other])</f>
        <v>360332.27</v>
      </c>
      <c r="W93" s="185">
        <f t="shared" si="118"/>
        <v>4.6172844332765625E-2</v>
      </c>
      <c r="X93" s="184">
        <f>AVERAGEIFS(Table13[Earned Income - Other],Table13[Scope/Content Type],$S79,Table13[Earned Income - Other],"&gt;0")</f>
        <v>64502</v>
      </c>
      <c r="Y93" s="185">
        <f t="shared" si="119"/>
        <v>0.9084532830061125</v>
      </c>
      <c r="Z93" s="185">
        <f t="shared" si="120"/>
        <v>0.15021371963250799</v>
      </c>
      <c r="AC93" s="140"/>
      <c r="AD93" s="140" t="s">
        <v>248</v>
      </c>
      <c r="AE93" s="184">
        <f>SUMIF(Table13[Scope/Sub-Type],'INN Income Splits'!$A$6,Table13[Earned Income - Other])</f>
        <v>360332.27</v>
      </c>
      <c r="AF93" s="185">
        <f t="shared" si="121"/>
        <v>4.6172844332765625E-2</v>
      </c>
      <c r="AG93" s="184">
        <f>AVERAGEIFS(Table13[Earned Income - Other],Table13[Scope/Content Type],$AB79,Table13[Earned Income - Other],"&gt;0")</f>
        <v>119575.27222222222</v>
      </c>
      <c r="AH93" s="185">
        <f t="shared" si="122"/>
        <v>0.27829878197972935</v>
      </c>
      <c r="AI93" s="185">
        <f t="shared" si="123"/>
        <v>1.9455852386507325E-2</v>
      </c>
    </row>
    <row r="94" spans="1:35" ht="13" thickBot="1" x14ac:dyDescent="0.2">
      <c r="B94" s="214"/>
      <c r="C94" s="214" t="s">
        <v>60</v>
      </c>
      <c r="D94" s="215">
        <f>SUM(D88:D93)</f>
        <v>7803986.8500000015</v>
      </c>
      <c r="E94" s="216">
        <f t="shared" ref="E94" si="124">SUM(E88:E93)</f>
        <v>0.99999999999999989</v>
      </c>
      <c r="F94" s="215">
        <f>SUM(F88:F93)</f>
        <v>267677.2416666667</v>
      </c>
      <c r="G94" s="217">
        <f>SUM(G88:G93)</f>
        <v>0.99999999999999978</v>
      </c>
      <c r="H94" s="216">
        <f>SUM(H88:H93)</f>
        <v>0.37772585360925282</v>
      </c>
      <c r="K94" s="214"/>
      <c r="L94" s="214" t="s">
        <v>60</v>
      </c>
      <c r="M94" s="215">
        <f>SUM(M88:M93)</f>
        <v>7803986.8500000015</v>
      </c>
      <c r="N94" s="216">
        <f t="shared" ref="N94" si="125">SUM(N88:N93)</f>
        <v>0.99999999999999989</v>
      </c>
      <c r="O94" s="215">
        <f>SUM(O88:O93)</f>
        <v>3213287.8333333335</v>
      </c>
      <c r="P94" s="217">
        <f>SUM(P88:P93)</f>
        <v>1</v>
      </c>
      <c r="Q94" s="216">
        <f>SUM(Q88:Q93)</f>
        <v>0.72641608761522425</v>
      </c>
      <c r="T94" s="214"/>
      <c r="U94" s="214" t="s">
        <v>60</v>
      </c>
      <c r="V94" s="215">
        <f>SUM(V88:V93)</f>
        <v>7803986.8500000015</v>
      </c>
      <c r="W94" s="216">
        <f t="shared" ref="W94" si="126">SUM(W88:W93)</f>
        <v>0.99999999999999989</v>
      </c>
      <c r="X94" s="215">
        <f>SUM(X88:X93)</f>
        <v>71002</v>
      </c>
      <c r="Y94" s="217">
        <f>SUM(Y88:Y93)</f>
        <v>1</v>
      </c>
      <c r="Z94" s="216">
        <f>SUM(Z88:Z93)</f>
        <v>0.16535106696454888</v>
      </c>
      <c r="AC94" s="214"/>
      <c r="AD94" s="214" t="s">
        <v>60</v>
      </c>
      <c r="AE94" s="215">
        <f>SUM(AE88:AE93)</f>
        <v>7803986.8500000015</v>
      </c>
      <c r="AF94" s="216">
        <f t="shared" ref="AF94" si="127">SUM(AF88:AF93)</f>
        <v>0.99999999999999989</v>
      </c>
      <c r="AG94" s="215">
        <f>SUM(AG88:AG93)</f>
        <v>429665.09365079366</v>
      </c>
      <c r="AH94" s="217">
        <f>SUM(AH88:AH93)</f>
        <v>0.99999999999999989</v>
      </c>
      <c r="AI94" s="216">
        <f>SUM(AI88:AI93)</f>
        <v>6.9909944442101246E-2</v>
      </c>
    </row>
    <row r="95" spans="1:35" ht="13" thickTop="1" x14ac:dyDescent="0.15">
      <c r="A95" s="136"/>
      <c r="B95" s="136" t="s">
        <v>60</v>
      </c>
      <c r="C95" s="136"/>
      <c r="D95" s="204">
        <f>D86+D94</f>
        <v>7803986.8500000015</v>
      </c>
      <c r="E95" s="168"/>
      <c r="F95" s="204">
        <f>F86+F94</f>
        <v>708654.80641304352</v>
      </c>
      <c r="G95" s="218"/>
      <c r="H95" s="168">
        <f>H94+H86</f>
        <v>1</v>
      </c>
      <c r="J95" s="136"/>
      <c r="K95" s="136" t="s">
        <v>60</v>
      </c>
      <c r="L95" s="136"/>
      <c r="M95" s="204">
        <f>M86+M94</f>
        <v>7803986.8500000015</v>
      </c>
      <c r="N95" s="168"/>
      <c r="O95" s="204">
        <f>O86+O94</f>
        <v>4423481.0986666661</v>
      </c>
      <c r="P95" s="218"/>
      <c r="Q95" s="168">
        <f>Q94+Q86</f>
        <v>1</v>
      </c>
      <c r="S95" s="136"/>
      <c r="T95" s="136" t="s">
        <v>60</v>
      </c>
      <c r="U95" s="136"/>
      <c r="V95" s="204">
        <f>V86+V94</f>
        <v>7803986.8500000015</v>
      </c>
      <c r="W95" s="168"/>
      <c r="X95" s="204">
        <f>X86+X94</f>
        <v>429401.52309523808</v>
      </c>
      <c r="Y95" s="218"/>
      <c r="Z95" s="168">
        <f>Z94+Z86</f>
        <v>1</v>
      </c>
      <c r="AB95" s="136"/>
      <c r="AC95" s="136" t="s">
        <v>60</v>
      </c>
      <c r="AD95" s="136"/>
      <c r="AE95" s="204">
        <f>AE86+AE94</f>
        <v>7803986.8500000015</v>
      </c>
      <c r="AF95" s="168"/>
      <c r="AG95" s="204">
        <f>AG86+AG94</f>
        <v>6145979.6182020754</v>
      </c>
      <c r="AH95" s="218"/>
      <c r="AI95" s="168">
        <f>AI94+AI86</f>
        <v>1</v>
      </c>
    </row>
    <row r="97" spans="1:35" x14ac:dyDescent="0.15">
      <c r="A97" s="220" t="s">
        <v>294</v>
      </c>
      <c r="B97" s="221"/>
      <c r="C97" s="221"/>
      <c r="D97" s="221"/>
      <c r="E97" s="221"/>
      <c r="F97" s="221"/>
      <c r="G97" s="221"/>
      <c r="H97" s="221"/>
      <c r="J97" s="220" t="s">
        <v>295</v>
      </c>
      <c r="K97" s="221"/>
      <c r="L97" s="221"/>
      <c r="M97" s="221"/>
      <c r="N97" s="221"/>
      <c r="O97" s="221"/>
      <c r="P97" s="221"/>
      <c r="Q97" s="221"/>
      <c r="S97" s="220" t="s">
        <v>296</v>
      </c>
      <c r="T97" s="221"/>
      <c r="U97" s="221"/>
      <c r="V97" s="221"/>
      <c r="W97" s="221"/>
      <c r="X97" s="221"/>
      <c r="Y97" s="221"/>
      <c r="Z97" s="221"/>
      <c r="AB97" s="220" t="s">
        <v>297</v>
      </c>
      <c r="AC97" s="221"/>
      <c r="AD97" s="221"/>
      <c r="AE97" s="221"/>
      <c r="AF97" s="221"/>
      <c r="AG97" s="221"/>
      <c r="AH97" s="221"/>
      <c r="AI97" s="221"/>
    </row>
    <row r="98" spans="1:35" ht="13" x14ac:dyDescent="0.15">
      <c r="A98" s="169"/>
      <c r="B98" s="169"/>
      <c r="C98" s="169"/>
      <c r="D98" s="169" t="s">
        <v>269</v>
      </c>
      <c r="E98" s="169" t="s">
        <v>282</v>
      </c>
      <c r="F98" s="169" t="s">
        <v>283</v>
      </c>
      <c r="G98" s="169" t="s">
        <v>284</v>
      </c>
      <c r="H98" s="169" t="s">
        <v>285</v>
      </c>
      <c r="J98" s="169"/>
      <c r="K98" s="169"/>
      <c r="L98" s="169"/>
      <c r="M98" s="169" t="s">
        <v>269</v>
      </c>
      <c r="N98" s="169" t="s">
        <v>282</v>
      </c>
      <c r="O98" s="169" t="s">
        <v>283</v>
      </c>
      <c r="P98" s="169" t="s">
        <v>284</v>
      </c>
      <c r="Q98" s="169" t="s">
        <v>285</v>
      </c>
      <c r="S98" s="169"/>
      <c r="T98" s="169"/>
      <c r="U98" s="169"/>
      <c r="V98" s="169" t="s">
        <v>269</v>
      </c>
      <c r="W98" s="169" t="s">
        <v>282</v>
      </c>
      <c r="X98" s="169" t="s">
        <v>283</v>
      </c>
      <c r="Y98" s="169" t="s">
        <v>284</v>
      </c>
      <c r="Z98" s="169" t="s">
        <v>285</v>
      </c>
      <c r="AB98" s="169"/>
      <c r="AC98" s="169"/>
      <c r="AD98" s="169"/>
      <c r="AE98" s="169" t="s">
        <v>269</v>
      </c>
      <c r="AF98" s="169" t="s">
        <v>282</v>
      </c>
      <c r="AG98" s="169" t="s">
        <v>283</v>
      </c>
      <c r="AH98" s="169" t="s">
        <v>284</v>
      </c>
      <c r="AI98" s="169" t="s">
        <v>285</v>
      </c>
    </row>
    <row r="99" spans="1:35" x14ac:dyDescent="0.15">
      <c r="B99" s="137" t="s">
        <v>246</v>
      </c>
      <c r="D99" s="173"/>
      <c r="K99" s="137" t="s">
        <v>246</v>
      </c>
      <c r="M99" s="173"/>
      <c r="T99" s="137" t="s">
        <v>246</v>
      </c>
      <c r="V99" s="173"/>
      <c r="AC99" s="137" t="s">
        <v>246</v>
      </c>
      <c r="AE99" s="173"/>
    </row>
    <row r="100" spans="1:35" x14ac:dyDescent="0.15">
      <c r="C100" s="137" t="s">
        <v>134</v>
      </c>
      <c r="D100" s="173">
        <f>SUMIF(Table13[Scope/Sub-Type],'INN Income Splits'!A97,Table13[Cont. Income - Foundation])</f>
        <v>0</v>
      </c>
      <c r="E100" s="167">
        <f>D100/$D$13</f>
        <v>0</v>
      </c>
      <c r="F100" s="173">
        <f>AVERAGEIFS(Table13[Cont. Income - Foundation],Table13[Scope/Content Type],$A97,Table13[Cont. Income - Foundation],"&gt;0")</f>
        <v>337993.31107142859</v>
      </c>
      <c r="G100" s="179">
        <f>F100/$F$104</f>
        <v>0.50819080693489138</v>
      </c>
      <c r="H100" s="179">
        <f>F100/$F$113</f>
        <v>0.30012978599485068</v>
      </c>
      <c r="L100" s="137" t="s">
        <v>134</v>
      </c>
      <c r="M100" s="173">
        <f>SUMIF(Table13[Scope/Sub-Type],'INN Income Splits'!J97,Table13[Cont. Income - Foundation])</f>
        <v>0</v>
      </c>
      <c r="N100" s="167">
        <f>M100/$D$13</f>
        <v>0</v>
      </c>
      <c r="O100" s="173">
        <f>AVERAGEIFS(Table13[Cont. Income - Foundation],Table13[Scope/Content Type],$J97,Table13[Cont. Income - Foundation],"&gt;0")</f>
        <v>336159.25142857141</v>
      </c>
      <c r="P100" s="179">
        <f>O100/$O$104</f>
        <v>0.37001388371743099</v>
      </c>
      <c r="Q100" s="179">
        <f>O100/$O$113</f>
        <v>0.16557767620119887</v>
      </c>
      <c r="U100" s="137" t="s">
        <v>134</v>
      </c>
      <c r="V100" s="173">
        <f>SUMIF(Table13[Scope/Sub-Type],'INN Income Splits'!S97,Table13[Cont. Income - Foundation])</f>
        <v>0</v>
      </c>
      <c r="W100" s="167">
        <f>V100/$D$13</f>
        <v>0</v>
      </c>
      <c r="X100" s="173">
        <f>AVERAGEIFS(Table13[Cont. Income - Foundation],Table13[Scope/Content Type],$S97,Table13[Cont. Income - Foundation],"&gt;0")</f>
        <v>222052</v>
      </c>
      <c r="Y100" s="179">
        <f>X100/$X$104</f>
        <v>0.93824061926280855</v>
      </c>
      <c r="Z100" s="179">
        <f>X100/$X$113</f>
        <v>0.66693397848590386</v>
      </c>
      <c r="AD100" s="137" t="s">
        <v>134</v>
      </c>
      <c r="AE100" s="173">
        <f>SUMIF(Table13[Scope/Sub-Type],'INN Income Splits'!AB97,Table13[Cont. Income - Foundation])</f>
        <v>0</v>
      </c>
      <c r="AF100" s="167">
        <f>AE100/$D$13</f>
        <v>0</v>
      </c>
      <c r="AG100" s="173">
        <f>AVERAGEIFS(Table13[Cont. Income - Foundation],Table13[Scope/Content Type],$AB97,Table13[Cont. Income - Foundation],"&gt;0")</f>
        <v>3187219.375</v>
      </c>
      <c r="AH100" s="179">
        <f>AG100/$AG$104</f>
        <v>0.46732613656170707</v>
      </c>
      <c r="AI100" s="179">
        <f>AG100/$AG$113</f>
        <v>0.40926541588204884</v>
      </c>
    </row>
    <row r="101" spans="1:35" x14ac:dyDescent="0.15">
      <c r="C101" s="137" t="s">
        <v>135</v>
      </c>
      <c r="D101" s="173">
        <f>SUMIF(Table13[Scope/Sub-Type],'INN Income Splits'!A97,Table13[Cont. Income - Membership])</f>
        <v>0</v>
      </c>
      <c r="E101" s="167">
        <f t="shared" ref="E101:E103" si="128">D101/$D$13</f>
        <v>0</v>
      </c>
      <c r="F101" s="173">
        <f>AVERAGEIFS(Table13[Cont. Income - Membership],Table13[Scope/Content Type],$A97,Table13[Cont. Income - Membership],"&gt;0")</f>
        <v>153185.92272727273</v>
      </c>
      <c r="G101" s="179">
        <f t="shared" ref="G101:G103" si="129">F101/$F$104</f>
        <v>0.23032313105565275</v>
      </c>
      <c r="H101" s="179">
        <f t="shared" ref="H101:H103" si="130">F101/$F$113</f>
        <v>0.136025349317768</v>
      </c>
      <c r="L101" s="137" t="s">
        <v>135</v>
      </c>
      <c r="M101" s="173">
        <f>SUMIF(Table13[Scope/Sub-Type],'INN Income Splits'!J97,Table13[Cont. Income - Membership])</f>
        <v>0</v>
      </c>
      <c r="N101" s="167">
        <f t="shared" ref="N101:N103" si="131">M101/$D$13</f>
        <v>0</v>
      </c>
      <c r="O101" s="173">
        <f>AVERAGEIFS(Table13[Cont. Income - Membership],Table13[Scope/Content Type],$J97,Table13[Cont. Income - Membership],"&gt;0")</f>
        <v>121919.34000000001</v>
      </c>
      <c r="P101" s="179">
        <f t="shared" ref="P101:P103" si="132">O101/$O$104</f>
        <v>0.13419784909073521</v>
      </c>
      <c r="Q101" s="179">
        <f t="shared" ref="Q101:Q103" si="133">O101/$O$113</f>
        <v>6.0052254743532832E-2</v>
      </c>
      <c r="U101" s="137" t="s">
        <v>135</v>
      </c>
      <c r="V101" s="173">
        <f>SUMIF(Table13[Scope/Sub-Type],'INN Income Splits'!S97,Table13[Cont. Income - Membership])</f>
        <v>0</v>
      </c>
      <c r="W101" s="167">
        <f t="shared" ref="W101:W103" si="134">V101/$D$13</f>
        <v>0</v>
      </c>
      <c r="X101" s="173">
        <f>IFERROR(AVERAGEIFS(Table13[Cont. Income - Membership],Table13[Scope/Content Type],$S97,Table13[Cont. Income - Membership],"&gt;0"),0)</f>
        <v>0</v>
      </c>
      <c r="Y101" s="179">
        <f t="shared" ref="Y101:Y103" si="135">X101/$X$104</f>
        <v>0</v>
      </c>
      <c r="Z101" s="179">
        <f t="shared" ref="Z101:Z103" si="136">X101/$X$113</f>
        <v>0</v>
      </c>
      <c r="AD101" s="137" t="s">
        <v>135</v>
      </c>
      <c r="AE101" s="173">
        <f>SUMIF(Table13[Scope/Sub-Type],'INN Income Splits'!AB97,Table13[Cont. Income - Membership])</f>
        <v>0</v>
      </c>
      <c r="AF101" s="167">
        <f t="shared" ref="AF101:AF103" si="137">AE101/$D$13</f>
        <v>0</v>
      </c>
      <c r="AG101" s="173">
        <f>IFERROR(AVERAGEIFS(Table13[Cont. Income - Membership],Table13[Scope/Content Type],$AB97,Table13[Cont. Income - Membership],"&gt;0"),0)</f>
        <v>124328.02499999999</v>
      </c>
      <c r="AH101" s="179">
        <f t="shared" ref="AH101:AH103" si="138">AG101/$AG$104</f>
        <v>1.8229600398810743E-2</v>
      </c>
      <c r="AI101" s="179">
        <f t="shared" ref="AI101:AI103" si="139">AG101/$AG$113</f>
        <v>1.5964750106797643E-2</v>
      </c>
    </row>
    <row r="102" spans="1:35" x14ac:dyDescent="0.15">
      <c r="C102" s="137" t="s">
        <v>247</v>
      </c>
      <c r="D102" s="173">
        <f>SUMIF(Table13[Scope/Sub-Type],'INN Income Splits'!A97,Table13[Total Individual Donations])</f>
        <v>0</v>
      </c>
      <c r="E102" s="167">
        <f t="shared" si="128"/>
        <v>0</v>
      </c>
      <c r="F102" s="173">
        <f>AVERAGEIFS(Table13[Total Individual Donations],Table13[Scope/Content Type],$A97,Table13[Total Individual Donations],"&gt;0")</f>
        <v>143209.36862068967</v>
      </c>
      <c r="G102" s="179">
        <f t="shared" si="129"/>
        <v>0.21532285467212808</v>
      </c>
      <c r="H102" s="179">
        <f t="shared" si="130"/>
        <v>0.12716641350189903</v>
      </c>
      <c r="L102" s="137" t="s">
        <v>247</v>
      </c>
      <c r="M102" s="173">
        <f>SUMIF(Table13[Scope/Sub-Type],'INN Income Splits'!J97,Table13[Total Individual Donations])</f>
        <v>0</v>
      </c>
      <c r="N102" s="167">
        <f t="shared" si="131"/>
        <v>0</v>
      </c>
      <c r="O102" s="173">
        <f>AVERAGEIFS(Table13[Total Individual Donations],Table13[Scope/Content Type],$J97,Table13[Total Individual Donations],"&gt;0")</f>
        <v>393708.89187499997</v>
      </c>
      <c r="P102" s="179">
        <f t="shared" si="132"/>
        <v>0.4333593542872019</v>
      </c>
      <c r="Q102" s="179">
        <f t="shared" si="133"/>
        <v>0.19392416879611979</v>
      </c>
      <c r="U102" s="137" t="s">
        <v>247</v>
      </c>
      <c r="V102" s="173">
        <f>SUMIF(Table13[Scope/Sub-Type],'INN Income Splits'!S97,Table13[Total Individual Donations])</f>
        <v>0</v>
      </c>
      <c r="W102" s="167">
        <f t="shared" si="134"/>
        <v>0</v>
      </c>
      <c r="X102" s="173">
        <f>AVERAGEIFS(Table13[Total Individual Donations],Table13[Scope/Content Type],$S97,Table13[Total Individual Donations],"&gt;0")</f>
        <v>11616.5</v>
      </c>
      <c r="Y102" s="179">
        <f t="shared" si="135"/>
        <v>4.9083422593205264E-2</v>
      </c>
      <c r="Z102" s="179">
        <f t="shared" si="136"/>
        <v>3.4890199417620657E-2</v>
      </c>
      <c r="AD102" s="137" t="s">
        <v>247</v>
      </c>
      <c r="AE102" s="173">
        <f>SUMIF(Table13[Scope/Sub-Type],'INN Income Splits'!AB97,Table13[Total Individual Donations])</f>
        <v>0</v>
      </c>
      <c r="AF102" s="167">
        <f t="shared" si="137"/>
        <v>0</v>
      </c>
      <c r="AG102" s="173">
        <f>AVERAGEIFS(Table13[Total Individual Donations],Table13[Scope/Content Type],$AB97,Table13[Total Individual Donations],"&gt;0")</f>
        <v>3107170.8887500004</v>
      </c>
      <c r="AH102" s="179">
        <f t="shared" si="138"/>
        <v>0.45558902486169262</v>
      </c>
      <c r="AI102" s="179">
        <f t="shared" si="139"/>
        <v>0.3989865259905005</v>
      </c>
    </row>
    <row r="103" spans="1:35" x14ac:dyDescent="0.15">
      <c r="B103" s="140"/>
      <c r="C103" s="140" t="s">
        <v>248</v>
      </c>
      <c r="D103" s="184">
        <f>SUMIF(Table13[Scope/Sub-Type],'INN Income Splits'!A97,Table13[Cont. Income - Other])</f>
        <v>0</v>
      </c>
      <c r="E103" s="185">
        <f t="shared" si="128"/>
        <v>0</v>
      </c>
      <c r="F103" s="184">
        <f>AVERAGEIFS(Table13[Cont. Income - Other],Table13[Scope/Content Type],$A97,Table13[Cont. Income - Other],"&gt;0")</f>
        <v>30702.75</v>
      </c>
      <c r="G103" s="185">
        <f t="shared" si="129"/>
        <v>4.616320733732765E-2</v>
      </c>
      <c r="H103" s="185">
        <f t="shared" si="130"/>
        <v>2.7263290382116535E-2</v>
      </c>
      <c r="K103" s="140"/>
      <c r="L103" s="140" t="s">
        <v>248</v>
      </c>
      <c r="M103" s="184">
        <f>SUMIF(Table13[Scope/Sub-Type],'INN Income Splits'!J97,Table13[Cont. Income - Other])</f>
        <v>0</v>
      </c>
      <c r="N103" s="185">
        <f t="shared" si="131"/>
        <v>0</v>
      </c>
      <c r="O103" s="184">
        <f>AVERAGEIFS(Table13[Cont. Income - Other],Table13[Scope/Content Type],$J97,Table13[Cont. Income - Other],"&gt;0")</f>
        <v>56716.943749999999</v>
      </c>
      <c r="P103" s="185">
        <f t="shared" si="132"/>
        <v>6.2428912904631997E-2</v>
      </c>
      <c r="Q103" s="185">
        <f t="shared" si="133"/>
        <v>2.7936341800649692E-2</v>
      </c>
      <c r="T103" s="140"/>
      <c r="U103" s="140" t="s">
        <v>248</v>
      </c>
      <c r="V103" s="184">
        <f>SUMIF(Table13[Scope/Sub-Type],'INN Income Splits'!S97,Table13[Cont. Income - Other])</f>
        <v>0</v>
      </c>
      <c r="W103" s="185">
        <f t="shared" si="134"/>
        <v>0</v>
      </c>
      <c r="X103" s="184">
        <f>AVERAGEIFS(Table13[Cont. Income - Other],Table13[Scope/Content Type],$S97,Table13[Cont. Income - Other],"&gt;0")</f>
        <v>3000</v>
      </c>
      <c r="Y103" s="185">
        <f t="shared" si="135"/>
        <v>1.2675958143986208E-2</v>
      </c>
      <c r="Z103" s="185">
        <f t="shared" si="136"/>
        <v>9.0105107608024759E-3</v>
      </c>
      <c r="AC103" s="140"/>
      <c r="AD103" s="140" t="s">
        <v>248</v>
      </c>
      <c r="AE103" s="184">
        <f>SUMIF(Table13[Scope/Sub-Type],'INN Income Splits'!AB97,Table13[Cont. Income - Other])</f>
        <v>0</v>
      </c>
      <c r="AF103" s="185">
        <f t="shared" si="137"/>
        <v>0</v>
      </c>
      <c r="AG103" s="184">
        <f>AVERAGEIFS(Table13[Cont. Income - Other],Table13[Scope/Content Type],$AB97,Table13[Cont. Income - Other],"&gt;0")</f>
        <v>401399.66666666669</v>
      </c>
      <c r="AH103" s="185">
        <f t="shared" si="138"/>
        <v>5.8855238177789496E-2</v>
      </c>
      <c r="AI103" s="185">
        <f t="shared" si="139"/>
        <v>5.1543048088194154E-2</v>
      </c>
    </row>
    <row r="104" spans="1:35" x14ac:dyDescent="0.15">
      <c r="C104" s="137" t="s">
        <v>60</v>
      </c>
      <c r="D104" s="173">
        <f>SUM(D100:D103)</f>
        <v>0</v>
      </c>
      <c r="E104" s="189">
        <f>SUM(E100:E103)</f>
        <v>0</v>
      </c>
      <c r="F104" s="194">
        <f>SUM(F100:F103)</f>
        <v>665091.35241939104</v>
      </c>
      <c r="G104" s="189">
        <f>SUM(G100:G103)</f>
        <v>0.99999999999999978</v>
      </c>
      <c r="H104" s="189">
        <f>SUM(H100:H103)</f>
        <v>0.59058483919663418</v>
      </c>
      <c r="L104" s="137" t="s">
        <v>60</v>
      </c>
      <c r="M104" s="173">
        <f>SUM(M100:M103)</f>
        <v>0</v>
      </c>
      <c r="N104" s="189">
        <f>SUM(N100:N103)</f>
        <v>0</v>
      </c>
      <c r="O104" s="194">
        <f>SUM(O100:O103)</f>
        <v>908504.42705357133</v>
      </c>
      <c r="P104" s="189">
        <f>SUM(P100:P103)</f>
        <v>1.0000000000000002</v>
      </c>
      <c r="Q104" s="189">
        <f>SUM(Q100:Q103)</f>
        <v>0.44749044154150119</v>
      </c>
      <c r="U104" s="137" t="s">
        <v>60</v>
      </c>
      <c r="V104" s="173">
        <f>SUM(V100:V103)</f>
        <v>0</v>
      </c>
      <c r="W104" s="189">
        <f>SUM(W100:W103)</f>
        <v>0</v>
      </c>
      <c r="X104" s="194">
        <f>SUM(X100:X103)</f>
        <v>236668.5</v>
      </c>
      <c r="Y104" s="189">
        <f>SUM(Y100:Y103)</f>
        <v>1</v>
      </c>
      <c r="Z104" s="189">
        <f>SUM(Z100:Z103)</f>
        <v>0.71083468866432697</v>
      </c>
      <c r="AD104" s="137" t="s">
        <v>60</v>
      </c>
      <c r="AE104" s="173">
        <f>SUM(AE100:AE103)</f>
        <v>0</v>
      </c>
      <c r="AF104" s="189">
        <f>SUM(AF100:AF103)</f>
        <v>0</v>
      </c>
      <c r="AG104" s="194">
        <f>SUM(AG100:AG103)</f>
        <v>6820117.9554166673</v>
      </c>
      <c r="AH104" s="189">
        <f>SUM(AH100:AH103)</f>
        <v>0.99999999999999989</v>
      </c>
      <c r="AI104" s="189">
        <f>SUM(AI100:AI103)</f>
        <v>0.8757597400675412</v>
      </c>
    </row>
    <row r="105" spans="1:35" x14ac:dyDescent="0.15">
      <c r="B105" s="137" t="s">
        <v>250</v>
      </c>
      <c r="K105" s="137" t="s">
        <v>250</v>
      </c>
      <c r="T105" s="137" t="s">
        <v>250</v>
      </c>
      <c r="AC105" s="137" t="s">
        <v>250</v>
      </c>
    </row>
    <row r="106" spans="1:35" x14ac:dyDescent="0.15">
      <c r="C106" s="137" t="s">
        <v>137</v>
      </c>
      <c r="D106" s="173">
        <f>SUMIF(Table13[Scope/Sub-Type],'INN Income Splits'!$A$6,Table13[Earned Income - Advertising])</f>
        <v>5199703.7200000007</v>
      </c>
      <c r="E106" s="167">
        <f>D106/$D$21</f>
        <v>0.66628811912977526</v>
      </c>
      <c r="F106" s="173">
        <f>AVERAGEIFS(Table13[Earned Income - Advertising],Table13[Scope/Content Type],$A97,Table13[Earned Income - Advertising],"&gt;0")</f>
        <v>115711.83333333333</v>
      </c>
      <c r="G106" s="179">
        <f>F106/$F$112</f>
        <v>0.25096597575384383</v>
      </c>
      <c r="H106" s="179">
        <f>F106/$F$113</f>
        <v>0.10274927531943354</v>
      </c>
      <c r="L106" s="137" t="s">
        <v>137</v>
      </c>
      <c r="M106" s="173">
        <f>SUMIF(Table13[Scope/Sub-Type],'INN Income Splits'!$A$6,Table13[Earned Income - Advertising])</f>
        <v>5199703.7200000007</v>
      </c>
      <c r="N106" s="167">
        <f>M106/$D$21</f>
        <v>0.66628811912977526</v>
      </c>
      <c r="O106" s="173">
        <f>AVERAGEIFS(Table13[Earned Income - Advertising],Table13[Scope/Content Type],$J97,Table13[Earned Income - Advertising],"&gt;0")</f>
        <v>471950.66666666669</v>
      </c>
      <c r="P106" s="179">
        <f>O106/$O$112</f>
        <v>0.42073972948862898</v>
      </c>
      <c r="Q106" s="179">
        <f>O106/$O$113</f>
        <v>0.23246272216571068</v>
      </c>
      <c r="U106" s="137" t="s">
        <v>137</v>
      </c>
      <c r="V106" s="173">
        <f>SUMIF(Table13[Scope/Sub-Type],'INN Income Splits'!$A$6,Table13[Earned Income - Advertising])</f>
        <v>5199703.7200000007</v>
      </c>
      <c r="W106" s="167">
        <f>V106/$D$21</f>
        <v>0.66628811912977526</v>
      </c>
      <c r="X106" s="173">
        <f>IFERROR(AVERAGEIFS(Table13[Earned Income - Advertising],Table13[Scope/Content Type],$S97,Table13[Earned Income - Advertising],"&gt;0"),0)</f>
        <v>0</v>
      </c>
      <c r="Y106" s="179">
        <f>X106/$X$112</f>
        <v>0</v>
      </c>
      <c r="Z106" s="179">
        <f>X106/$X$113</f>
        <v>0</v>
      </c>
      <c r="AD106" s="137" t="s">
        <v>137</v>
      </c>
      <c r="AE106" s="173">
        <f>SUMIF(Table13[Scope/Sub-Type],'INN Income Splits'!$A$6,Table13[Earned Income - Advertising])</f>
        <v>5199703.7200000007</v>
      </c>
      <c r="AF106" s="167">
        <f>AE106/$D$21</f>
        <v>0.66628811912977526</v>
      </c>
      <c r="AG106" s="173">
        <f>IFERROR(AVERAGEIFS(Table13[Earned Income - Advertising],Table13[Scope/Content Type],$AB97,Table13[Earned Income - Advertising],"&gt;0"),0)</f>
        <v>137049.674</v>
      </c>
      <c r="AH106" s="179">
        <f>AG106/$AG$112</f>
        <v>0.14164744515623018</v>
      </c>
      <c r="AI106" s="179">
        <f>AG106/$AG$113</f>
        <v>1.7598315404978741E-2</v>
      </c>
    </row>
    <row r="107" spans="1:35" x14ac:dyDescent="0.15">
      <c r="C107" s="137" t="s">
        <v>138</v>
      </c>
      <c r="D107" s="173">
        <f>SUMIF(Table13[Scope/Sub-Type],'INN Income Splits'!$A$6,Table13[Earned Income - Sponsorships/Underwriting])</f>
        <v>658091.25</v>
      </c>
      <c r="E107" s="167">
        <f t="shared" ref="E107:E111" si="140">D107/$D$21</f>
        <v>8.4327570336692692E-2</v>
      </c>
      <c r="F107" s="173">
        <f>AVERAGEIFS(Table13[Earned Income - Sponsorships/Underwriting],Table13[Scope/Content Type],$A97,Table13[Earned Income - Sponsorships/Underwriting],"&gt;0")</f>
        <v>69915.425000000003</v>
      </c>
      <c r="G107" s="179">
        <f t="shared" ref="G107:G111" si="141">F107/$F$112</f>
        <v>0.15163870755399278</v>
      </c>
      <c r="H107" s="179">
        <f t="shared" ref="H107:H111" si="142">F107/$F$113</f>
        <v>6.2083185837232498E-2</v>
      </c>
      <c r="L107" s="137" t="s">
        <v>138</v>
      </c>
      <c r="M107" s="173">
        <f>SUMIF(Table13[Scope/Sub-Type],'INN Income Splits'!$A$6,Table13[Earned Income - Sponsorships/Underwriting])</f>
        <v>658091.25</v>
      </c>
      <c r="N107" s="167">
        <f t="shared" ref="N107:N111" si="143">M107/$D$21</f>
        <v>8.4327570336692692E-2</v>
      </c>
      <c r="O107" s="173">
        <f>AVERAGEIFS(Table13[Earned Income - Sponsorships/Underwriting],Table13[Scope/Content Type],$J97,Table13[Earned Income - Sponsorships/Underwriting],"&gt;0")</f>
        <v>315529.25</v>
      </c>
      <c r="P107" s="179">
        <f t="shared" ref="P107:P111" si="144">O107/$O$112</f>
        <v>0.28129145833904245</v>
      </c>
      <c r="Q107" s="179">
        <f t="shared" ref="Q107:Q111" si="145">O107/$O$113</f>
        <v>0.15541621944505157</v>
      </c>
      <c r="U107" s="137" t="s">
        <v>138</v>
      </c>
      <c r="V107" s="173">
        <f>SUMIF(Table13[Scope/Sub-Type],'INN Income Splits'!$A$6,Table13[Earned Income - Sponsorships/Underwriting])</f>
        <v>658091.25</v>
      </c>
      <c r="W107" s="167">
        <f t="shared" ref="W107:W111" si="146">V107/$D$21</f>
        <v>8.4327570336692692E-2</v>
      </c>
      <c r="X107" s="173">
        <f>IFERROR(AVERAGEIFS(Table13[Earned Income - Sponsorships/Underwriting],Table13[Scope/Content Type],$S97,Table13[Earned Income - Sponsorships/Underwriting],"&gt;0"),0)</f>
        <v>0</v>
      </c>
      <c r="Y107" s="179">
        <f t="shared" ref="Y107:Y111" si="147">X107/$X$112</f>
        <v>0</v>
      </c>
      <c r="Z107" s="179">
        <f t="shared" ref="Z107:Z111" si="148">X107/$X$113</f>
        <v>0</v>
      </c>
      <c r="AD107" s="137" t="s">
        <v>138</v>
      </c>
      <c r="AE107" s="173">
        <f>SUMIF(Table13[Scope/Sub-Type],'INN Income Splits'!$A$6,Table13[Earned Income - Sponsorships/Underwriting])</f>
        <v>658091.25</v>
      </c>
      <c r="AF107" s="167">
        <f t="shared" ref="AF107:AF111" si="149">AE107/$D$21</f>
        <v>8.4327570336692692E-2</v>
      </c>
      <c r="AG107" s="173">
        <f>IFERROR(AVERAGEIFS(Table13[Earned Income - Sponsorships/Underwriting],Table13[Scope/Content Type],$AB97,Table13[Earned Income - Sponsorships/Underwriting],"&gt;0"),0)</f>
        <v>403687.66666666669</v>
      </c>
      <c r="AH107" s="179">
        <f t="shared" ref="AH107:AH111" si="150">AG107/$AG$112</f>
        <v>0.41723066502451661</v>
      </c>
      <c r="AI107" s="179">
        <f t="shared" ref="AI107:AI111" si="151">AG107/$AG$113</f>
        <v>5.1836846274438589E-2</v>
      </c>
    </row>
    <row r="108" spans="1:35" x14ac:dyDescent="0.15">
      <c r="C108" s="137" t="s">
        <v>139</v>
      </c>
      <c r="D108" s="173">
        <f>SUMIF(Table13[Scope/Sub-Type],'INN Income Splits'!$A$6,Table13[Earned Income - Subscriptions])</f>
        <v>1090306</v>
      </c>
      <c r="E108" s="167">
        <f t="shared" si="140"/>
        <v>0.13971140917542677</v>
      </c>
      <c r="F108" s="173">
        <f>AVERAGEIFS(Table13[Earned Income - Subscriptions],Table13[Scope/Content Type],$A97,Table13[Earned Income - Subscriptions],"&gt;0")</f>
        <v>177523</v>
      </c>
      <c r="G108" s="179">
        <f t="shared" si="141"/>
        <v>0.38502745683241513</v>
      </c>
      <c r="H108" s="179">
        <f t="shared" si="142"/>
        <v>0.15763607815275418</v>
      </c>
      <c r="L108" s="137" t="s">
        <v>139</v>
      </c>
      <c r="M108" s="173">
        <f>SUMIF(Table13[Scope/Sub-Type],'INN Income Splits'!$A$6,Table13[Earned Income - Subscriptions])</f>
        <v>1090306</v>
      </c>
      <c r="N108" s="167">
        <f t="shared" si="143"/>
        <v>0.13971140917542677</v>
      </c>
      <c r="O108" s="173">
        <f>AVERAGEIFS(Table13[Earned Income - Subscriptions],Table13[Scope/Content Type],$J97,Table13[Earned Income - Subscriptions],"&gt;0")</f>
        <v>5088</v>
      </c>
      <c r="P108" s="179">
        <f t="shared" si="144"/>
        <v>4.5359057520944508E-3</v>
      </c>
      <c r="Q108" s="179">
        <f t="shared" si="145"/>
        <v>2.5061312842990704E-3</v>
      </c>
      <c r="U108" s="137" t="s">
        <v>139</v>
      </c>
      <c r="V108" s="173">
        <f>SUMIF(Table13[Scope/Sub-Type],'INN Income Splits'!$A$6,Table13[Earned Income - Subscriptions])</f>
        <v>1090306</v>
      </c>
      <c r="W108" s="167">
        <f t="shared" si="146"/>
        <v>0.13971140917542677</v>
      </c>
      <c r="X108" s="173">
        <f>IFERROR(AVERAGEIFS(Table13[Earned Income - Subscriptions],Table13[Scope/Content Type],$S97,Table13[Earned Income - Subscriptions],"&gt;0"),0)</f>
        <v>0</v>
      </c>
      <c r="Y108" s="179">
        <f t="shared" si="147"/>
        <v>0</v>
      </c>
      <c r="Z108" s="179">
        <f t="shared" si="148"/>
        <v>0</v>
      </c>
      <c r="AD108" s="137" t="s">
        <v>139</v>
      </c>
      <c r="AE108" s="173">
        <f>SUMIF(Table13[Scope/Sub-Type],'INN Income Splits'!$A$6,Table13[Earned Income - Subscriptions])</f>
        <v>1090306</v>
      </c>
      <c r="AF108" s="167">
        <f t="shared" si="149"/>
        <v>0.13971140917542677</v>
      </c>
      <c r="AG108" s="173">
        <f>IFERROR(AVERAGEIFS(Table13[Earned Income - Subscriptions],Table13[Scope/Content Type],$AB97,Table13[Earned Income - Subscriptions],"&gt;0"),0)</f>
        <v>171686.5</v>
      </c>
      <c r="AH108" s="179">
        <f t="shared" si="150"/>
        <v>0.17744627464648413</v>
      </c>
      <c r="AI108" s="179">
        <f t="shared" si="151"/>
        <v>2.2045971286125662E-2</v>
      </c>
    </row>
    <row r="109" spans="1:35" x14ac:dyDescent="0.15">
      <c r="C109" s="137" t="s">
        <v>140</v>
      </c>
      <c r="D109" s="173">
        <f>SUMIF(Table13[Scope/Sub-Type],'INN Income Splits'!$A$6,Table13[Earned Income - Events])</f>
        <v>495112.13</v>
      </c>
      <c r="E109" s="167">
        <f t="shared" si="140"/>
        <v>6.3443485940779087E-2</v>
      </c>
      <c r="F109" s="173">
        <f>AVERAGEIFS(Table13[Earned Income - Events],Table13[Scope/Content Type],$A97,Table13[Earned Income - Events],"&gt;0")</f>
        <v>51669.45888888889</v>
      </c>
      <c r="G109" s="179">
        <f t="shared" si="141"/>
        <v>0.11206525549870111</v>
      </c>
      <c r="H109" s="179">
        <f t="shared" si="142"/>
        <v>4.5881214600470975E-2</v>
      </c>
      <c r="L109" s="137" t="s">
        <v>140</v>
      </c>
      <c r="M109" s="173">
        <f>SUMIF(Table13[Scope/Sub-Type],'INN Income Splits'!$A$6,Table13[Earned Income - Events])</f>
        <v>495112.13</v>
      </c>
      <c r="N109" s="167">
        <f t="shared" si="143"/>
        <v>6.3443485940779087E-2</v>
      </c>
      <c r="O109" s="173">
        <f>AVERAGEIFS(Table13[Earned Income - Events],Table13[Scope/Content Type],$J97,Table13[Earned Income - Events],"&gt;0")</f>
        <v>50651.75</v>
      </c>
      <c r="P109" s="179">
        <f t="shared" si="144"/>
        <v>4.5155574720646637E-2</v>
      </c>
      <c r="Q109" s="179">
        <f t="shared" si="145"/>
        <v>2.4948886650844229E-2</v>
      </c>
      <c r="U109" s="137" t="s">
        <v>140</v>
      </c>
      <c r="V109" s="173">
        <f>SUMIF(Table13[Scope/Sub-Type],'INN Income Splits'!$A$6,Table13[Earned Income - Events])</f>
        <v>495112.13</v>
      </c>
      <c r="W109" s="167">
        <f t="shared" si="146"/>
        <v>6.3443485940779087E-2</v>
      </c>
      <c r="X109" s="173">
        <f>IFERROR(AVERAGEIFS(Table13[Earned Income - Events],Table13[Scope/Content Type],$S97,Table13[Earned Income - Events],"&gt;0"),0)</f>
        <v>0</v>
      </c>
      <c r="Y109" s="179">
        <f t="shared" si="147"/>
        <v>0</v>
      </c>
      <c r="Z109" s="179">
        <f t="shared" si="148"/>
        <v>0</v>
      </c>
      <c r="AD109" s="137" t="s">
        <v>140</v>
      </c>
      <c r="AE109" s="173">
        <f>SUMIF(Table13[Scope/Sub-Type],'INN Income Splits'!$A$6,Table13[Earned Income - Events])</f>
        <v>495112.13</v>
      </c>
      <c r="AF109" s="167">
        <f t="shared" si="149"/>
        <v>6.3443485940779087E-2</v>
      </c>
      <c r="AG109" s="173">
        <f>IFERROR(AVERAGEIFS(Table13[Earned Income - Events],Table13[Scope/Content Type],$AB97,Table13[Earned Income - Events],"&gt;0"),0)</f>
        <v>4232.5</v>
      </c>
      <c r="AH109" s="179">
        <f t="shared" si="150"/>
        <v>4.3744927961210933E-3</v>
      </c>
      <c r="AI109" s="179">
        <f t="shared" si="151"/>
        <v>5.4348812206275309E-4</v>
      </c>
    </row>
    <row r="110" spans="1:35" x14ac:dyDescent="0.15">
      <c r="C110" s="137" t="s">
        <v>251</v>
      </c>
      <c r="D110" s="173">
        <f>SUMIF(Table13[Scope/Sub-Type],'INN Income Splits'!$A$6,Table13[Earned Income - Syndication])</f>
        <v>441.48</v>
      </c>
      <c r="E110" s="167">
        <f t="shared" si="140"/>
        <v>5.6571084560451297E-5</v>
      </c>
      <c r="F110" s="173">
        <f>AVERAGEIFS(Table13[Earned Income - Syndication],Table13[Scope/Content Type],$A97,Table13[Earned Income - Syndication],"&gt;0")</f>
        <v>13372.74</v>
      </c>
      <c r="G110" s="179">
        <f t="shared" si="141"/>
        <v>2.9003971728064033E-2</v>
      </c>
      <c r="H110" s="179">
        <f t="shared" si="142"/>
        <v>1.1874665748981609E-2</v>
      </c>
      <c r="L110" s="137" t="s">
        <v>251</v>
      </c>
      <c r="M110" s="173">
        <f>SUMIF(Table13[Scope/Sub-Type],'INN Income Splits'!$A$6,Table13[Earned Income - Syndication])</f>
        <v>441.48</v>
      </c>
      <c r="N110" s="167">
        <f t="shared" si="143"/>
        <v>5.6571084560451297E-5</v>
      </c>
      <c r="O110" s="173">
        <f>AVERAGEIFS(Table13[Earned Income - Syndication],Table13[Scope/Content Type],$J97,Table13[Earned Income - Syndication],"&gt;0")</f>
        <v>40360.984000000004</v>
      </c>
      <c r="P110" s="179">
        <f t="shared" si="144"/>
        <v>3.5981450370635243E-2</v>
      </c>
      <c r="Q110" s="179">
        <f t="shared" si="145"/>
        <v>1.9880095256976069E-2</v>
      </c>
      <c r="U110" s="137" t="s">
        <v>251</v>
      </c>
      <c r="V110" s="173">
        <f>SUMIF(Table13[Scope/Sub-Type],'INN Income Splits'!$A$6,Table13[Earned Income - Syndication])</f>
        <v>441.48</v>
      </c>
      <c r="W110" s="167">
        <f t="shared" si="146"/>
        <v>5.6571084560451297E-5</v>
      </c>
      <c r="X110" s="173">
        <f>AVERAGEIFS(Table13[Earned Income - Syndication],Table13[Scope/Content Type],$S97,Table13[Earned Income - Syndication],"&gt;0")</f>
        <v>1095</v>
      </c>
      <c r="Y110" s="179">
        <f t="shared" si="147"/>
        <v>1.1373551040757822E-2</v>
      </c>
      <c r="Z110" s="179">
        <f t="shared" si="148"/>
        <v>3.2888364276929039E-3</v>
      </c>
      <c r="AD110" s="137" t="s">
        <v>251</v>
      </c>
      <c r="AE110" s="173">
        <f>SUMIF(Table13[Scope/Sub-Type],'INN Income Splits'!$A$6,Table13[Earned Income - Syndication])</f>
        <v>441.48</v>
      </c>
      <c r="AF110" s="167">
        <f t="shared" si="149"/>
        <v>5.6571084560451297E-5</v>
      </c>
      <c r="AG110" s="173">
        <f>AVERAGEIFS(Table13[Earned Income - Syndication],Table13[Scope/Content Type],$AB97,Table13[Earned Income - Syndication],"&gt;0")</f>
        <v>48758</v>
      </c>
      <c r="AH110" s="179">
        <f t="shared" si="150"/>
        <v>5.0393743592031248E-2</v>
      </c>
      <c r="AI110" s="179">
        <f t="shared" si="151"/>
        <v>6.2609318028436422E-3</v>
      </c>
    </row>
    <row r="111" spans="1:35" x14ac:dyDescent="0.15">
      <c r="B111" s="140"/>
      <c r="C111" s="140" t="s">
        <v>248</v>
      </c>
      <c r="D111" s="184">
        <f>SUMIF(Table13[Scope/Sub-Type],'INN Income Splits'!$A$6,Table13[Earned Income - Other])</f>
        <v>360332.27</v>
      </c>
      <c r="E111" s="185">
        <f t="shared" si="140"/>
        <v>4.6172844332765625E-2</v>
      </c>
      <c r="F111" s="184">
        <f>AVERAGEIFS(Table13[Earned Income - Other],Table13[Scope/Content Type],$A97,Table13[Earned Income - Other],"&gt;0")</f>
        <v>32873.362500000003</v>
      </c>
      <c r="G111" s="185">
        <f t="shared" si="141"/>
        <v>7.129863263298325E-2</v>
      </c>
      <c r="H111" s="185">
        <f t="shared" si="142"/>
        <v>2.9190741144492938E-2</v>
      </c>
      <c r="K111" s="140"/>
      <c r="L111" s="140" t="s">
        <v>248</v>
      </c>
      <c r="M111" s="184">
        <f>SUMIF(Table13[Scope/Sub-Type],'INN Income Splits'!$A$6,Table13[Earned Income - Other])</f>
        <v>360332.27</v>
      </c>
      <c r="N111" s="185">
        <f t="shared" si="143"/>
        <v>4.6172844332765625E-2</v>
      </c>
      <c r="O111" s="184">
        <f>AVERAGEIFS(Table13[Earned Income - Other],Table13[Scope/Content Type],$J97,Table13[Earned Income - Other],"&gt;0")</f>
        <v>238135.77777777778</v>
      </c>
      <c r="P111" s="185">
        <f t="shared" si="144"/>
        <v>0.21229588132895208</v>
      </c>
      <c r="Q111" s="185">
        <f t="shared" si="145"/>
        <v>0.11729550365561719</v>
      </c>
      <c r="T111" s="140"/>
      <c r="U111" s="140" t="s">
        <v>248</v>
      </c>
      <c r="V111" s="184">
        <f>SUMIF(Table13[Scope/Sub-Type],'INN Income Splits'!$A$6,Table13[Earned Income - Other])</f>
        <v>360332.27</v>
      </c>
      <c r="W111" s="185">
        <f t="shared" si="146"/>
        <v>4.6172844332765625E-2</v>
      </c>
      <c r="X111" s="184">
        <f>AVERAGEIFS(Table13[Earned Income - Other],Table13[Scope/Content Type],$S97,Table13[Earned Income - Other],"&gt;0")</f>
        <v>95181</v>
      </c>
      <c r="Y111" s="185">
        <f t="shared" si="147"/>
        <v>0.98862644895924223</v>
      </c>
      <c r="Z111" s="185">
        <f t="shared" si="148"/>
        <v>0.28587647490798018</v>
      </c>
      <c r="AC111" s="140"/>
      <c r="AD111" s="140" t="s">
        <v>248</v>
      </c>
      <c r="AE111" s="184">
        <f>SUMIF(Table13[Scope/Sub-Type],'INN Income Splits'!$A$6,Table13[Earned Income - Other])</f>
        <v>360332.27</v>
      </c>
      <c r="AF111" s="185">
        <f t="shared" si="149"/>
        <v>4.6172844332765625E-2</v>
      </c>
      <c r="AG111" s="184">
        <f>AVERAGEIFS(Table13[Earned Income - Other],Table13[Scope/Content Type],$AB97,Table13[Earned Income - Other],"&gt;0")</f>
        <v>202126.4</v>
      </c>
      <c r="AH111" s="185">
        <f t="shared" si="150"/>
        <v>0.20890737878461677</v>
      </c>
      <c r="AI111" s="185">
        <f t="shared" si="151"/>
        <v>2.5954707042009417E-2</v>
      </c>
    </row>
    <row r="112" spans="1:35" ht="13" thickBot="1" x14ac:dyDescent="0.2">
      <c r="B112" s="214"/>
      <c r="C112" s="214" t="s">
        <v>60</v>
      </c>
      <c r="D112" s="215">
        <f>SUM(D106:D111)</f>
        <v>7803986.8500000015</v>
      </c>
      <c r="E112" s="216">
        <f t="shared" ref="E112" si="152">SUM(E106:E111)</f>
        <v>0.99999999999999989</v>
      </c>
      <c r="F112" s="215">
        <f>SUM(F106:F111)</f>
        <v>461065.81972222216</v>
      </c>
      <c r="G112" s="217">
        <f>SUM(G106:G111)</f>
        <v>1.0000000000000002</v>
      </c>
      <c r="H112" s="216">
        <f>SUM(H106:H111)</f>
        <v>0.40941516080336571</v>
      </c>
      <c r="K112" s="214"/>
      <c r="L112" s="214" t="s">
        <v>60</v>
      </c>
      <c r="M112" s="215">
        <f>SUM(M106:M111)</f>
        <v>7803986.8500000015</v>
      </c>
      <c r="N112" s="216">
        <f t="shared" ref="N112" si="153">SUM(N106:N111)</f>
        <v>0.99999999999999989</v>
      </c>
      <c r="O112" s="215">
        <f>SUM(O106:O111)</f>
        <v>1121716.4284444447</v>
      </c>
      <c r="P112" s="217">
        <f>SUM(P106:P111)</f>
        <v>1</v>
      </c>
      <c r="Q112" s="216">
        <f>SUM(Q106:Q111)</f>
        <v>0.55250955845849881</v>
      </c>
      <c r="T112" s="214"/>
      <c r="U112" s="214" t="s">
        <v>60</v>
      </c>
      <c r="V112" s="215">
        <f>SUM(V106:V111)</f>
        <v>7803986.8500000015</v>
      </c>
      <c r="W112" s="216">
        <f t="shared" ref="W112" si="154">SUM(W106:W111)</f>
        <v>0.99999999999999989</v>
      </c>
      <c r="X112" s="215">
        <f>SUM(X106:X111)</f>
        <v>96276</v>
      </c>
      <c r="Y112" s="217">
        <f>SUM(Y106:Y111)</f>
        <v>1</v>
      </c>
      <c r="Z112" s="216">
        <f>SUM(Z106:Z111)</f>
        <v>0.28916531133567308</v>
      </c>
      <c r="AC112" s="214"/>
      <c r="AD112" s="214" t="s">
        <v>60</v>
      </c>
      <c r="AE112" s="215">
        <f>SUM(AE106:AE111)</f>
        <v>7803986.8500000015</v>
      </c>
      <c r="AF112" s="216">
        <f t="shared" ref="AF112" si="155">SUM(AF106:AF111)</f>
        <v>0.99999999999999989</v>
      </c>
      <c r="AG112" s="215">
        <f>SUM(AG106:AG111)</f>
        <v>967540.74066666665</v>
      </c>
      <c r="AH112" s="217">
        <f>SUM(AH106:AH111)</f>
        <v>1</v>
      </c>
      <c r="AI112" s="216">
        <f>SUM(AI106:AI111)</f>
        <v>0.1242402599324588</v>
      </c>
    </row>
    <row r="113" spans="1:35" ht="13" thickTop="1" x14ac:dyDescent="0.15">
      <c r="A113" s="136"/>
      <c r="B113" s="136" t="s">
        <v>60</v>
      </c>
      <c r="C113" s="136"/>
      <c r="D113" s="204">
        <f>D104+D112</f>
        <v>7803986.8500000015</v>
      </c>
      <c r="E113" s="168"/>
      <c r="F113" s="204">
        <f>F104+F112</f>
        <v>1126157.1721416132</v>
      </c>
      <c r="G113" s="218"/>
      <c r="H113" s="168">
        <f>H112+H104</f>
        <v>0.99999999999999989</v>
      </c>
      <c r="J113" s="136"/>
      <c r="K113" s="136" t="s">
        <v>60</v>
      </c>
      <c r="L113" s="136"/>
      <c r="M113" s="204">
        <f>M104+M112</f>
        <v>7803986.8500000015</v>
      </c>
      <c r="N113" s="168"/>
      <c r="O113" s="204">
        <f>O104+O112</f>
        <v>2030220.8554980159</v>
      </c>
      <c r="P113" s="218"/>
      <c r="Q113" s="168">
        <f>Q112+Q104</f>
        <v>1</v>
      </c>
      <c r="S113" s="136"/>
      <c r="T113" s="136" t="s">
        <v>60</v>
      </c>
      <c r="U113" s="136"/>
      <c r="V113" s="204">
        <f>V104+V112</f>
        <v>7803986.8500000015</v>
      </c>
      <c r="W113" s="168"/>
      <c r="X113" s="204">
        <f>X104+X112</f>
        <v>332944.5</v>
      </c>
      <c r="Y113" s="218"/>
      <c r="Z113" s="168">
        <f>Z112+Z104</f>
        <v>1</v>
      </c>
      <c r="AB113" s="136"/>
      <c r="AC113" s="136" t="s">
        <v>60</v>
      </c>
      <c r="AD113" s="136"/>
      <c r="AE113" s="204">
        <f>AE104+AE112</f>
        <v>7803986.8500000015</v>
      </c>
      <c r="AF113" s="168"/>
      <c r="AG113" s="204">
        <f>AG104+AG112</f>
        <v>7787658.6960833343</v>
      </c>
      <c r="AH113" s="218"/>
      <c r="AI113" s="168">
        <f>AI112+AI104</f>
        <v>1</v>
      </c>
    </row>
  </sheetData>
  <pageMargins left="0.7" right="0.7" top="0.75" bottom="0.75" header="0.3" footer="0.3"/>
  <pageSetup scale="50" orientation="landscape" horizontalDpi="1200" verticalDpi="1200" r:id="rId1"/>
  <rowBreaks count="1" manualBreakCount="1">
    <brk id="78" max="34" man="1"/>
  </rowBreaks>
  <colBreaks count="1" manualBreakCount="1">
    <brk id="18" max="1048575" man="1"/>
  </colBreaks>
  <ignoredErrors>
    <ignoredError sqref="O53"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6B48-AC08-41D9-8B6D-9CE587F3A3BF}">
  <sheetPr>
    <tabColor theme="7" tint="0.39997558519241921"/>
  </sheetPr>
  <dimension ref="A1:W54"/>
  <sheetViews>
    <sheetView workbookViewId="0">
      <selection activeCell="F28" sqref="F28"/>
    </sheetView>
  </sheetViews>
  <sheetFormatPr baseColWidth="10" defaultColWidth="8.83203125" defaultRowHeight="15" x14ac:dyDescent="0.2"/>
  <cols>
    <col min="2" max="2" width="22" bestFit="1" customWidth="1"/>
    <col min="3" max="3" width="15.33203125" bestFit="1" customWidth="1"/>
    <col min="5" max="5" width="12.5" bestFit="1" customWidth="1"/>
    <col min="8" max="8" width="22" bestFit="1" customWidth="1"/>
    <col min="9" max="9" width="15.33203125" bestFit="1" customWidth="1"/>
    <col min="10" max="10" width="6.1640625" bestFit="1" customWidth="1"/>
    <col min="11" max="11" width="14.33203125" bestFit="1" customWidth="1"/>
    <col min="14" max="14" width="22" bestFit="1" customWidth="1"/>
    <col min="15" max="15" width="15.33203125" bestFit="1" customWidth="1"/>
    <col min="17" max="17" width="14.33203125" bestFit="1" customWidth="1"/>
    <col min="20" max="20" width="22" bestFit="1" customWidth="1"/>
    <col min="21" max="21" width="15.33203125" bestFit="1" customWidth="1"/>
    <col min="23" max="23" width="15.33203125" bestFit="1" customWidth="1"/>
  </cols>
  <sheetData>
    <row r="1" spans="1:23" x14ac:dyDescent="0.2">
      <c r="A1" s="1" t="s">
        <v>0</v>
      </c>
    </row>
    <row r="2" spans="1:23" x14ac:dyDescent="0.2">
      <c r="A2" s="1" t="s">
        <v>2</v>
      </c>
    </row>
    <row r="3" spans="1:23" x14ac:dyDescent="0.2">
      <c r="A3" s="2" t="s">
        <v>3</v>
      </c>
    </row>
    <row r="4" spans="1:23" x14ac:dyDescent="0.2">
      <c r="A4" s="1" t="s">
        <v>298</v>
      </c>
    </row>
    <row r="6" spans="1:23" x14ac:dyDescent="0.2">
      <c r="A6" s="1" t="s">
        <v>264</v>
      </c>
      <c r="C6" s="1">
        <f>C8+I8+O8+U8</f>
        <v>108</v>
      </c>
    </row>
    <row r="8" spans="1:23" x14ac:dyDescent="0.2">
      <c r="A8" s="1" t="s">
        <v>265</v>
      </c>
      <c r="C8" s="1">
        <f>C10+C26+C41</f>
        <v>40</v>
      </c>
      <c r="G8" s="1" t="s">
        <v>266</v>
      </c>
      <c r="I8" s="1">
        <f>I10+I26+I41</f>
        <v>31</v>
      </c>
      <c r="M8" s="1" t="s">
        <v>267</v>
      </c>
      <c r="N8" s="1"/>
      <c r="O8" s="1">
        <f>O10+O26+O41</f>
        <v>10</v>
      </c>
      <c r="S8" s="1" t="s">
        <v>268</v>
      </c>
      <c r="T8" s="1"/>
      <c r="U8" s="1">
        <f>U10+U26+U41</f>
        <v>27</v>
      </c>
    </row>
    <row r="10" spans="1:23" x14ac:dyDescent="0.2">
      <c r="A10" s="1" t="s">
        <v>120</v>
      </c>
      <c r="C10" s="1">
        <f>COUNTIF(Table1[Scope/Sub-Type],'INN Rollups 2020'!A10)</f>
        <v>19</v>
      </c>
      <c r="E10" s="61"/>
      <c r="G10" s="1" t="s">
        <v>123</v>
      </c>
      <c r="I10" s="1">
        <f>COUNTIF(Table1[Scope/Sub-Type],'INN Rollups 2020'!G10)</f>
        <v>8</v>
      </c>
      <c r="M10" s="1" t="s">
        <v>126</v>
      </c>
      <c r="O10" s="1">
        <f>COUNTIF(Table1[Scope/Sub-Type],'INN Rollups 2020'!M10)</f>
        <v>1</v>
      </c>
      <c r="S10" s="1" t="s">
        <v>129</v>
      </c>
      <c r="U10" s="1">
        <f>COUNTIF(Table1[Scope/Sub-Type],'INN Rollups 2020'!S10)</f>
        <v>5</v>
      </c>
    </row>
    <row r="11" spans="1:23" x14ac:dyDescent="0.2">
      <c r="B11" s="1"/>
    </row>
    <row r="12" spans="1:23" x14ac:dyDescent="0.2">
      <c r="B12" s="1"/>
      <c r="C12" s="68" t="s">
        <v>269</v>
      </c>
      <c r="D12" s="68" t="s">
        <v>270</v>
      </c>
      <c r="E12" s="68" t="s">
        <v>271</v>
      </c>
      <c r="H12" s="1"/>
      <c r="I12" s="68" t="s">
        <v>269</v>
      </c>
      <c r="J12" s="68" t="s">
        <v>270</v>
      </c>
      <c r="K12" s="68" t="s">
        <v>271</v>
      </c>
      <c r="N12" s="1"/>
      <c r="O12" s="68" t="s">
        <v>269</v>
      </c>
      <c r="P12" s="68" t="s">
        <v>270</v>
      </c>
      <c r="Q12" s="68" t="s">
        <v>271</v>
      </c>
      <c r="T12" s="1"/>
      <c r="U12" s="68" t="s">
        <v>269</v>
      </c>
      <c r="V12" s="68" t="s">
        <v>270</v>
      </c>
      <c r="W12" s="68" t="s">
        <v>271</v>
      </c>
    </row>
    <row r="13" spans="1:23" x14ac:dyDescent="0.2">
      <c r="B13" t="s">
        <v>272</v>
      </c>
      <c r="C13" s="131">
        <f>SUMIF(Table1[Scope/Sub-Type],'INN Rollups 2020'!A10,Table1[Total Contributed Income])</f>
        <v>4797787</v>
      </c>
      <c r="D13" s="65">
        <f>C13/C15</f>
        <v>0.6517459838344063</v>
      </c>
      <c r="E13" s="133">
        <f>AVERAGEIFS(Table1[Total Contributed Income],Table1[Scope/Sub-Type],'INN Rollups 2020'!A10,Table1[Total Contributed Income],"&gt;0")</f>
        <v>282222.76470588235</v>
      </c>
      <c r="F13" s="62"/>
      <c r="H13" t="s">
        <v>272</v>
      </c>
      <c r="I13" s="131">
        <f>SUMIF(Table1[Scope/Sub-Type],'INN Rollups 2020'!G10,Table1[Total Contributed Income])</f>
        <v>3940525.82</v>
      </c>
      <c r="J13" s="65">
        <f>I13/I15</f>
        <v>0.92559576330829163</v>
      </c>
      <c r="K13" s="133">
        <f>AVERAGEIFS(Table1[Total Contributed Income],Table1[Scope/Sub-Type],'INN Rollups 2020'!G10,Table1[Total Contributed Income],"&gt;0")</f>
        <v>492565.72749999998</v>
      </c>
      <c r="N13" t="s">
        <v>272</v>
      </c>
      <c r="O13" s="131">
        <f>SUMIF(Table1[Scope/Sub-Type],'INN Rollups 2020'!M10,Table1[Total Contributed Income])</f>
        <v>2221140</v>
      </c>
      <c r="P13" s="65">
        <f>O13/O15</f>
        <v>0.6580208005602749</v>
      </c>
      <c r="Q13" s="133">
        <f>AVERAGEIFS(Table1[Total Contributed Income],Table1[Scope/Sub-Type],'INN Rollups 2020'!M10,Table1[Total Contributed Income],"&gt;0")</f>
        <v>2221140</v>
      </c>
      <c r="T13" t="s">
        <v>272</v>
      </c>
      <c r="U13" s="131">
        <f>SUMIF(Table1[Scope/Sub-Type],'INN Rollups 2020'!S10,Table1[Total Contributed Income])</f>
        <v>46400667.020000003</v>
      </c>
      <c r="V13" s="65">
        <f>U13/U15</f>
        <v>0.97423461534569022</v>
      </c>
      <c r="W13" s="133">
        <f>AVERAGEIFS(Table1[Total Contributed Income],Table1[Scope/Sub-Type],'INN Rollups 2020'!S10,Table1[Total Contributed Income],"&gt;0")</f>
        <v>9280133.404000001</v>
      </c>
    </row>
    <row r="14" spans="1:23" x14ac:dyDescent="0.2">
      <c r="B14" s="21" t="s">
        <v>273</v>
      </c>
      <c r="C14" s="132">
        <f>SUMIF(Table1[Scope/Sub-Type],'INN Rollups 2020'!A10,Table1[Total Earned Income])</f>
        <v>2563650</v>
      </c>
      <c r="D14" s="66">
        <f>C14/C15</f>
        <v>0.34825401616559376</v>
      </c>
      <c r="E14" s="134">
        <f>AVERAGEIFS(Table1[Total Earned Income],Table1[Scope/Sub-Type],'INN Rollups 2020'!A10,Table1[Total Earned Income],"&gt;0")</f>
        <v>160228.125</v>
      </c>
      <c r="H14" s="21" t="s">
        <v>273</v>
      </c>
      <c r="I14" s="132">
        <f>SUMIF(Table1[Scope/Sub-Type],'INN Rollups 2020'!G10,Table1[Total Earned Income])</f>
        <v>316760.11</v>
      </c>
      <c r="J14" s="66">
        <f>I14/I15</f>
        <v>7.4404236691708425E-2</v>
      </c>
      <c r="K14" s="134">
        <f>AVERAGEIFS(Table1[Total Earned Income],Table1[Scope/Sub-Type],'INN Rollups 2020'!G10,Table1[Total Earned Income],"&gt;0")</f>
        <v>52793.351666666662</v>
      </c>
      <c r="N14" s="21" t="s">
        <v>273</v>
      </c>
      <c r="O14" s="132">
        <f>SUMIF(Table1[Scope/Sub-Type],'INN Rollups 2020'!M10,Table1[Total Earned Income])</f>
        <v>1154346</v>
      </c>
      <c r="P14" s="66">
        <f>O14/O15</f>
        <v>0.3419791994397251</v>
      </c>
      <c r="Q14" s="134">
        <f>AVERAGEIFS(Table1[Total Earned Income],Table1[Scope/Sub-Type],'INN Rollups 2020'!M10,Table1[Total Earned Income],"&gt;0")</f>
        <v>1154346</v>
      </c>
      <c r="T14" s="21" t="s">
        <v>273</v>
      </c>
      <c r="U14" s="132">
        <f>SUMIF(Table1[Scope/Sub-Type],'INN Rollups 2020'!S10,Table1[Total Earned Income])</f>
        <v>1227149</v>
      </c>
      <c r="V14" s="66">
        <f>U14/U15</f>
        <v>2.5765384654309831E-2</v>
      </c>
      <c r="W14" s="134">
        <f>AVERAGEIFS(Table1[Total Earned Income],Table1[Scope/Sub-Type],'INN Rollups 2020'!S10,Table1[Total Earned Income],"&gt;0")</f>
        <v>306787.25</v>
      </c>
    </row>
    <row r="15" spans="1:23" x14ac:dyDescent="0.2">
      <c r="B15" t="s">
        <v>274</v>
      </c>
      <c r="C15" s="131">
        <f>SUM(C13:C14)</f>
        <v>7361437</v>
      </c>
      <c r="D15" s="67">
        <f>SUM(D13:D14)</f>
        <v>1</v>
      </c>
      <c r="E15" s="133">
        <f>AVERAGEIFS(Table1[Total Income],Table1[Scope/Sub-Type],'INN Rollups 2020'!A10,Table1[Total Income],"&gt;0")</f>
        <v>433025.70588235295</v>
      </c>
      <c r="H15" t="s">
        <v>274</v>
      </c>
      <c r="I15" s="131">
        <f>SUM(I13:I14)</f>
        <v>4257285.93</v>
      </c>
      <c r="J15" s="67">
        <f>SUM(J13:J14)</f>
        <v>1</v>
      </c>
      <c r="K15" s="133">
        <f>AVERAGEIFS(Table1[Total Income],Table1[Scope/Sub-Type],'INN Rollups 2020'!G10,Table1[Total Income],"&gt;0")</f>
        <v>532160.74124999996</v>
      </c>
      <c r="N15" t="s">
        <v>274</v>
      </c>
      <c r="O15" s="131">
        <f>SUM(O13:O14)</f>
        <v>3375486</v>
      </c>
      <c r="P15" s="67">
        <f>SUM(P13:P14)</f>
        <v>1</v>
      </c>
      <c r="Q15" s="133">
        <f>AVERAGEIFS(Table1[Total Income],Table1[Scope/Sub-Type],'INN Rollups 2020'!M10,Table1[Total Income],"&gt;0")</f>
        <v>3375486</v>
      </c>
      <c r="T15" t="s">
        <v>274</v>
      </c>
      <c r="U15" s="131">
        <f>SUM(U13:U14)</f>
        <v>47627816.020000003</v>
      </c>
      <c r="V15" s="67">
        <f>SUM(V13:V14)</f>
        <v>1</v>
      </c>
      <c r="W15" s="133">
        <f>AVERAGEIFS(Table1[Total Income],Table1[Scope/Sub-Type],'INN Rollups 2020'!S10,Table1[Total Income],"&gt;0")</f>
        <v>9525563.2039999999</v>
      </c>
    </row>
    <row r="16" spans="1:23" x14ac:dyDescent="0.2">
      <c r="C16" s="133"/>
      <c r="E16" s="133"/>
      <c r="I16" s="133"/>
      <c r="K16" s="133"/>
      <c r="O16" s="133"/>
      <c r="Q16" s="133"/>
      <c r="U16" s="133"/>
      <c r="W16" s="133"/>
    </row>
    <row r="17" spans="1:23" x14ac:dyDescent="0.2">
      <c r="B17" t="s">
        <v>275</v>
      </c>
      <c r="C17" s="131">
        <f>SUMIF(Table1[Scope/Sub-Type],'INN Rollups 2020'!A10,Table1[Expenses - Editorial])</f>
        <v>4365032.79</v>
      </c>
      <c r="D17" s="65">
        <f>C17/C19</f>
        <v>0.64070234181962926</v>
      </c>
      <c r="E17" s="133">
        <f>AVERAGEIFS(Table1[Expenses - Editorial],Table1[Scope/Sub-Type],'INN Rollups 2020'!A10,Table1[Expenses - Editorial],"&gt;0")</f>
        <v>256766.63470588234</v>
      </c>
      <c r="H17" t="s">
        <v>275</v>
      </c>
      <c r="I17" s="131">
        <f>SUMIF(Table1[Scope/Sub-Type],'INN Rollups 2020'!G10,Table1[Expenses - Editorial])</f>
        <v>2491439.4300000002</v>
      </c>
      <c r="J17" s="65">
        <f>I17/I19</f>
        <v>0.62513581603370605</v>
      </c>
      <c r="K17" s="133">
        <f>AVERAGEIFS(Table1[Expenses - Editorial],Table1[Scope/Sub-Type],'INN Rollups 2020'!G10,Table1[Expenses - Editorial],"&gt;0")</f>
        <v>311429.92875000002</v>
      </c>
      <c r="N17" t="s">
        <v>275</v>
      </c>
      <c r="O17" s="131">
        <f>SUMIF(Table1[Scope/Sub-Type],'INN Rollups 2020'!M10,Table1[Expenses - Editorial])</f>
        <v>1539425</v>
      </c>
      <c r="P17" s="65">
        <f>O17/O19</f>
        <v>0.42327373850994338</v>
      </c>
      <c r="Q17" s="133">
        <f>AVERAGEIFS(Table1[Expenses - Editorial],Table1[Scope/Sub-Type],'INN Rollups 2020'!M10,Table1[Expenses - Editorial],"&gt;0")</f>
        <v>1539425</v>
      </c>
      <c r="T17" t="s">
        <v>275</v>
      </c>
      <c r="U17" s="131">
        <f>SUMIF(Table1[Scope/Sub-Type],'INN Rollups 2020'!S10,Table1[Expenses - Editorial])</f>
        <v>33044318</v>
      </c>
      <c r="V17" s="65">
        <f>U17/U19</f>
        <v>0.78906593988480522</v>
      </c>
      <c r="W17" s="133">
        <f>AVERAGEIFS(Table1[Expenses - Editorial],Table1[Scope/Sub-Type],'INN Rollups 2020'!S10,Table1[Expenses - Editorial],"&gt;0")</f>
        <v>6608863.5999999996</v>
      </c>
    </row>
    <row r="18" spans="1:23" x14ac:dyDescent="0.2">
      <c r="B18" s="21" t="s">
        <v>276</v>
      </c>
      <c r="C18" s="132">
        <f>SUMIF(Table1[Scope/Sub-Type],'INN Rollups 2020'!A10,Table1[Expenses - Non-Editorial])</f>
        <v>2447854.42</v>
      </c>
      <c r="D18" s="66">
        <f>C18/C19</f>
        <v>0.35929765818037079</v>
      </c>
      <c r="E18" s="134">
        <f>AVERAGEIFS(Table1[Expenses - Non-Editorial],Table1[Scope/Sub-Type],'INN Rollups 2020'!A10,Table1[Expenses - Non-Editorial],"&gt;0")</f>
        <v>143991.43647058823</v>
      </c>
      <c r="H18" s="21" t="s">
        <v>276</v>
      </c>
      <c r="I18" s="132">
        <f>SUMIF(Table1[Scope/Sub-Type],'INN Rollups 2020'!G10,Table1[Expenses - Non-Editorial])</f>
        <v>1493997.6</v>
      </c>
      <c r="J18" s="66">
        <f>I18/I19</f>
        <v>0.3748641839662939</v>
      </c>
      <c r="K18" s="134">
        <f>AVERAGEIFS(Table1[Expenses - Non-Editorial],Table1[Scope/Sub-Type],'INN Rollups 2020'!G10,Table1[Expenses - Non-Editorial],"&gt;0")</f>
        <v>186749.7</v>
      </c>
      <c r="N18" s="21" t="s">
        <v>276</v>
      </c>
      <c r="O18" s="132">
        <f>SUMIF(Table1[Scope/Sub-Type],'INN Rollups 2020'!M10,Table1[Expenses - Non-Editorial])</f>
        <v>2097524</v>
      </c>
      <c r="P18" s="66">
        <f>O18/O19</f>
        <v>0.57672626149005668</v>
      </c>
      <c r="Q18" s="134">
        <f>AVERAGEIFS(Table1[Expenses - Non-Editorial],Table1[Scope/Sub-Type],'INN Rollups 2020'!M10,Table1[Expenses - Non-Editorial],"&gt;0")</f>
        <v>2097524</v>
      </c>
      <c r="T18" s="21" t="s">
        <v>276</v>
      </c>
      <c r="U18" s="132">
        <f>SUMIF(Table1[Scope/Sub-Type],'INN Rollups 2020'!S10,Table1[Expenses - Non-Editorial])</f>
        <v>8833447</v>
      </c>
      <c r="V18" s="66">
        <f>U18/U19</f>
        <v>0.21093406011519478</v>
      </c>
      <c r="W18" s="134">
        <f>AVERAGEIFS(Table1[Expenses - Non-Editorial],Table1[Scope/Sub-Type],'INN Rollups 2020'!S10,Table1[Expenses - Non-Editorial],"&gt;0")</f>
        <v>1766689.4</v>
      </c>
    </row>
    <row r="19" spans="1:23" x14ac:dyDescent="0.2">
      <c r="B19" t="s">
        <v>277</v>
      </c>
      <c r="C19" s="131">
        <f>SUM(C17:C18)</f>
        <v>6812887.21</v>
      </c>
      <c r="D19" s="65">
        <f>SUM(D17:D18)</f>
        <v>1</v>
      </c>
      <c r="E19" s="133">
        <f>AVERAGEIFS(Table1[TOTAL EXPENSES],Table1[Scope/Sub-Type],'INN Rollups 2020'!A10,Table1[TOTAL EXPENSES],"&gt;0")</f>
        <v>400758.07117647061</v>
      </c>
      <c r="F19" s="61"/>
      <c r="H19" t="s">
        <v>277</v>
      </c>
      <c r="I19" s="131">
        <f>SUM(I17:I18)</f>
        <v>3985437.0300000003</v>
      </c>
      <c r="J19" s="65">
        <f>SUM(J17:J18)</f>
        <v>1</v>
      </c>
      <c r="K19" s="133">
        <f>AVERAGEIFS(Table1[TOTAL EXPENSES],Table1[Scope/Sub-Type],'INN Rollups 2020'!G10,Table1[TOTAL EXPENSES],"&gt;0")</f>
        <v>498179.62875000003</v>
      </c>
      <c r="N19" t="s">
        <v>277</v>
      </c>
      <c r="O19" s="131">
        <f>SUM(O17:O18)</f>
        <v>3636949</v>
      </c>
      <c r="P19" s="65">
        <f>SUM(P17:P18)</f>
        <v>1</v>
      </c>
      <c r="Q19" s="133">
        <f>AVERAGEIFS(Table1[TOTAL EXPENSES],Table1[Scope/Sub-Type],'INN Rollups 2020'!M10,Table1[TOTAL EXPENSES],"&gt;0")</f>
        <v>3636949</v>
      </c>
      <c r="T19" t="s">
        <v>277</v>
      </c>
      <c r="U19" s="131">
        <f>SUM(U17:U18)</f>
        <v>41877765</v>
      </c>
      <c r="V19" s="65">
        <f>SUM(V17:V18)</f>
        <v>1</v>
      </c>
      <c r="W19" s="133">
        <f>AVERAGEIFS(Table1[TOTAL EXPENSES],Table1[Scope/Sub-Type],'INN Rollups 2020'!S10,Table1[TOTAL EXPENSES],"&gt;0")</f>
        <v>8375553</v>
      </c>
    </row>
    <row r="21" spans="1:23" x14ac:dyDescent="0.2">
      <c r="B21" t="s">
        <v>278</v>
      </c>
      <c r="C21">
        <f>SUMIF(Table1[Scope/Sub-Type],'INN Rollups 2020'!A10,Table1[Total FTE - Editorial])</f>
        <v>98.55</v>
      </c>
      <c r="D21" s="62">
        <f>C21/C23</f>
        <v>0.81379025598678778</v>
      </c>
      <c r="E21" s="69">
        <f>AVERAGEIFS(Table1[Total FTE - Editorial],Table1[Scope/Sub-Type],'INN Rollups 2020'!A10,Table1[Total FTE - Editorial],"&gt;0")</f>
        <v>5.1868421052631577</v>
      </c>
      <c r="H21" t="s">
        <v>278</v>
      </c>
      <c r="I21">
        <f>SUMIF(Table1[Scope/Sub-Type],'INN Rollups 2020'!G10,Table1[Total FTE - Editorial])</f>
        <v>40.25</v>
      </c>
      <c r="J21" s="62">
        <f>I21/I23</f>
        <v>0.75657894736842102</v>
      </c>
      <c r="K21" s="69">
        <f>AVERAGEIFS(Table1[Total FTE - Editorial],Table1[Scope/Sub-Type],'INN Rollups 2020'!G10,Table1[Total FTE - Editorial],"&gt;0")</f>
        <v>5.75</v>
      </c>
      <c r="N21" t="s">
        <v>278</v>
      </c>
      <c r="O21">
        <f>SUMIF(Table1[Scope/Sub-Type],'INN Rollups 2020'!M10,Table1[Total FTE - Editorial])</f>
        <v>16</v>
      </c>
      <c r="P21" s="62">
        <f>O21/O23</f>
        <v>0.5423728813559322</v>
      </c>
      <c r="Q21" s="69">
        <f>AVERAGEIFS(Table1[Total FTE - Editorial],Table1[Scope/Sub-Type],'INN Rollups 2020'!M10,Table1[Total FTE - Editorial],"&gt;0")</f>
        <v>16</v>
      </c>
      <c r="T21" t="s">
        <v>278</v>
      </c>
      <c r="U21">
        <f>SUMIF(Table1[Scope/Sub-Type],'INN Rollups 2020'!S10,Table1[Total FTE - Editorial])</f>
        <v>188.5</v>
      </c>
      <c r="V21" s="62">
        <f>U21/U23</f>
        <v>0.79201680672268904</v>
      </c>
      <c r="W21" s="69">
        <f>AVERAGEIFS(Table1[Total FTE - Editorial],Table1[Scope/Sub-Type],'INN Rollups 2020'!S10,Table1[Total FTE - Editorial],"&gt;0")</f>
        <v>37.700000000000003</v>
      </c>
    </row>
    <row r="22" spans="1:23" x14ac:dyDescent="0.2">
      <c r="B22" s="21" t="s">
        <v>279</v>
      </c>
      <c r="C22" s="21">
        <f>SUMIF(Table1[Scope/Sub-Type],'INN Rollups 2020'!A10,Table1[Total FTE - Non-Editorial])</f>
        <v>22.55</v>
      </c>
      <c r="D22" s="64">
        <f>C22/C23</f>
        <v>0.18620974401321225</v>
      </c>
      <c r="E22" s="70">
        <f>AVERAGEIFS(Table1[Total FTE - Non-Editorial],Table1[Scope/Sub-Type],'INN Rollups 2020'!A10,Table1[Total FTE - Non-Editorial],"&gt;0")</f>
        <v>1.7346153846153847</v>
      </c>
      <c r="H22" s="21" t="s">
        <v>279</v>
      </c>
      <c r="I22" s="21">
        <f>SUMIF(Table1[Scope/Sub-Type],'INN Rollups 2020'!G10,Table1[Total FTE - Non-Editorial])</f>
        <v>12.95</v>
      </c>
      <c r="J22" s="64">
        <f>I22/I23</f>
        <v>0.24342105263157893</v>
      </c>
      <c r="K22" s="70">
        <f>AVERAGEIFS(Table1[Total FTE - Non-Editorial],Table1[Scope/Sub-Type],'INN Rollups 2020'!G10,Table1[Total FTE - Non-Editorial],"&gt;0")</f>
        <v>2.1583333333333332</v>
      </c>
      <c r="N22" s="21" t="s">
        <v>279</v>
      </c>
      <c r="O22" s="21">
        <f>SUMIF(Table1[Scope/Sub-Type],'INN Rollups 2020'!M10,Table1[Total FTE - Non-Editorial])</f>
        <v>13.5</v>
      </c>
      <c r="P22" s="64">
        <f>O22/O23</f>
        <v>0.4576271186440678</v>
      </c>
      <c r="Q22" s="70">
        <f>AVERAGEIFS(Table1[Total FTE - Non-Editorial],Table1[Scope/Sub-Type],'INN Rollups 2020'!M10,Table1[Total FTE - Non-Editorial],"&gt;0")</f>
        <v>13.5</v>
      </c>
      <c r="T22" s="21" t="s">
        <v>279</v>
      </c>
      <c r="U22" s="21">
        <f>SUMIF(Table1[Scope/Sub-Type],'INN Rollups 2020'!S10,Table1[Total FTE - Non-Editorial])</f>
        <v>49.5</v>
      </c>
      <c r="V22" s="64">
        <f>U22/U23</f>
        <v>0.20798319327731093</v>
      </c>
      <c r="W22" s="70">
        <f>AVERAGEIFS(Table1[Total FTE - Non-Editorial],Table1[Scope/Sub-Type],'INN Rollups 2020'!S10,Table1[Total FTE - Non-Editorial],"&gt;0")</f>
        <v>9.9</v>
      </c>
    </row>
    <row r="23" spans="1:23" x14ac:dyDescent="0.2">
      <c r="B23" t="s">
        <v>280</v>
      </c>
      <c r="C23">
        <f>SUM(C21:C22)</f>
        <v>121.1</v>
      </c>
      <c r="D23" s="63">
        <f>SUM(D21:D22)</f>
        <v>1</v>
      </c>
      <c r="E23" s="69">
        <f>AVERAGEIFS(Table1[Total FTE],Table1[Scope/Sub-Type],'INN Rollups 2020'!A10,Table1[Total FTE],"&gt;0")</f>
        <v>6.3736842105263154</v>
      </c>
      <c r="H23" t="s">
        <v>280</v>
      </c>
      <c r="I23">
        <f>SUM(I21:I22)</f>
        <v>53.2</v>
      </c>
      <c r="J23" s="63">
        <f>SUM(J21:J22)</f>
        <v>1</v>
      </c>
      <c r="K23" s="69">
        <f>AVERAGEIFS(Table1[Total FTE],Table1[Scope/Sub-Type],'INN Rollups 2020'!G10,Table1[Total FTE],"&gt;0")</f>
        <v>7.6000000000000005</v>
      </c>
      <c r="N23" t="s">
        <v>280</v>
      </c>
      <c r="O23">
        <f>SUM(O21:O22)</f>
        <v>29.5</v>
      </c>
      <c r="P23" s="63">
        <f>SUM(P21:P22)</f>
        <v>1</v>
      </c>
      <c r="Q23" s="69">
        <f>AVERAGEIFS(Table1[Total FTE],Table1[Scope/Sub-Type],'INN Rollups 2020'!M10,Table1[Total FTE],"&gt;0")</f>
        <v>29.5</v>
      </c>
      <c r="T23" t="s">
        <v>280</v>
      </c>
      <c r="U23">
        <f>SUM(U21:U22)</f>
        <v>238</v>
      </c>
      <c r="V23" s="63">
        <f>SUM(V21:V22)</f>
        <v>1</v>
      </c>
      <c r="W23" s="69">
        <f>AVERAGEIFS(Table1[Total FTE],Table1[Scope/Sub-Type],'INN Rollups 2020'!S10,Table1[Total FTE],"&gt;0")</f>
        <v>47.6</v>
      </c>
    </row>
    <row r="26" spans="1:23" x14ac:dyDescent="0.2">
      <c r="A26" s="1" t="s">
        <v>121</v>
      </c>
      <c r="C26" s="1">
        <f>COUNTIF(Table1[Scope/Sub-Type],'INN Rollups 2020'!A26)</f>
        <v>17</v>
      </c>
      <c r="G26" s="1" t="s">
        <v>124</v>
      </c>
      <c r="I26" s="1">
        <f>COUNTIF(Table1[Scope/Sub-Type],'INN Rollups 2020'!G26)</f>
        <v>20</v>
      </c>
      <c r="M26" s="1" t="s">
        <v>127</v>
      </c>
      <c r="O26" s="1">
        <f>COUNTIF(Table1[Scope/Sub-Type],'INN Rollups 2020'!M26)</f>
        <v>6</v>
      </c>
      <c r="S26" s="1" t="s">
        <v>130</v>
      </c>
      <c r="U26" s="1">
        <f>COUNTIF(Table1[Scope/Sub-Type],'INN Rollups 2020'!S26)</f>
        <v>8</v>
      </c>
    </row>
    <row r="27" spans="1:23" x14ac:dyDescent="0.2">
      <c r="B27" s="1"/>
    </row>
    <row r="28" spans="1:23" x14ac:dyDescent="0.2">
      <c r="B28" s="1"/>
      <c r="C28" s="68" t="s">
        <v>269</v>
      </c>
      <c r="D28" s="68" t="s">
        <v>270</v>
      </c>
      <c r="E28" s="68" t="s">
        <v>271</v>
      </c>
      <c r="H28" s="1"/>
      <c r="I28" s="68" t="s">
        <v>269</v>
      </c>
      <c r="J28" s="68" t="s">
        <v>270</v>
      </c>
      <c r="K28" s="68" t="s">
        <v>271</v>
      </c>
      <c r="N28" s="1"/>
      <c r="O28" s="68" t="s">
        <v>269</v>
      </c>
      <c r="P28" s="68" t="s">
        <v>270</v>
      </c>
      <c r="Q28" s="68" t="s">
        <v>271</v>
      </c>
      <c r="T28" s="1"/>
      <c r="U28" s="68" t="s">
        <v>269</v>
      </c>
      <c r="V28" s="68" t="s">
        <v>270</v>
      </c>
      <c r="W28" s="68" t="s">
        <v>271</v>
      </c>
    </row>
    <row r="29" spans="1:23" x14ac:dyDescent="0.2">
      <c r="B29" t="s">
        <v>272</v>
      </c>
      <c r="C29" s="131">
        <f>SUMIF(Table1[Scope/Sub-Type],'INN Rollups 2020'!A26,Table1[Total Contributed Income])</f>
        <v>7609162.1899999995</v>
      </c>
      <c r="D29" s="65">
        <f>C29/C31</f>
        <v>0.89609795192081099</v>
      </c>
      <c r="E29" s="133">
        <f>AVERAGEIFS(Table1[Total Contributed Income],Table1[Scope/Sub-Type],'INN Rollups 2020'!A26,Table1[Total Contributed Income],"&gt;0")</f>
        <v>507277.47933333332</v>
      </c>
      <c r="H29" t="s">
        <v>272</v>
      </c>
      <c r="I29" s="131">
        <f>SUMIF(Table1[Scope/Sub-Type],'INN Rollups 2020'!G26,Table1[Total Contributed Income])</f>
        <v>14117519.290000001</v>
      </c>
      <c r="J29" s="65">
        <f>I29/I31</f>
        <v>0.9035587480061068</v>
      </c>
      <c r="K29" s="133">
        <f>AVERAGEIFS(Table1[Total Contributed Income],Table1[Scope/Sub-Type],'INN Rollups 2020'!G26,Table1[Total Contributed Income],"&gt;0")</f>
        <v>882344.95562500006</v>
      </c>
      <c r="N29" t="s">
        <v>272</v>
      </c>
      <c r="O29" s="131">
        <f>SUMIF(Table1[Scope/Sub-Type],'INN Rollups 2020'!M26,Table1[Total Contributed Income])</f>
        <v>576757.69999999995</v>
      </c>
      <c r="P29" s="65">
        <f>O29/O31</f>
        <v>0.94285975099811026</v>
      </c>
      <c r="Q29" s="133">
        <f>AVERAGEIFS(Table1[Total Contributed Income],Table1[Scope/Sub-Type],'INN Rollups 2020'!M26,Table1[Total Contributed Income],"&gt;0")</f>
        <v>115351.54</v>
      </c>
      <c r="T29" t="s">
        <v>272</v>
      </c>
      <c r="U29" s="131">
        <f>SUMIF(Table1[Scope/Sub-Type],'INN Rollups 2020'!S26,Table1[Total Contributed Income])</f>
        <v>15390449.68</v>
      </c>
      <c r="V29" s="65">
        <f>U29/U31</f>
        <v>0.80562542152568883</v>
      </c>
      <c r="W29" s="133">
        <f>AVERAGEIFS(Table1[Total Contributed Income],Table1[Scope/Sub-Type],'INN Rollups 2020'!S26,Table1[Total Contributed Income],"&gt;0")</f>
        <v>1923806.21</v>
      </c>
    </row>
    <row r="30" spans="1:23" x14ac:dyDescent="0.2">
      <c r="B30" s="21" t="s">
        <v>273</v>
      </c>
      <c r="C30" s="132">
        <f>SUMIF(Table1[Scope/Sub-Type],'INN Rollups 2020'!A26,Table1[Total Earned Income])</f>
        <v>882278.03</v>
      </c>
      <c r="D30" s="66">
        <f>C30/C31</f>
        <v>0.10390204807918911</v>
      </c>
      <c r="E30" s="134">
        <f>AVERAGEIFS(Table1[Total Earned Income],Table1[Scope/Sub-Type],'INN Rollups 2020'!A26,Table1[Total Earned Income],"&gt;0")</f>
        <v>73523.169166666674</v>
      </c>
      <c r="H30" s="21" t="s">
        <v>273</v>
      </c>
      <c r="I30" s="132">
        <f>SUMIF(Table1[Scope/Sub-Type],'INN Rollups 2020'!G26,Table1[Total Earned Income])</f>
        <v>1506832</v>
      </c>
      <c r="J30" s="66">
        <f>I30/I31</f>
        <v>9.6441251993893182E-2</v>
      </c>
      <c r="K30" s="134">
        <f>AVERAGEIFS(Table1[Total Earned Income],Table1[Scope/Sub-Type],'INN Rollups 2020'!G26,Table1[Total Earned Income],"&gt;0")</f>
        <v>125569.33333333333</v>
      </c>
      <c r="N30" s="21" t="s">
        <v>273</v>
      </c>
      <c r="O30" s="132">
        <f>SUMIF(Table1[Scope/Sub-Type],'INN Rollups 2020'!M26,Table1[Total Earned Income])</f>
        <v>34953.32</v>
      </c>
      <c r="P30" s="66">
        <f>O30/O31</f>
        <v>5.7140249001889826E-2</v>
      </c>
      <c r="Q30" s="134">
        <f>AVERAGEIFS(Table1[Total Earned Income],Table1[Scope/Sub-Type],'INN Rollups 2020'!M26,Table1[Total Earned Income],"&gt;0")</f>
        <v>17476.66</v>
      </c>
      <c r="T30" s="21" t="s">
        <v>273</v>
      </c>
      <c r="U30" s="132">
        <f>SUMIF(Table1[Scope/Sub-Type],'INN Rollups 2020'!S26,Table1[Total Earned Income])</f>
        <v>3713279.26</v>
      </c>
      <c r="V30" s="66">
        <f>U30/U31</f>
        <v>0.19437457847431122</v>
      </c>
      <c r="W30" s="134">
        <f>AVERAGEIFS(Table1[Total Earned Income],Table1[Scope/Sub-Type],'INN Rollups 2020'!S26,Table1[Total Earned Income],"&gt;0")</f>
        <v>464159.90749999997</v>
      </c>
    </row>
    <row r="31" spans="1:23" x14ac:dyDescent="0.2">
      <c r="B31" t="s">
        <v>274</v>
      </c>
      <c r="C31" s="131">
        <f>SUM(C29:C30)</f>
        <v>8491440.2199999988</v>
      </c>
      <c r="D31" s="67">
        <f>SUM(D29:D30)</f>
        <v>1</v>
      </c>
      <c r="E31" s="133">
        <f>AVERAGEIFS(Table1[Total Income],Table1[Scope/Sub-Type],'INN Rollups 2020'!A26,Table1[Total Income],"&gt;0")</f>
        <v>566096.01466666663</v>
      </c>
      <c r="H31" t="s">
        <v>274</v>
      </c>
      <c r="I31" s="131">
        <f>SUM(I29:I30)</f>
        <v>15624351.290000001</v>
      </c>
      <c r="J31" s="67">
        <f>SUM(J29:J30)</f>
        <v>1</v>
      </c>
      <c r="K31" s="133">
        <f>AVERAGEIFS(Table1[Total Income],Table1[Scope/Sub-Type],'INN Rollups 2020'!G26,Table1[Total Income],"&gt;0")</f>
        <v>976521.95562500006</v>
      </c>
      <c r="N31" t="s">
        <v>274</v>
      </c>
      <c r="O31" s="131">
        <f>SUM(O29:O30)</f>
        <v>611711.0199999999</v>
      </c>
      <c r="P31" s="67">
        <f>SUM(P29:P30)</f>
        <v>1</v>
      </c>
      <c r="Q31" s="133">
        <f>AVERAGEIFS(Table1[Total Income],Table1[Scope/Sub-Type],'INN Rollups 2020'!M26,Table1[Total Income],"&gt;0")</f>
        <v>122342.204</v>
      </c>
      <c r="T31" t="s">
        <v>274</v>
      </c>
      <c r="U31" s="131">
        <f>SUM(U29:U30)</f>
        <v>19103728.939999998</v>
      </c>
      <c r="V31" s="67">
        <f>SUM(V29:V30)</f>
        <v>1</v>
      </c>
      <c r="W31" s="133">
        <f>AVERAGEIFS(Table1[Total Income],Table1[Scope/Sub-Type],'INN Rollups 2020'!S26,Table1[Total Income],"&gt;0")</f>
        <v>2387966.1174999997</v>
      </c>
    </row>
    <row r="32" spans="1:23" x14ac:dyDescent="0.2">
      <c r="C32" s="133"/>
      <c r="E32" s="133"/>
      <c r="I32" s="133"/>
      <c r="K32" s="133"/>
      <c r="O32" s="133"/>
      <c r="Q32" s="133"/>
      <c r="U32" s="133"/>
      <c r="W32" s="133"/>
    </row>
    <row r="33" spans="1:23" x14ac:dyDescent="0.2">
      <c r="B33" t="s">
        <v>275</v>
      </c>
      <c r="C33" s="131">
        <f>SUMIF(Table1[Scope/Sub-Type],'INN Rollups 2020'!A26,Table1[Expenses - Editorial])</f>
        <v>5410486.1699999999</v>
      </c>
      <c r="D33" s="65">
        <f>C33/C35</f>
        <v>0.6673392459457973</v>
      </c>
      <c r="E33" s="133">
        <f>AVERAGEIFS(Table1[Expenses - Editorial],Table1[Scope/Sub-Type],'INN Rollups 2020'!A26,Table1[Expenses - Editorial],"&gt;0")</f>
        <v>360699.07799999998</v>
      </c>
      <c r="H33" t="s">
        <v>275</v>
      </c>
      <c r="I33" s="131">
        <f>SUMIF(Table1[Scope/Sub-Type],'INN Rollups 2020'!G26,Table1[Expenses - Editorial])</f>
        <v>7269639.2800000003</v>
      </c>
      <c r="J33" s="65">
        <f>I33/I35</f>
        <v>0.68057057970413692</v>
      </c>
      <c r="K33" s="133">
        <f>AVERAGEIFS(Table1[Expenses - Editorial],Table1[Scope/Sub-Type],'INN Rollups 2020'!G26,Table1[Expenses - Editorial],"&gt;0")</f>
        <v>454352.45500000002</v>
      </c>
      <c r="N33" t="s">
        <v>275</v>
      </c>
      <c r="O33" s="131">
        <f>SUMIF(Table1[Scope/Sub-Type],'INN Rollups 2020'!M26,Table1[Expenses - Editorial])</f>
        <v>388781.54</v>
      </c>
      <c r="P33" s="65">
        <f>O33/O35</f>
        <v>0.58030890049691164</v>
      </c>
      <c r="Q33" s="133">
        <f>AVERAGEIFS(Table1[Expenses - Editorial],Table1[Scope/Sub-Type],'INN Rollups 2020'!M26,Table1[Expenses - Editorial],"&gt;0")</f>
        <v>77756.30799999999</v>
      </c>
      <c r="T33" t="s">
        <v>275</v>
      </c>
      <c r="U33" s="131">
        <f>SUMIF(Table1[Scope/Sub-Type],'INN Rollups 2020'!S26,Table1[Expenses - Editorial])</f>
        <v>13467691</v>
      </c>
      <c r="V33" s="65">
        <f>U33/U35</f>
        <v>0.71275982618168532</v>
      </c>
      <c r="W33" s="133">
        <f>AVERAGEIFS(Table1[Expenses - Editorial],Table1[Scope/Sub-Type],'INN Rollups 2020'!S26,Table1[Expenses - Editorial],"&gt;0")</f>
        <v>1683461.375</v>
      </c>
    </row>
    <row r="34" spans="1:23" x14ac:dyDescent="0.2">
      <c r="B34" s="21" t="s">
        <v>276</v>
      </c>
      <c r="C34" s="132">
        <f>SUMIF(Table1[Scope/Sub-Type],'INN Rollups 2020'!A26,Table1[Expenses - Non-Editorial])</f>
        <v>2697063.63</v>
      </c>
      <c r="D34" s="66">
        <f>C34/C35</f>
        <v>0.33266075405420265</v>
      </c>
      <c r="E34" s="134">
        <f>AVERAGEIFS(Table1[Expenses - Non-Editorial],Table1[Scope/Sub-Type],'INN Rollups 2020'!A26,Table1[Expenses - Non-Editorial],"&gt;0")</f>
        <v>179804.242</v>
      </c>
      <c r="H34" s="21" t="s">
        <v>276</v>
      </c>
      <c r="I34" s="132">
        <f>SUMIF(Table1[Scope/Sub-Type],'INN Rollups 2020'!G26,Table1[Expenses - Non-Editorial])</f>
        <v>3412043.85</v>
      </c>
      <c r="J34" s="66">
        <f>I34/I35</f>
        <v>0.31942942029586302</v>
      </c>
      <c r="K34" s="134">
        <f>AVERAGEIFS(Table1[Expenses - Non-Editorial],Table1[Scope/Sub-Type],'INN Rollups 2020'!G26,Table1[Expenses - Non-Editorial],"&gt;0")</f>
        <v>213252.74062500001</v>
      </c>
      <c r="N34" s="21" t="s">
        <v>276</v>
      </c>
      <c r="O34" s="132">
        <f>SUMIF(Table1[Scope/Sub-Type],'INN Rollups 2020'!M26,Table1[Expenses - Non-Editorial])</f>
        <v>281174.65000000002</v>
      </c>
      <c r="P34" s="66">
        <f>O34/O35</f>
        <v>0.41969109950308847</v>
      </c>
      <c r="Q34" s="134">
        <f>AVERAGEIFS(Table1[Expenses - Non-Editorial],Table1[Scope/Sub-Type],'INN Rollups 2020'!M26,Table1[Expenses - Non-Editorial],"&gt;0")</f>
        <v>56234.930000000008</v>
      </c>
      <c r="T34" s="21" t="s">
        <v>276</v>
      </c>
      <c r="U34" s="132">
        <f>SUMIF(Table1[Scope/Sub-Type],'INN Rollups 2020'!S26,Table1[Expenses - Non-Editorial])</f>
        <v>5427441</v>
      </c>
      <c r="V34" s="66">
        <f>U34/U35</f>
        <v>0.28724017381831468</v>
      </c>
      <c r="W34" s="134">
        <f>AVERAGEIFS(Table1[Expenses - Non-Editorial],Table1[Scope/Sub-Type],'INN Rollups 2020'!S26,Table1[Expenses - Non-Editorial],"&gt;0")</f>
        <v>678430.125</v>
      </c>
    </row>
    <row r="35" spans="1:23" x14ac:dyDescent="0.2">
      <c r="B35" t="s">
        <v>277</v>
      </c>
      <c r="C35" s="131">
        <f>SUM(C33:C34)</f>
        <v>8107549.7999999998</v>
      </c>
      <c r="D35" s="65">
        <f>SUM(D33:D34)</f>
        <v>1</v>
      </c>
      <c r="E35" s="133">
        <f>AVERAGEIFS(Table1[TOTAL EXPENSES],Table1[Scope/Sub-Type],'INN Rollups 2020'!A26,Table1[TOTAL EXPENSES],"&gt;0")</f>
        <v>540503.31999999995</v>
      </c>
      <c r="H35" t="s">
        <v>277</v>
      </c>
      <c r="I35" s="131">
        <f>SUM(I33:I34)</f>
        <v>10681683.130000001</v>
      </c>
      <c r="J35" s="65">
        <f>SUM(J33:J34)</f>
        <v>1</v>
      </c>
      <c r="K35" s="133">
        <f>AVERAGEIFS(Table1[TOTAL EXPENSES],Table1[Scope/Sub-Type],'INN Rollups 2020'!G26,Table1[TOTAL EXPENSES],"&gt;0")</f>
        <v>667605.19562499993</v>
      </c>
      <c r="N35" t="s">
        <v>277</v>
      </c>
      <c r="O35" s="131">
        <f>SUM(O33:O34)</f>
        <v>669956.18999999994</v>
      </c>
      <c r="P35" s="65">
        <f>SUM(P33:P34)</f>
        <v>1</v>
      </c>
      <c r="Q35" s="133">
        <f>AVERAGEIFS(Table1[TOTAL EXPENSES],Table1[Scope/Sub-Type],'INN Rollups 2020'!M26,Table1[TOTAL EXPENSES],"&gt;0")</f>
        <v>133991.23799999998</v>
      </c>
      <c r="T35" t="s">
        <v>277</v>
      </c>
      <c r="U35" s="131">
        <f>SUM(U33:U34)</f>
        <v>18895132</v>
      </c>
      <c r="V35" s="65">
        <f>SUM(V33:V34)</f>
        <v>1</v>
      </c>
      <c r="W35" s="133">
        <f>AVERAGEIFS(Table1[TOTAL EXPENSES],Table1[Scope/Sub-Type],'INN Rollups 2020'!S26,Table1[TOTAL EXPENSES],"&gt;0")</f>
        <v>2361891.5</v>
      </c>
    </row>
    <row r="37" spans="1:23" x14ac:dyDescent="0.2">
      <c r="B37" t="s">
        <v>278</v>
      </c>
      <c r="C37">
        <f>SUMIF(Table1[Scope/Sub-Type],'INN Rollups 2020'!A26,Table1[Total FTE - Editorial])</f>
        <v>71.75</v>
      </c>
      <c r="D37" s="62">
        <f>C37/C39</f>
        <v>0.77904451682953313</v>
      </c>
      <c r="E37" s="69">
        <f>AVERAGEIFS(Table1[Total FTE - Editorial],Table1[Scope/Sub-Type],'INN Rollups 2020'!A26,Table1[Total FTE - Editorial],"&gt;0")</f>
        <v>4.484375</v>
      </c>
      <c r="H37" t="s">
        <v>278</v>
      </c>
      <c r="I37">
        <f>SUMIF(Table1[Scope/Sub-Type],'INN Rollups 2020'!G26,Table1[Total FTE - Editorial])</f>
        <v>127.5</v>
      </c>
      <c r="J37" s="62">
        <f>I37/I39</f>
        <v>0.75510808409831209</v>
      </c>
      <c r="K37" s="69">
        <f>AVERAGEIFS(Table1[Total FTE - Editorial],Table1[Scope/Sub-Type],'INN Rollups 2020'!G26,Table1[Total FTE - Editorial],"&gt;0")</f>
        <v>6.375</v>
      </c>
      <c r="N37" t="s">
        <v>278</v>
      </c>
      <c r="O37">
        <f>SUMIF(Table1[Scope/Sub-Type],'INN Rollups 2020'!M26,Table1[Total FTE - Editorial])</f>
        <v>13.5</v>
      </c>
      <c r="P37" s="62">
        <f>O37/O39</f>
        <v>0.83076923076923082</v>
      </c>
      <c r="Q37" s="69">
        <f>AVERAGEIFS(Table1[Total FTE - Editorial],Table1[Scope/Sub-Type],'INN Rollups 2020'!M26,Table1[Total FTE - Editorial],"&gt;0")</f>
        <v>2.25</v>
      </c>
      <c r="T37" t="s">
        <v>278</v>
      </c>
      <c r="U37">
        <f>SUMIF(Table1[Scope/Sub-Type],'INN Rollups 2020'!S26,Table1[Total FTE - Editorial])</f>
        <v>90.375</v>
      </c>
      <c r="V37" s="62">
        <f>U37/U39</f>
        <v>0.72956609485368318</v>
      </c>
      <c r="W37" s="69">
        <f>AVERAGEIFS(Table1[Total FTE - Editorial],Table1[Scope/Sub-Type],'INN Rollups 2020'!S26,Table1[Total FTE - Editorial],"&gt;0")</f>
        <v>11.296875</v>
      </c>
    </row>
    <row r="38" spans="1:23" x14ac:dyDescent="0.2">
      <c r="B38" s="21" t="s">
        <v>279</v>
      </c>
      <c r="C38" s="21">
        <f>SUMIF(Table1[Scope/Sub-Type],'INN Rollups 2020'!A26,Table1[Total FTE - Non-Editorial])</f>
        <v>20.350000000000001</v>
      </c>
      <c r="D38" s="64">
        <f>C38/C39</f>
        <v>0.22095548317046693</v>
      </c>
      <c r="E38" s="70">
        <f>AVERAGEIFS(Table1[Total FTE - Non-Editorial],Table1[Scope/Sub-Type],'INN Rollups 2020'!A26,Table1[Total FTE - Non-Editorial],"&gt;0")</f>
        <v>2.0350000000000001</v>
      </c>
      <c r="H38" s="21" t="s">
        <v>279</v>
      </c>
      <c r="I38" s="21">
        <f>SUMIF(Table1[Scope/Sub-Type],'INN Rollups 2020'!G26,Table1[Total FTE - Non-Editorial])</f>
        <v>41.35</v>
      </c>
      <c r="J38" s="64">
        <f>I38/I39</f>
        <v>0.24489191590168791</v>
      </c>
      <c r="K38" s="70">
        <f>AVERAGEIFS(Table1[Total FTE - Non-Editorial],Table1[Scope/Sub-Type],'INN Rollups 2020'!G26,Table1[Total FTE - Non-Editorial],"&gt;0")</f>
        <v>2.5843750000000001</v>
      </c>
      <c r="N38" s="21" t="s">
        <v>279</v>
      </c>
      <c r="O38" s="21">
        <f>SUMIF(Table1[Scope/Sub-Type],'INN Rollups 2020'!M26,Table1[Total FTE - Non-Editorial])</f>
        <v>2.75</v>
      </c>
      <c r="P38" s="64">
        <f>O38/O39</f>
        <v>0.16923076923076924</v>
      </c>
      <c r="Q38" s="70">
        <f>AVERAGEIFS(Table1[Total FTE - Non-Editorial],Table1[Scope/Sub-Type],'INN Rollups 2020'!M26,Table1[Total FTE - Non-Editorial],"&gt;0")</f>
        <v>1.375</v>
      </c>
      <c r="T38" s="21" t="s">
        <v>279</v>
      </c>
      <c r="U38" s="21">
        <f>SUMIF(Table1[Scope/Sub-Type],'INN Rollups 2020'!S26,Table1[Total FTE - Non-Editorial])</f>
        <v>33.5</v>
      </c>
      <c r="V38" s="64">
        <f>U38/U39</f>
        <v>0.27043390514631688</v>
      </c>
      <c r="W38" s="70">
        <f>AVERAGEIFS(Table1[Total FTE - Non-Editorial],Table1[Scope/Sub-Type],'INN Rollups 2020'!S26,Table1[Total FTE - Non-Editorial],"&gt;0")</f>
        <v>4.7857142857142856</v>
      </c>
    </row>
    <row r="39" spans="1:23" x14ac:dyDescent="0.2">
      <c r="B39" t="s">
        <v>280</v>
      </c>
      <c r="C39">
        <f>SUM(C37:C38)</f>
        <v>92.1</v>
      </c>
      <c r="D39" s="63">
        <f>SUM(D37:D38)</f>
        <v>1</v>
      </c>
      <c r="E39" s="69">
        <f>AVERAGEIFS(Table1[Total FTE],Table1[Scope/Sub-Type],'INN Rollups 2020'!A26,Table1[Total FTE],"&gt;0")</f>
        <v>5.7562499999999996</v>
      </c>
      <c r="H39" t="s">
        <v>280</v>
      </c>
      <c r="I39">
        <f>SUM(I37:I38)</f>
        <v>168.85</v>
      </c>
      <c r="J39" s="63">
        <f>SUM(J37:J38)</f>
        <v>1</v>
      </c>
      <c r="K39" s="69">
        <f>AVERAGEIFS(Table1[Total FTE],Table1[Scope/Sub-Type],'INN Rollups 2020'!G26,Table1[Total FTE],"&gt;0")</f>
        <v>8.442499999999999</v>
      </c>
      <c r="N39" t="s">
        <v>280</v>
      </c>
      <c r="O39">
        <f>SUM(O37:O38)</f>
        <v>16.25</v>
      </c>
      <c r="P39" s="63">
        <f>SUM(P37:P38)</f>
        <v>1</v>
      </c>
      <c r="Q39" s="69">
        <f>AVERAGEIFS(Table1[Total FTE],Table1[Scope/Sub-Type],'INN Rollups 2020'!M26,Table1[Total FTE],"&gt;0")</f>
        <v>2.7083333333333335</v>
      </c>
      <c r="T39" t="s">
        <v>280</v>
      </c>
      <c r="U39">
        <f>SUM(U37:U38)</f>
        <v>123.875</v>
      </c>
      <c r="V39" s="63">
        <f>SUM(V37:V38)</f>
        <v>1</v>
      </c>
      <c r="W39" s="69">
        <f>AVERAGEIFS(Table1[Total FTE],Table1[Scope/Sub-Type],'INN Rollups 2020'!S26,Table1[Total FTE],"&gt;0")</f>
        <v>15.484375</v>
      </c>
    </row>
    <row r="41" spans="1:23" x14ac:dyDescent="0.2">
      <c r="A41" s="1" t="s">
        <v>122</v>
      </c>
      <c r="C41" s="1">
        <f>COUNTIF(Table1[Scope/Sub-Type],'INN Rollups 2020'!A41)</f>
        <v>4</v>
      </c>
      <c r="G41" s="1" t="s">
        <v>125</v>
      </c>
      <c r="I41" s="1">
        <f>COUNTIF(Table1[Scope/Sub-Type],'INN Rollups 2020'!G41)</f>
        <v>3</v>
      </c>
      <c r="M41" s="1" t="s">
        <v>128</v>
      </c>
      <c r="O41" s="1">
        <f>COUNTIF(Table1[Scope/Sub-Type],'INN Rollups 2020'!M41)</f>
        <v>3</v>
      </c>
      <c r="S41" s="1" t="s">
        <v>131</v>
      </c>
      <c r="U41" s="1">
        <f>COUNTIF(Table1[Scope/Sub-Type],'INN Rollups 2020'!S41)</f>
        <v>14</v>
      </c>
    </row>
    <row r="42" spans="1:23" x14ac:dyDescent="0.2">
      <c r="B42" s="1"/>
    </row>
    <row r="43" spans="1:23" x14ac:dyDescent="0.2">
      <c r="B43" s="1"/>
      <c r="C43" s="68" t="s">
        <v>269</v>
      </c>
      <c r="D43" s="68" t="s">
        <v>270</v>
      </c>
      <c r="E43" s="68" t="s">
        <v>271</v>
      </c>
      <c r="H43" s="1"/>
      <c r="I43" s="68" t="s">
        <v>269</v>
      </c>
      <c r="J43" s="68" t="s">
        <v>270</v>
      </c>
      <c r="K43" s="68" t="s">
        <v>271</v>
      </c>
      <c r="N43" s="1"/>
      <c r="O43" s="68" t="s">
        <v>269</v>
      </c>
      <c r="P43" s="68" t="s">
        <v>270</v>
      </c>
      <c r="Q43" s="68" t="s">
        <v>271</v>
      </c>
      <c r="T43" s="1"/>
      <c r="U43" s="68" t="s">
        <v>269</v>
      </c>
      <c r="V43" s="68" t="s">
        <v>270</v>
      </c>
      <c r="W43" s="68" t="s">
        <v>271</v>
      </c>
    </row>
    <row r="44" spans="1:23" x14ac:dyDescent="0.2">
      <c r="B44" t="s">
        <v>272</v>
      </c>
      <c r="C44" s="131">
        <f>SUMIF(Table1[Scope/Sub-Type],'INN Rollups 2020'!A41,Table1[Total Contributed Income])</f>
        <v>1297835.92</v>
      </c>
      <c r="D44" s="65">
        <f>C44/C46</f>
        <v>0.58811634024016635</v>
      </c>
      <c r="E44" s="133">
        <f>AVERAGEIFS(Table1[Total Contributed Income],Table1[Scope/Sub-Type],'INN Rollups 2020'!A41,Table1[Total Contributed Income],"&gt;0")</f>
        <v>324458.98</v>
      </c>
      <c r="H44" t="s">
        <v>272</v>
      </c>
      <c r="I44" s="131">
        <f>SUMIF(Table1[Scope/Sub-Type],'INN Rollups 2020'!G41,Table1[Total Contributed Income])</f>
        <v>614121</v>
      </c>
      <c r="J44" s="65">
        <f>I44/I46</f>
        <v>0.78302995838263501</v>
      </c>
      <c r="K44" s="133">
        <f>AVERAGEIFS(Table1[Total Contributed Income],Table1[Scope/Sub-Type],'INN Rollups 2020'!G41,Table1[Total Contributed Income],"&gt;0")</f>
        <v>204707</v>
      </c>
      <c r="N44" t="s">
        <v>272</v>
      </c>
      <c r="O44" s="131">
        <f>SUMIF(Table1[Scope/Sub-Type],'INN Rollups 2020'!M41,Table1[Total Contributed Income])</f>
        <v>1092555.06</v>
      </c>
      <c r="P44" s="65">
        <f>O44/O46</f>
        <v>0.96990559037481705</v>
      </c>
      <c r="Q44" s="133">
        <f>AVERAGEIFS(Table1[Total Contributed Income],Table1[Scope/Sub-Type],'INN Rollups 2020'!M41,Table1[Total Contributed Income],"&gt;0")</f>
        <v>546277.53</v>
      </c>
      <c r="T44" t="s">
        <v>272</v>
      </c>
      <c r="U44" s="131">
        <f>SUMIF(Table1[Scope/Sub-Type],'INN Rollups 2020'!S41,Table1[Total Contributed Income])</f>
        <v>23066793.050000001</v>
      </c>
      <c r="V44" s="65">
        <f>U44/U46</f>
        <v>0.92691465343397161</v>
      </c>
      <c r="W44" s="133">
        <f>AVERAGEIFS(Table1[Total Contributed Income],Table1[Scope/Sub-Type],'INN Rollups 2020'!S41,Table1[Total Contributed Income],"&gt;0")</f>
        <v>2306679.3050000002</v>
      </c>
    </row>
    <row r="45" spans="1:23" x14ac:dyDescent="0.2">
      <c r="B45" s="21" t="s">
        <v>273</v>
      </c>
      <c r="C45" s="132">
        <f>SUMIF(Table1[Scope/Sub-Type],'INN Rollups 2020'!A41,Table1[Total Earned Income])</f>
        <v>908931.4</v>
      </c>
      <c r="D45" s="66">
        <f>C45/C46</f>
        <v>0.41188365975983371</v>
      </c>
      <c r="E45" s="134">
        <f>AVERAGEIFS(Table1[Total Earned Income],Table1[Scope/Sub-Type],'INN Rollups 2020'!A41,Table1[Total Earned Income],"&gt;0")</f>
        <v>302977.13333333336</v>
      </c>
      <c r="H45" s="21" t="s">
        <v>273</v>
      </c>
      <c r="I45" s="132">
        <f>SUMIF(Table1[Scope/Sub-Type],'INN Rollups 2020'!G41,Table1[Total Earned Income])</f>
        <v>170167</v>
      </c>
      <c r="J45" s="66">
        <f>I45/I46</f>
        <v>0.21697004161736505</v>
      </c>
      <c r="K45" s="134">
        <f>AVERAGEIFS(Table1[Total Earned Income],Table1[Scope/Sub-Type],'INN Rollups 2020'!G41,Table1[Total Earned Income],"&gt;0")</f>
        <v>56722.333333333336</v>
      </c>
      <c r="N45" s="21" t="s">
        <v>273</v>
      </c>
      <c r="O45" s="132">
        <f>SUMIF(Table1[Scope/Sub-Type],'INN Rollups 2020'!M41,Table1[Total Earned Income])</f>
        <v>33900</v>
      </c>
      <c r="P45" s="66">
        <f>O45/O46</f>
        <v>3.0094409625182915E-2</v>
      </c>
      <c r="Q45" s="134">
        <f>AVERAGEIFS(Table1[Total Earned Income],Table1[Scope/Sub-Type],'INN Rollups 2020'!M41,Table1[Total Earned Income],"&gt;0")</f>
        <v>16950</v>
      </c>
      <c r="T45" s="21" t="s">
        <v>273</v>
      </c>
      <c r="U45" s="132">
        <f>SUMIF(Table1[Scope/Sub-Type],'INN Rollups 2020'!S41,Table1[Total Earned Income])</f>
        <v>1818770</v>
      </c>
      <c r="V45" s="66">
        <f>U45/U46</f>
        <v>7.3085346566028372E-2</v>
      </c>
      <c r="W45" s="134">
        <f>AVERAGEIFS(Table1[Total Earned Income],Table1[Scope/Sub-Type],'INN Rollups 2020'!S41,Table1[Total Earned Income],"&gt;0")</f>
        <v>202085.55555555556</v>
      </c>
    </row>
    <row r="46" spans="1:23" x14ac:dyDescent="0.2">
      <c r="B46" t="s">
        <v>274</v>
      </c>
      <c r="C46" s="131">
        <f>SUM(C44:C45)</f>
        <v>2206767.3199999998</v>
      </c>
      <c r="D46" s="67">
        <f>SUM(D44:D45)</f>
        <v>1</v>
      </c>
      <c r="E46" s="133">
        <f>AVERAGEIFS(Table1[Total Income],Table1[Scope/Sub-Type],'INN Rollups 2020'!A41,Table1[Total Income],"&gt;0")</f>
        <v>551691.82999999996</v>
      </c>
      <c r="H46" t="s">
        <v>274</v>
      </c>
      <c r="I46" s="131">
        <f>SUM(I44:I45)</f>
        <v>784288</v>
      </c>
      <c r="J46" s="67">
        <f>SUM(J44:J45)</f>
        <v>1</v>
      </c>
      <c r="K46" s="133">
        <f>AVERAGEIFS(Table1[Total Income],Table1[Scope/Sub-Type],'INN Rollups 2020'!G41,Table1[Total Income],"&gt;0")</f>
        <v>261429.33333333334</v>
      </c>
      <c r="N46" t="s">
        <v>274</v>
      </c>
      <c r="O46" s="131">
        <f>SUM(O44:O45)</f>
        <v>1126455.06</v>
      </c>
      <c r="P46" s="67">
        <f>SUM(P44:P45)</f>
        <v>1</v>
      </c>
      <c r="Q46" s="133">
        <f>AVERAGEIFS(Table1[Total Income],Table1[Scope/Sub-Type],'INN Rollups 2020'!M41,Table1[Total Income],"&gt;0")</f>
        <v>563227.53</v>
      </c>
      <c r="T46" t="s">
        <v>274</v>
      </c>
      <c r="U46" s="131">
        <f>SUM(U44:U45)</f>
        <v>24885563.050000001</v>
      </c>
      <c r="V46" s="67">
        <f>SUM(V44:V45)</f>
        <v>1</v>
      </c>
      <c r="W46" s="133">
        <f>AVERAGEIFS(Table1[Total Income],Table1[Scope/Sub-Type],'INN Rollups 2020'!S41,Table1[Total Income],"&gt;0")</f>
        <v>2488556.3050000002</v>
      </c>
    </row>
    <row r="47" spans="1:23" x14ac:dyDescent="0.2">
      <c r="C47" s="133"/>
      <c r="E47" s="133"/>
      <c r="I47" s="133"/>
      <c r="K47" s="133"/>
      <c r="O47" s="133"/>
      <c r="Q47" s="133"/>
      <c r="U47" s="133"/>
      <c r="W47" s="133"/>
    </row>
    <row r="48" spans="1:23" x14ac:dyDescent="0.2">
      <c r="B48" t="s">
        <v>275</v>
      </c>
      <c r="C48" s="131">
        <f>SUMIF(Table1[Scope/Sub-Type],'INN Rollups 2020'!A41,Table1[Expenses - Editorial])</f>
        <v>745023</v>
      </c>
      <c r="D48" s="65">
        <f>C48/C50</f>
        <v>0.33627956291325561</v>
      </c>
      <c r="E48" s="133">
        <f>AVERAGEIFS(Table1[Expenses - Editorial],Table1[Scope/Sub-Type],'INN Rollups 2020'!A41,Table1[Expenses - Editorial],"&gt;0")</f>
        <v>248341</v>
      </c>
      <c r="H48" t="s">
        <v>275</v>
      </c>
      <c r="I48" s="131">
        <f>SUMIF(Table1[Scope/Sub-Type],'INN Rollups 2020'!G41,Table1[Expenses - Editorial])</f>
        <v>468663</v>
      </c>
      <c r="J48" s="65">
        <f>I48/I50</f>
        <v>0.77126875250966009</v>
      </c>
      <c r="K48" s="133">
        <f>AVERAGEIFS(Table1[Expenses - Editorial],Table1[Scope/Sub-Type],'INN Rollups 2020'!G41,Table1[Expenses - Editorial],"&gt;0")</f>
        <v>156221</v>
      </c>
      <c r="N48" t="s">
        <v>275</v>
      </c>
      <c r="O48" s="131">
        <f>SUMIF(Table1[Scope/Sub-Type],'INN Rollups 2020'!M41,Table1[Expenses - Editorial])</f>
        <v>853469.73</v>
      </c>
      <c r="P48" s="65">
        <f>O48/O50</f>
        <v>0.79363163484932486</v>
      </c>
      <c r="Q48" s="133">
        <f>AVERAGEIFS(Table1[Expenses - Editorial],Table1[Scope/Sub-Type],'INN Rollups 2020'!M41,Table1[Expenses - Editorial],"&gt;0")</f>
        <v>426734.86499999999</v>
      </c>
      <c r="T48" t="s">
        <v>275</v>
      </c>
      <c r="U48" s="131">
        <f>SUMIF(Table1[Scope/Sub-Type],'INN Rollups 2020'!S41,Table1[Expenses - Editorial])</f>
        <v>13659065</v>
      </c>
      <c r="V48" s="65">
        <f>U48/U50</f>
        <v>0.58640593943660568</v>
      </c>
      <c r="W48" s="133">
        <f>AVERAGEIFS(Table1[Expenses - Editorial],Table1[Scope/Sub-Type],'INN Rollups 2020'!S41,Table1[Expenses - Editorial],"&gt;0")</f>
        <v>1365906.5</v>
      </c>
    </row>
    <row r="49" spans="2:23" x14ac:dyDescent="0.2">
      <c r="B49" s="21" t="s">
        <v>276</v>
      </c>
      <c r="C49" s="132">
        <f>SUMIF(Table1[Scope/Sub-Type],'INN Rollups 2020'!A41,Table1[Expenses - Non-Editorial])</f>
        <v>1470464</v>
      </c>
      <c r="D49" s="66">
        <f>C49/C50</f>
        <v>0.66372043708674433</v>
      </c>
      <c r="E49" s="134">
        <f>AVERAGEIFS(Table1[Expenses - Non-Editorial],Table1[Scope/Sub-Type],'INN Rollups 2020'!A41,Table1[Expenses - Non-Editorial],"&gt;0")</f>
        <v>367616</v>
      </c>
      <c r="H49" s="21" t="s">
        <v>276</v>
      </c>
      <c r="I49" s="132">
        <f>SUMIF(Table1[Scope/Sub-Type],'INN Rollups 2020'!G41,Table1[Expenses - Non-Editorial])</f>
        <v>138989</v>
      </c>
      <c r="J49" s="66">
        <f>I49/I50</f>
        <v>0.22873124749033988</v>
      </c>
      <c r="K49" s="134">
        <f>AVERAGEIFS(Table1[Expenses - Non-Editorial],Table1[Scope/Sub-Type],'INN Rollups 2020'!G41,Table1[Expenses - Non-Editorial],"&gt;0")</f>
        <v>46329.666666666664</v>
      </c>
      <c r="N49" s="21" t="s">
        <v>276</v>
      </c>
      <c r="O49" s="132">
        <f>SUMIF(Table1[Scope/Sub-Type],'INN Rollups 2020'!M41,Table1[Expenses - Non-Editorial])</f>
        <v>221928.09</v>
      </c>
      <c r="P49" s="66">
        <f>O49/O50</f>
        <v>0.20636836515067511</v>
      </c>
      <c r="Q49" s="134">
        <f>AVERAGEIFS(Table1[Expenses - Non-Editorial],Table1[Scope/Sub-Type],'INN Rollups 2020'!M41,Table1[Expenses - Non-Editorial],"&gt;0")</f>
        <v>110964.045</v>
      </c>
      <c r="T49" s="21" t="s">
        <v>276</v>
      </c>
      <c r="U49" s="132">
        <f>SUMIF(Table1[Scope/Sub-Type],'INN Rollups 2020'!S41,Table1[Expenses - Non-Editorial])</f>
        <v>9633784</v>
      </c>
      <c r="V49" s="66">
        <f>U49/U50</f>
        <v>0.41359406056339437</v>
      </c>
      <c r="W49" s="134">
        <f>AVERAGEIFS(Table1[Expenses - Non-Editorial],Table1[Scope/Sub-Type],'INN Rollups 2020'!S41,Table1[Expenses - Non-Editorial],"&gt;0")</f>
        <v>1070420.4444444445</v>
      </c>
    </row>
    <row r="50" spans="2:23" x14ac:dyDescent="0.2">
      <c r="B50" t="s">
        <v>277</v>
      </c>
      <c r="C50" s="131">
        <f>SUM(C48:C49)</f>
        <v>2215487</v>
      </c>
      <c r="D50" s="65">
        <f>SUM(D48:D49)</f>
        <v>1</v>
      </c>
      <c r="E50" s="133">
        <f>AVERAGEIFS(Table1[TOTAL EXPENSES],Table1[Scope/Sub-Type],'INN Rollups 2020'!A41,Table1[TOTAL EXPENSES],"&gt;0")</f>
        <v>553871.75</v>
      </c>
      <c r="H50" t="s">
        <v>277</v>
      </c>
      <c r="I50" s="131">
        <f>SUM(I48:I49)</f>
        <v>607652</v>
      </c>
      <c r="J50" s="65">
        <f>SUM(J48:J49)</f>
        <v>1</v>
      </c>
      <c r="K50" s="133">
        <f>AVERAGEIFS(Table1[TOTAL EXPENSES],Table1[Scope/Sub-Type],'INN Rollups 2020'!G41,Table1[TOTAL EXPENSES],"&gt;0")</f>
        <v>202550.66666666666</v>
      </c>
      <c r="N50" t="s">
        <v>277</v>
      </c>
      <c r="O50" s="131">
        <f>SUM(O48:O49)</f>
        <v>1075397.82</v>
      </c>
      <c r="P50" s="65">
        <f>SUM(P48:P49)</f>
        <v>1</v>
      </c>
      <c r="Q50" s="133">
        <f>AVERAGEIFS(Table1[TOTAL EXPENSES],Table1[Scope/Sub-Type],'INN Rollups 2020'!M41,Table1[TOTAL EXPENSES],"&gt;0")</f>
        <v>537698.91</v>
      </c>
      <c r="T50" t="s">
        <v>277</v>
      </c>
      <c r="U50" s="131">
        <f>SUM(U48:U49)</f>
        <v>23292849</v>
      </c>
      <c r="V50" s="65">
        <f>SUM(V48:V49)</f>
        <v>1</v>
      </c>
      <c r="W50" s="133">
        <f>AVERAGEIFS(Table1[TOTAL EXPENSES],Table1[Scope/Sub-Type],'INN Rollups 2020'!S41,Table1[TOTAL EXPENSES],"&gt;0")</f>
        <v>2329284.9</v>
      </c>
    </row>
    <row r="52" spans="2:23" x14ac:dyDescent="0.2">
      <c r="B52" t="s">
        <v>278</v>
      </c>
      <c r="C52">
        <f>SUMIF(Table1[Scope/Sub-Type],'INN Rollups 2020'!A41,Table1[Total FTE - Editorial])</f>
        <v>8.6</v>
      </c>
      <c r="D52" s="62">
        <f>C52/C54</f>
        <v>0.36363636363636365</v>
      </c>
      <c r="E52" s="69">
        <f>AVERAGEIFS(Table1[Total FTE - Editorial],Table1[Scope/Sub-Type],'INN Rollups 2020'!A41,Table1[Total FTE - Editorial],"&gt;0")</f>
        <v>2.8666666666666667</v>
      </c>
      <c r="H52" t="s">
        <v>278</v>
      </c>
      <c r="I52">
        <f>SUMIF(Table1[Scope/Sub-Type],'INN Rollups 2020'!G41,Table1[Total FTE - Editorial])</f>
        <v>12</v>
      </c>
      <c r="J52" s="62">
        <f>I52/I54</f>
        <v>0.8571428571428571</v>
      </c>
      <c r="K52" s="69">
        <f>AVERAGEIFS(Table1[Total FTE - Editorial],Table1[Scope/Sub-Type],'INN Rollups 2020'!G41,Table1[Total FTE - Editorial],"&gt;0")</f>
        <v>4</v>
      </c>
      <c r="N52" t="s">
        <v>278</v>
      </c>
      <c r="O52">
        <f>SUMIF(Table1[Scope/Sub-Type],'INN Rollups 2020'!M41,Table1[Total FTE - Editorial])</f>
        <v>9.5</v>
      </c>
      <c r="P52" s="62">
        <f>O52/O54</f>
        <v>0.86363636363636365</v>
      </c>
      <c r="Q52" s="69">
        <f>AVERAGEIFS(Table1[Total FTE - Editorial],Table1[Scope/Sub-Type],'INN Rollups 2020'!M41,Table1[Total FTE - Editorial],"&gt;0")</f>
        <v>3.1666666666666665</v>
      </c>
      <c r="T52" t="s">
        <v>278</v>
      </c>
      <c r="U52">
        <f>SUMIF(Table1[Scope/Sub-Type],'INN Rollups 2020'!S41,Table1[Total FTE - Editorial])</f>
        <v>156.1</v>
      </c>
      <c r="V52" s="62">
        <f>U52/U54</f>
        <v>0.72884323567176368</v>
      </c>
      <c r="W52" s="69">
        <f>AVERAGEIFS(Table1[Total FTE - Editorial],Table1[Scope/Sub-Type],'INN Rollups 2020'!S41,Table1[Total FTE - Editorial],"&gt;0")</f>
        <v>12.007692307692308</v>
      </c>
    </row>
    <row r="53" spans="2:23" x14ac:dyDescent="0.2">
      <c r="B53" s="21" t="s">
        <v>279</v>
      </c>
      <c r="C53" s="21">
        <f>SUMIF(Table1[Scope/Sub-Type],'INN Rollups 2020'!A41,Table1[Total FTE - Non-Editorial])</f>
        <v>15.05</v>
      </c>
      <c r="D53" s="64">
        <f>C53/C54</f>
        <v>0.63636363636363646</v>
      </c>
      <c r="E53" s="70">
        <f>AVERAGEIFS(Table1[Total FTE - Non-Editorial],Table1[Scope/Sub-Type],'INN Rollups 2020'!A41,Table1[Total FTE - Non-Editorial],"&gt;0")</f>
        <v>7.5250000000000004</v>
      </c>
      <c r="H53" s="21" t="s">
        <v>279</v>
      </c>
      <c r="I53" s="21">
        <f>SUMIF(Table1[Scope/Sub-Type],'INN Rollups 2020'!G41,Table1[Total FTE - Non-Editorial])</f>
        <v>2</v>
      </c>
      <c r="J53" s="64">
        <f>I53/I54</f>
        <v>0.14285714285714285</v>
      </c>
      <c r="K53" s="70">
        <f>AVERAGEIFS(Table1[Total FTE - Non-Editorial],Table1[Scope/Sub-Type],'INN Rollups 2020'!G41,Table1[Total FTE - Non-Editorial],"&gt;0")</f>
        <v>1</v>
      </c>
      <c r="N53" s="21" t="s">
        <v>279</v>
      </c>
      <c r="O53" s="21">
        <f>SUMIF(Table1[Scope/Sub-Type],'INN Rollups 2020'!M41,Table1[Total FTE - Non-Editorial])</f>
        <v>1.5</v>
      </c>
      <c r="P53" s="64">
        <f>O53/O54</f>
        <v>0.13636363636363635</v>
      </c>
      <c r="Q53" s="70">
        <f>AVERAGEIFS(Table1[Total FTE - Non-Editorial],Table1[Scope/Sub-Type],'INN Rollups 2020'!M41,Table1[Total FTE - Non-Editorial],"&gt;0")</f>
        <v>0.75</v>
      </c>
      <c r="T53" s="21" t="s">
        <v>279</v>
      </c>
      <c r="U53" s="21">
        <f>SUMIF(Table1[Scope/Sub-Type],'INN Rollups 2020'!S41,Table1[Total FTE - Non-Editorial])</f>
        <v>58.075000000000003</v>
      </c>
      <c r="V53" s="64">
        <f>U53/U54</f>
        <v>0.27115676432823627</v>
      </c>
      <c r="W53" s="70">
        <f>AVERAGEIFS(Table1[Total FTE - Non-Editorial],Table1[Scope/Sub-Type],'INN Rollups 2020'!S41,Table1[Total FTE - Non-Editorial],"&gt;0")</f>
        <v>4.4673076923076929</v>
      </c>
    </row>
    <row r="54" spans="2:23" x14ac:dyDescent="0.2">
      <c r="B54" t="s">
        <v>280</v>
      </c>
      <c r="C54">
        <f>SUM(C52:C53)</f>
        <v>23.65</v>
      </c>
      <c r="D54" s="63">
        <f>SUM(D52:D53)</f>
        <v>1</v>
      </c>
      <c r="E54" s="69">
        <f>AVERAGEIFS(Table1[Total FTE],Table1[Scope/Sub-Type],'INN Rollups 2020'!A41,Table1[Total FTE],"&gt;0")</f>
        <v>7.8833333333333329</v>
      </c>
      <c r="H54" t="s">
        <v>280</v>
      </c>
      <c r="I54">
        <f>SUM(I52:I53)</f>
        <v>14</v>
      </c>
      <c r="J54" s="63">
        <f>SUM(J52:J53)</f>
        <v>1</v>
      </c>
      <c r="K54" s="69">
        <f>AVERAGEIFS(Table1[Total FTE],Table1[Scope/Sub-Type],'INN Rollups 2020'!G41,Table1[Total FTE],"&gt;0")</f>
        <v>4.666666666666667</v>
      </c>
      <c r="N54" t="s">
        <v>280</v>
      </c>
      <c r="O54">
        <f>SUM(O52:O53)</f>
        <v>11</v>
      </c>
      <c r="P54" s="63">
        <f>SUM(P52:P53)</f>
        <v>1</v>
      </c>
      <c r="Q54" s="69">
        <f>AVERAGEIFS(Table1[Total FTE],Table1[Scope/Sub-Type],'INN Rollups 2020'!M41,Table1[Total FTE],"&gt;0")</f>
        <v>3.6666666666666665</v>
      </c>
      <c r="T54" t="s">
        <v>280</v>
      </c>
      <c r="U54">
        <f>SUM(U52:U53)</f>
        <v>214.17500000000001</v>
      </c>
      <c r="V54" s="63">
        <f>SUM(V52:V53)</f>
        <v>1</v>
      </c>
      <c r="W54" s="69">
        <f>AVERAGEIFS(Table1[Total FTE],Table1[Scope/Sub-Type],'INN Rollups 2020'!S41,Table1[Total FTE],"&gt;0")</f>
        <v>16.474999999999998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E0FB-CE93-4E97-ACF9-CBA57548B79E}">
  <sheetPr>
    <tabColor theme="5" tint="0.39997558519241921"/>
  </sheetPr>
  <dimension ref="A1:AY235"/>
  <sheetViews>
    <sheetView topLeftCell="C1" zoomScale="90" zoomScaleNormal="90" workbookViewId="0">
      <selection activeCell="I15" sqref="I15"/>
    </sheetView>
  </sheetViews>
  <sheetFormatPr baseColWidth="10" defaultColWidth="12.5" defaultRowHeight="16" outlineLevelCol="1" x14ac:dyDescent="0.2"/>
  <cols>
    <col min="1" max="1" width="11.33203125" style="54" hidden="1" customWidth="1" outlineLevel="1"/>
    <col min="2" max="2" width="15.1640625" style="54" hidden="1" customWidth="1" outlineLevel="1"/>
    <col min="3" max="3" width="33.83203125" style="54" bestFit="1" customWidth="1" collapsed="1"/>
    <col min="4" max="4" width="21.1640625" style="54" bestFit="1" customWidth="1"/>
    <col min="5" max="5" width="23.5" style="54" bestFit="1" customWidth="1"/>
    <col min="6" max="6" width="33" style="54" bestFit="1" customWidth="1"/>
    <col min="7" max="7" width="53.33203125" style="54" bestFit="1" customWidth="1"/>
    <col min="8" max="8" width="33" style="54" customWidth="1"/>
    <col min="9" max="9" width="16.1640625" style="54" bestFit="1" customWidth="1"/>
    <col min="10" max="11" width="16.1640625" style="54" customWidth="1"/>
    <col min="12" max="13" width="17.5" style="55" bestFit="1" customWidth="1"/>
    <col min="14" max="14" width="17.5" style="55" customWidth="1"/>
    <col min="15" max="15" width="16.5" style="55" customWidth="1"/>
    <col min="16" max="16" width="18.33203125" style="55" customWidth="1"/>
    <col min="17" max="17" width="15.83203125" style="55" customWidth="1"/>
    <col min="18" max="18" width="15.1640625" style="55" customWidth="1"/>
    <col min="19" max="19" width="13.5" style="55" customWidth="1"/>
    <col min="20" max="20" width="16.83203125" style="55" customWidth="1"/>
    <col min="21" max="21" width="27.33203125" style="55" customWidth="1"/>
    <col min="22" max="22" width="15.5" style="55" customWidth="1"/>
    <col min="23" max="23" width="21.83203125" style="55" customWidth="1"/>
    <col min="24" max="24" width="20.1640625" style="55" customWidth="1"/>
    <col min="25" max="25" width="19.33203125" style="55" customWidth="1"/>
    <col min="26" max="27" width="24.5" style="54" customWidth="1"/>
    <col min="28" max="29" width="25.83203125" style="55" customWidth="1"/>
    <col min="30" max="30" width="25.33203125" style="55" hidden="1" customWidth="1" outlineLevel="1"/>
    <col min="31" max="31" width="22.33203125" style="55" hidden="1" customWidth="1" outlineLevel="1"/>
    <col min="32" max="32" width="24.1640625" style="55" hidden="1" customWidth="1" outlineLevel="1"/>
    <col min="33" max="33" width="22.5" style="55" bestFit="1" customWidth="1" collapsed="1"/>
    <col min="34" max="34" width="25.5" style="54" bestFit="1" customWidth="1"/>
    <col min="35" max="36" width="29.33203125" style="54" hidden="1" customWidth="1" outlineLevel="1"/>
    <col min="37" max="37" width="22.33203125" style="54" customWidth="1" collapsed="1"/>
    <col min="38" max="38" width="34.33203125" style="54" hidden="1" customWidth="1" outlineLevel="1"/>
    <col min="39" max="39" width="30.5" style="54" hidden="1" customWidth="1" outlineLevel="1"/>
    <col min="40" max="40" width="46.1640625" style="54" customWidth="1" collapsed="1"/>
    <col min="41" max="41" width="26" style="54" hidden="1" customWidth="1" outlineLevel="1"/>
    <col min="42" max="42" width="25.5" style="54" hidden="1" customWidth="1" outlineLevel="1"/>
    <col min="43" max="43" width="19.33203125" style="54" bestFit="1" customWidth="1" collapsed="1"/>
    <col min="44" max="44" width="18.33203125" style="54" bestFit="1" customWidth="1"/>
    <col min="45" max="45" width="21" style="54" bestFit="1" customWidth="1"/>
    <col min="46" max="46" width="15.5" style="54" bestFit="1" customWidth="1"/>
    <col min="47" max="47" width="14.83203125" style="54" customWidth="1"/>
    <col min="48" max="48" width="34.6640625" style="54" customWidth="1"/>
    <col min="49" max="49" width="18.83203125" style="54" customWidth="1"/>
    <col min="50" max="50" width="15.33203125" style="54" customWidth="1"/>
    <col min="52" max="16384" width="12.5" style="54"/>
  </cols>
  <sheetData>
    <row r="1" spans="1:51" s="52" customFormat="1" ht="34" x14ac:dyDescent="0.2">
      <c r="A1" s="52" t="s">
        <v>299</v>
      </c>
      <c r="B1" s="52" t="s">
        <v>300</v>
      </c>
      <c r="C1" s="52" t="s">
        <v>301</v>
      </c>
      <c r="D1" s="52" t="s">
        <v>302</v>
      </c>
      <c r="E1" s="52" t="s">
        <v>303</v>
      </c>
      <c r="F1" s="52" t="s">
        <v>226</v>
      </c>
      <c r="G1" s="52" t="s">
        <v>304</v>
      </c>
      <c r="H1" s="52" t="s">
        <v>305</v>
      </c>
      <c r="I1" s="52" t="s">
        <v>253</v>
      </c>
      <c r="J1" s="52" t="s">
        <v>306</v>
      </c>
      <c r="K1" s="52" t="s">
        <v>307</v>
      </c>
      <c r="L1" s="53" t="s">
        <v>308</v>
      </c>
      <c r="M1" s="53" t="s">
        <v>309</v>
      </c>
      <c r="N1" s="53" t="s">
        <v>310</v>
      </c>
      <c r="O1" s="53" t="s">
        <v>311</v>
      </c>
      <c r="P1" s="53" t="s">
        <v>312</v>
      </c>
      <c r="Q1" s="53" t="s">
        <v>313</v>
      </c>
      <c r="R1" s="53" t="s">
        <v>314</v>
      </c>
      <c r="S1" s="53" t="s">
        <v>315</v>
      </c>
      <c r="T1" s="53" t="s">
        <v>316</v>
      </c>
      <c r="U1" s="53" t="s">
        <v>317</v>
      </c>
      <c r="V1" s="53" t="s">
        <v>318</v>
      </c>
      <c r="W1" s="53" t="s">
        <v>319</v>
      </c>
      <c r="X1" s="53" t="s">
        <v>320</v>
      </c>
      <c r="Y1" s="53" t="s">
        <v>321</v>
      </c>
      <c r="Z1" s="52" t="s">
        <v>322</v>
      </c>
      <c r="AA1" s="52" t="s">
        <v>255</v>
      </c>
      <c r="AB1" s="53" t="s">
        <v>323</v>
      </c>
      <c r="AC1" s="53" t="s">
        <v>324</v>
      </c>
      <c r="AD1" s="53" t="s">
        <v>325</v>
      </c>
      <c r="AE1" s="53" t="s">
        <v>326</v>
      </c>
      <c r="AF1" s="53" t="s">
        <v>327</v>
      </c>
      <c r="AG1" s="53" t="s">
        <v>280</v>
      </c>
      <c r="AH1" s="53" t="s">
        <v>328</v>
      </c>
      <c r="AI1" s="52" t="s">
        <v>329</v>
      </c>
      <c r="AJ1" s="52" t="s">
        <v>330</v>
      </c>
      <c r="AK1" s="52" t="s">
        <v>331</v>
      </c>
      <c r="AL1" s="52" t="s">
        <v>332</v>
      </c>
      <c r="AM1" s="52" t="s">
        <v>333</v>
      </c>
      <c r="AN1" s="52" t="s">
        <v>334</v>
      </c>
      <c r="AO1" s="52" t="s">
        <v>335</v>
      </c>
      <c r="AP1" s="52" t="s">
        <v>336</v>
      </c>
      <c r="AQ1" s="52" t="s">
        <v>337</v>
      </c>
      <c r="AR1" s="52" t="s">
        <v>338</v>
      </c>
      <c r="AS1" s="52" t="s">
        <v>339</v>
      </c>
      <c r="AT1" s="52" t="s">
        <v>340</v>
      </c>
      <c r="AU1" s="52" t="s">
        <v>341</v>
      </c>
      <c r="AV1" s="52" t="s">
        <v>342</v>
      </c>
      <c r="AW1" s="52" t="s">
        <v>343</v>
      </c>
      <c r="AX1" s="52" t="s">
        <v>344</v>
      </c>
      <c r="AY1" s="52" t="s">
        <v>345</v>
      </c>
    </row>
    <row r="2" spans="1:51" x14ac:dyDescent="0.2">
      <c r="A2" s="54">
        <v>334</v>
      </c>
      <c r="B2" s="54">
        <v>2012</v>
      </c>
      <c r="C2" s="91" t="s">
        <v>82</v>
      </c>
      <c r="D2" s="54" t="s">
        <v>7</v>
      </c>
      <c r="E2" s="54" t="s">
        <v>77</v>
      </c>
      <c r="F2" s="54" t="str">
        <f>_xlfn.CONCAT(Table13[[#This Row],[Geographic Scope]],": ",Table13[[#This Row],[Sub-Type/Focus]])</f>
        <v>Local: General</v>
      </c>
      <c r="G2" s="54" t="str">
        <f>_xlfn.CONCAT(Table13[[#This Row],[Geographic Scope]],": ",Table13[[#This Row],[Sub-Type/Focus]],": ",Table13[[#This Row],[Content Type]])</f>
        <v>Local: General: Current News &amp; Events</v>
      </c>
      <c r="H2" s="54" t="str">
        <f>_xlfn.CONCAT(Table13[[#This Row],[Geographic Scope]],": ",Table13[[#This Row],[Content Type]])</f>
        <v>Local: Current News &amp; Events</v>
      </c>
      <c r="I2" s="55">
        <f>Table13[[#This Row],[Total Contributed Income]]+Table13[[#This Row],[Total Earned Income]]</f>
        <v>301065.75</v>
      </c>
      <c r="J2" s="55">
        <f>Table13[[#This Row],[Cont. Income - Foundation]]+Table13[[#This Row],[Cont. Income - Membership]]+Table13[[#This Row],[Cont. Income - Small Donors]]+Table13[[#This Row],[Cont. Income - Med. Donors]]+Table13[[#This Row],[Cont. Income - Major Donors]]+Table13[[#This Row],[Cont. Income - Other]]</f>
        <v>214400.86</v>
      </c>
      <c r="K2" s="55">
        <f>Table13[[#This Row],[Earned Income - Advertising]]+Table13[[#This Row],[Earned Income - Sponsorships/Underwriting]]+Table13[[#This Row],[Earned Income - Events]]+Table13[[#This Row],[Earned Income - Subscriptions]]+Table13[[#This Row],[Earned Income - Syndication]]+Table13[[#This Row],[Earned Income - Other]]</f>
        <v>86664.890000000014</v>
      </c>
      <c r="L2" s="56">
        <v>141936</v>
      </c>
      <c r="M2" s="56">
        <v>2180</v>
      </c>
      <c r="N2" s="71">
        <f>SUM(Table13[[#This Row],[Cont. Income - Small Donors]:[Cont. Income - Major Donors]])</f>
        <v>70284.86</v>
      </c>
      <c r="O2" s="56">
        <v>8484.86</v>
      </c>
      <c r="P2" s="56">
        <v>15100</v>
      </c>
      <c r="Q2" s="56">
        <v>46700</v>
      </c>
      <c r="R2" s="56">
        <v>0</v>
      </c>
      <c r="T2" s="56">
        <v>75</v>
      </c>
      <c r="U2" s="56">
        <v>74356.52</v>
      </c>
      <c r="V2" s="56">
        <v>12090.13</v>
      </c>
      <c r="W2" s="56">
        <v>0</v>
      </c>
      <c r="X2" s="56">
        <v>0</v>
      </c>
      <c r="Y2" s="56">
        <v>143.24</v>
      </c>
      <c r="Z2" s="54" t="s">
        <v>346</v>
      </c>
      <c r="AA2" s="55">
        <f>Table13[[#This Row],[Expenses - Editorial]]+Table13[[#This Row],[Expenses - Revenue Generation]]+Table13[[#This Row],[Expenses - Tech]]+Table13[[#This Row],[Expenses - Admin]]</f>
        <v>257813.41</v>
      </c>
      <c r="AB2" s="56">
        <v>125886.69</v>
      </c>
      <c r="AC2" s="71">
        <f>SUM(Table13[[#This Row],[Expenses - Revenue Generation]:[Expenses - Admin]])</f>
        <v>131926.72</v>
      </c>
      <c r="AD2" s="56">
        <v>54421.35</v>
      </c>
      <c r="AE2" s="56">
        <v>36272.589999999997</v>
      </c>
      <c r="AF2" s="56">
        <v>41232.78</v>
      </c>
      <c r="AG2" s="59">
        <f>Table13[[#This Row],[Total FTE - Editorial]]+Table13[[#This Row],[Total FTE - Non-Editorial]]</f>
        <v>6.5</v>
      </c>
      <c r="AH2" s="59">
        <f>Table13[[#This Row],[FTE Salaried - Editorial]]+Table13[[#This Row],[FTE Contractors - Editorial]]</f>
        <v>1</v>
      </c>
      <c r="AI2" s="57">
        <v>1</v>
      </c>
      <c r="AJ2" s="57">
        <v>0</v>
      </c>
      <c r="AK2" s="60">
        <f>Table13[[#This Row],[FTE Salaried - Non-Editorial]]+Table13[[#This Row],[FTE Contractors - Non-Editorial]]</f>
        <v>5.5</v>
      </c>
      <c r="AL2" s="57">
        <v>1.75</v>
      </c>
      <c r="AM2" s="57">
        <v>3.75</v>
      </c>
      <c r="AN2" s="54" t="s">
        <v>347</v>
      </c>
      <c r="AO2" s="54" t="s">
        <v>348</v>
      </c>
      <c r="AP2" s="54" t="s">
        <v>349</v>
      </c>
      <c r="AQ2" s="57">
        <v>43274</v>
      </c>
      <c r="AR2" s="57">
        <v>2363</v>
      </c>
      <c r="AS2" s="57">
        <v>1500</v>
      </c>
      <c r="AT2" s="57">
        <v>2</v>
      </c>
      <c r="AU2" s="57">
        <v>0</v>
      </c>
      <c r="AV2" s="57">
        <v>0</v>
      </c>
      <c r="AW2" s="57">
        <v>0</v>
      </c>
      <c r="AX2" s="57"/>
      <c r="AY2" s="57">
        <v>0</v>
      </c>
    </row>
    <row r="3" spans="1:51" x14ac:dyDescent="0.2">
      <c r="A3" s="54">
        <v>336</v>
      </c>
      <c r="B3" s="54">
        <v>2018</v>
      </c>
      <c r="C3" s="91" t="s">
        <v>82</v>
      </c>
      <c r="D3" s="54" t="s">
        <v>7</v>
      </c>
      <c r="E3" s="54" t="s">
        <v>77</v>
      </c>
      <c r="F3" s="54" t="str">
        <f>_xlfn.CONCAT(Table13[[#This Row],[Geographic Scope]],": ",Table13[[#This Row],[Sub-Type/Focus]])</f>
        <v>Local: General</v>
      </c>
      <c r="G3" s="54" t="str">
        <f>_xlfn.CONCAT(Table13[[#This Row],[Geographic Scope]],": ",Table13[[#This Row],[Sub-Type/Focus]],": ",Table13[[#This Row],[Content Type]])</f>
        <v>Local: General: Current News &amp; Events</v>
      </c>
      <c r="H3" s="54" t="str">
        <f>_xlfn.CONCAT(Table13[[#This Row],[Geographic Scope]],": ",Table13[[#This Row],[Content Type]])</f>
        <v>Local: Current News &amp; Events</v>
      </c>
      <c r="I3" s="55">
        <f>Table13[[#This Row],[Total Contributed Income]]+Table13[[#This Row],[Total Earned Income]]</f>
        <v>1839673</v>
      </c>
      <c r="J3" s="55">
        <f>Table13[[#This Row],[Cont. Income - Foundation]]+Table13[[#This Row],[Cont. Income - Membership]]+Table13[[#This Row],[Cont. Income - Small Donors]]+Table13[[#This Row],[Cont. Income - Med. Donors]]+Table13[[#This Row],[Cont. Income - Major Donors]]+Table13[[#This Row],[Cont. Income - Other]]</f>
        <v>917123</v>
      </c>
      <c r="K3" s="55">
        <f>Table13[[#This Row],[Earned Income - Advertising]]+Table13[[#This Row],[Earned Income - Sponsorships/Underwriting]]+Table13[[#This Row],[Earned Income - Events]]+Table13[[#This Row],[Earned Income - Subscriptions]]+Table13[[#This Row],[Earned Income - Syndication]]+Table13[[#This Row],[Earned Income - Other]]</f>
        <v>922550</v>
      </c>
      <c r="L3" s="56">
        <v>667000</v>
      </c>
      <c r="M3" s="56">
        <v>0</v>
      </c>
      <c r="N3" s="71">
        <f>SUM(Table13[[#This Row],[Cont. Income - Small Donors]:[Cont. Income - Major Donors]])</f>
        <v>250123</v>
      </c>
      <c r="O3" s="56">
        <v>219623</v>
      </c>
      <c r="P3" s="56">
        <v>20500</v>
      </c>
      <c r="Q3" s="56">
        <v>10000</v>
      </c>
      <c r="R3" s="56">
        <v>0</v>
      </c>
      <c r="T3" s="56">
        <v>20350</v>
      </c>
      <c r="U3" s="56">
        <v>0</v>
      </c>
      <c r="V3" s="56">
        <v>0</v>
      </c>
      <c r="W3" s="56">
        <v>885000</v>
      </c>
      <c r="X3" s="56">
        <v>0</v>
      </c>
      <c r="Y3" s="56">
        <v>17200</v>
      </c>
      <c r="Z3" s="54" t="s">
        <v>350</v>
      </c>
      <c r="AA3" s="55">
        <f>Table13[[#This Row],[Expenses - Editorial]]+Table13[[#This Row],[Expenses - Revenue Generation]]+Table13[[#This Row],[Expenses - Tech]]+Table13[[#This Row],[Expenses - Admin]]</f>
        <v>1263400</v>
      </c>
      <c r="AB3" s="56">
        <v>1040000</v>
      </c>
      <c r="AC3" s="71">
        <f>SUM(Table13[[#This Row],[Expenses - Revenue Generation]:[Expenses - Admin]])</f>
        <v>223400</v>
      </c>
      <c r="AD3" s="56">
        <v>127000</v>
      </c>
      <c r="AE3" s="56">
        <v>90000</v>
      </c>
      <c r="AF3" s="56">
        <v>6400</v>
      </c>
      <c r="AG3" s="59">
        <f>Table13[[#This Row],[Total FTE - Editorial]]+Table13[[#This Row],[Total FTE - Non-Editorial]]</f>
        <v>19</v>
      </c>
      <c r="AH3" s="59">
        <f>Table13[[#This Row],[FTE Salaried - Editorial]]+Table13[[#This Row],[FTE Contractors - Editorial]]</f>
        <v>18</v>
      </c>
      <c r="AI3" s="57">
        <v>16</v>
      </c>
      <c r="AJ3" s="57">
        <v>2</v>
      </c>
      <c r="AK3" s="60">
        <f>Table13[[#This Row],[FTE Salaried - Non-Editorial]]+Table13[[#This Row],[FTE Contractors - Non-Editorial]]</f>
        <v>1</v>
      </c>
      <c r="AL3" s="57">
        <v>1</v>
      </c>
      <c r="AM3" s="57">
        <v>0</v>
      </c>
      <c r="AN3" s="54" t="s">
        <v>351</v>
      </c>
      <c r="AQ3" s="57">
        <v>2300000</v>
      </c>
      <c r="AR3" s="57">
        <v>15000</v>
      </c>
      <c r="AS3" s="57">
        <v>0</v>
      </c>
      <c r="AT3" s="57">
        <v>0</v>
      </c>
      <c r="AU3" s="57">
        <v>0</v>
      </c>
      <c r="AV3" s="57">
        <v>0</v>
      </c>
      <c r="AW3" s="57">
        <v>0</v>
      </c>
      <c r="AX3" s="57">
        <v>0</v>
      </c>
      <c r="AY3" s="57">
        <v>0</v>
      </c>
    </row>
    <row r="4" spans="1:51" x14ac:dyDescent="0.2">
      <c r="A4" s="54">
        <v>338</v>
      </c>
      <c r="B4" s="54">
        <v>2011</v>
      </c>
      <c r="C4" s="91" t="s">
        <v>82</v>
      </c>
      <c r="D4" s="54" t="s">
        <v>7</v>
      </c>
      <c r="E4" s="54" t="s">
        <v>77</v>
      </c>
      <c r="F4" s="54" t="str">
        <f>_xlfn.CONCAT(Table13[[#This Row],[Geographic Scope]],": ",Table13[[#This Row],[Sub-Type/Focus]])</f>
        <v>Local: General</v>
      </c>
      <c r="G4" s="54" t="str">
        <f>_xlfn.CONCAT(Table13[[#This Row],[Geographic Scope]],": ",Table13[[#This Row],[Sub-Type/Focus]],": ",Table13[[#This Row],[Content Type]])</f>
        <v>Local: General: Current News &amp; Events</v>
      </c>
      <c r="H4" s="54" t="str">
        <f>_xlfn.CONCAT(Table13[[#This Row],[Geographic Scope]],": ",Table13[[#This Row],[Content Type]])</f>
        <v>Local: Current News &amp; Events</v>
      </c>
      <c r="I4" s="55">
        <f>Table13[[#This Row],[Total Contributed Income]]+Table13[[#This Row],[Total Earned Income]]</f>
        <v>368174</v>
      </c>
      <c r="J4" s="55">
        <f>Table13[[#This Row],[Cont. Income - Foundation]]+Table13[[#This Row],[Cont. Income - Membership]]+Table13[[#This Row],[Cont. Income - Small Donors]]+Table13[[#This Row],[Cont. Income - Med. Donors]]+Table13[[#This Row],[Cont. Income - Major Donors]]+Table13[[#This Row],[Cont. Income - Other]]</f>
        <v>368174</v>
      </c>
      <c r="K4" s="55">
        <f>Table13[[#This Row],[Earned Income - Advertising]]+Table13[[#This Row],[Earned Income - Sponsorships/Underwriting]]+Table13[[#This Row],[Earned Income - Events]]+Table13[[#This Row],[Earned Income - Subscriptions]]+Table13[[#This Row],[Earned Income - Syndication]]+Table13[[#This Row],[Earned Income - Other]]</f>
        <v>0</v>
      </c>
      <c r="L4" s="56">
        <v>342624</v>
      </c>
      <c r="M4" s="56">
        <v>0</v>
      </c>
      <c r="N4" s="71">
        <f>SUM(Table13[[#This Row],[Cont. Income - Small Donors]:[Cont. Income - Major Donors]])</f>
        <v>25550</v>
      </c>
      <c r="O4" s="56">
        <v>3550</v>
      </c>
      <c r="P4" s="56">
        <v>2000</v>
      </c>
      <c r="Q4" s="56">
        <v>20000</v>
      </c>
      <c r="R4" s="56">
        <v>0</v>
      </c>
      <c r="T4" s="56">
        <v>0</v>
      </c>
      <c r="U4" s="56">
        <v>0</v>
      </c>
      <c r="V4" s="56">
        <v>0</v>
      </c>
      <c r="W4" s="56">
        <v>0</v>
      </c>
      <c r="X4" s="56">
        <v>0</v>
      </c>
      <c r="Y4" s="56">
        <v>0</v>
      </c>
      <c r="AA4" s="55">
        <f>Table13[[#This Row],[Expenses - Editorial]]+Table13[[#This Row],[Expenses - Revenue Generation]]+Table13[[#This Row],[Expenses - Tech]]+Table13[[#This Row],[Expenses - Admin]]</f>
        <v>213291</v>
      </c>
      <c r="AB4" s="56">
        <v>126641</v>
      </c>
      <c r="AC4" s="71">
        <f>SUM(Table13[[#This Row],[Expenses - Revenue Generation]:[Expenses - Admin]])</f>
        <v>86650</v>
      </c>
      <c r="AD4" s="56">
        <v>8400</v>
      </c>
      <c r="AE4" s="56">
        <v>16051</v>
      </c>
      <c r="AF4" s="56">
        <v>62199</v>
      </c>
      <c r="AG4" s="59">
        <f>Table13[[#This Row],[Total FTE - Editorial]]+Table13[[#This Row],[Total FTE - Non-Editorial]]</f>
        <v>5</v>
      </c>
      <c r="AH4" s="59">
        <f>Table13[[#This Row],[FTE Salaried - Editorial]]+Table13[[#This Row],[FTE Contractors - Editorial]]</f>
        <v>3.5</v>
      </c>
      <c r="AI4" s="57">
        <v>2</v>
      </c>
      <c r="AJ4" s="57">
        <v>1.5</v>
      </c>
      <c r="AK4" s="60">
        <f>Table13[[#This Row],[FTE Salaried - Non-Editorial]]+Table13[[#This Row],[FTE Contractors - Non-Editorial]]</f>
        <v>1.5</v>
      </c>
      <c r="AL4" s="57">
        <v>1</v>
      </c>
      <c r="AM4" s="57">
        <v>0.5</v>
      </c>
      <c r="AN4" s="54" t="s">
        <v>352</v>
      </c>
      <c r="AO4" s="54" t="s">
        <v>353</v>
      </c>
      <c r="AQ4" s="57">
        <v>23254</v>
      </c>
      <c r="AR4" s="57">
        <v>1000</v>
      </c>
      <c r="AS4" s="57">
        <v>35000</v>
      </c>
      <c r="AT4" s="57">
        <v>105000</v>
      </c>
      <c r="AU4" s="57">
        <v>0</v>
      </c>
      <c r="AV4" s="57" t="s">
        <v>354</v>
      </c>
      <c r="AW4" s="57">
        <v>0</v>
      </c>
      <c r="AX4" s="57">
        <v>0</v>
      </c>
      <c r="AY4" s="57">
        <v>0</v>
      </c>
    </row>
    <row r="5" spans="1:51" x14ac:dyDescent="0.2">
      <c r="A5" s="54">
        <v>339</v>
      </c>
      <c r="B5" s="54">
        <v>2017</v>
      </c>
      <c r="C5" s="91" t="s">
        <v>82</v>
      </c>
      <c r="D5" s="54" t="s">
        <v>7</v>
      </c>
      <c r="E5" s="54" t="s">
        <v>77</v>
      </c>
      <c r="F5" s="54" t="str">
        <f>_xlfn.CONCAT(Table13[[#This Row],[Geographic Scope]],": ",Table13[[#This Row],[Sub-Type/Focus]])</f>
        <v>Local: General</v>
      </c>
      <c r="G5" s="54" t="str">
        <f>_xlfn.CONCAT(Table13[[#This Row],[Geographic Scope]],": ",Table13[[#This Row],[Sub-Type/Focus]],": ",Table13[[#This Row],[Content Type]])</f>
        <v>Local: General: Current News &amp; Events</v>
      </c>
      <c r="H5" s="54" t="str">
        <f>_xlfn.CONCAT(Table13[[#This Row],[Geographic Scope]],": ",Table13[[#This Row],[Content Type]])</f>
        <v>Local: Current News &amp; Events</v>
      </c>
      <c r="I5" s="55">
        <f>Table13[[#This Row],[Total Contributed Income]]+Table13[[#This Row],[Total Earned Income]]</f>
        <v>13045</v>
      </c>
      <c r="J5" s="55">
        <f>Table13[[#This Row],[Cont. Income - Foundation]]+Table13[[#This Row],[Cont. Income - Membership]]+Table13[[#This Row],[Cont. Income - Small Donors]]+Table13[[#This Row],[Cont. Income - Med. Donors]]+Table13[[#This Row],[Cont. Income - Major Donors]]+Table13[[#This Row],[Cont. Income - Other]]</f>
        <v>3960</v>
      </c>
      <c r="K5" s="55">
        <f>Table13[[#This Row],[Earned Income - Advertising]]+Table13[[#This Row],[Earned Income - Sponsorships/Underwriting]]+Table13[[#This Row],[Earned Income - Events]]+Table13[[#This Row],[Earned Income - Subscriptions]]+Table13[[#This Row],[Earned Income - Syndication]]+Table13[[#This Row],[Earned Income - Other]]</f>
        <v>9085</v>
      </c>
      <c r="L5" s="56">
        <v>0</v>
      </c>
      <c r="M5" s="56">
        <v>0</v>
      </c>
      <c r="N5" s="71">
        <f>SUM(Table13[[#This Row],[Cont. Income - Small Donors]:[Cont. Income - Major Donors]])</f>
        <v>1610</v>
      </c>
      <c r="O5" s="56">
        <v>1610</v>
      </c>
      <c r="P5" s="56">
        <v>0</v>
      </c>
      <c r="Q5" s="56">
        <v>0</v>
      </c>
      <c r="R5" s="56">
        <v>2350</v>
      </c>
      <c r="S5" s="55" t="s">
        <v>355</v>
      </c>
      <c r="T5" s="56">
        <v>9085</v>
      </c>
      <c r="U5" s="56">
        <v>0</v>
      </c>
      <c r="V5" s="56">
        <v>0</v>
      </c>
      <c r="W5" s="56">
        <v>0</v>
      </c>
      <c r="X5" s="56">
        <v>0</v>
      </c>
      <c r="Y5" s="56">
        <v>0</v>
      </c>
      <c r="AA5" s="55">
        <f>Table13[[#This Row],[Expenses - Editorial]]+Table13[[#This Row],[Expenses - Revenue Generation]]+Table13[[#This Row],[Expenses - Tech]]+Table13[[#This Row],[Expenses - Admin]]</f>
        <v>10641</v>
      </c>
      <c r="AB5" s="56">
        <v>3632</v>
      </c>
      <c r="AC5" s="71">
        <f>SUM(Table13[[#This Row],[Expenses - Revenue Generation]:[Expenses - Admin]])</f>
        <v>7009</v>
      </c>
      <c r="AD5" s="56">
        <v>3474</v>
      </c>
      <c r="AE5" s="56">
        <v>2974</v>
      </c>
      <c r="AF5" s="56">
        <v>561</v>
      </c>
      <c r="AG5" s="59">
        <f>Table13[[#This Row],[Total FTE - Editorial]]+Table13[[#This Row],[Total FTE - Non-Editorial]]</f>
        <v>0</v>
      </c>
      <c r="AH5" s="59">
        <f>Table13[[#This Row],[FTE Salaried - Editorial]]+Table13[[#This Row],[FTE Contractors - Editorial]]</f>
        <v>0</v>
      </c>
      <c r="AI5" s="57">
        <v>0</v>
      </c>
      <c r="AJ5" s="57">
        <v>0</v>
      </c>
      <c r="AK5" s="60">
        <f>Table13[[#This Row],[FTE Salaried - Non-Editorial]]+Table13[[#This Row],[FTE Contractors - Non-Editorial]]</f>
        <v>0</v>
      </c>
      <c r="AL5" s="57">
        <v>0</v>
      </c>
      <c r="AM5" s="57">
        <v>0</v>
      </c>
      <c r="AN5" s="54" t="s">
        <v>351</v>
      </c>
      <c r="AO5" s="54" t="s">
        <v>356</v>
      </c>
      <c r="AP5" s="54" t="s">
        <v>357</v>
      </c>
      <c r="AQ5" s="57">
        <v>10000</v>
      </c>
      <c r="AR5" s="57">
        <v>339</v>
      </c>
      <c r="AS5" s="57">
        <v>0</v>
      </c>
      <c r="AT5" s="57">
        <v>0</v>
      </c>
      <c r="AU5" s="57">
        <v>0</v>
      </c>
      <c r="AV5" s="57">
        <v>0</v>
      </c>
      <c r="AW5" s="57">
        <v>0</v>
      </c>
      <c r="AX5" s="57"/>
      <c r="AY5" s="57">
        <v>0</v>
      </c>
    </row>
    <row r="6" spans="1:51" x14ac:dyDescent="0.2">
      <c r="A6" s="54">
        <v>362</v>
      </c>
      <c r="B6" s="54">
        <v>2014</v>
      </c>
      <c r="C6" s="91" t="s">
        <v>82</v>
      </c>
      <c r="D6" s="54" t="s">
        <v>7</v>
      </c>
      <c r="E6" s="54" t="s">
        <v>77</v>
      </c>
      <c r="F6" s="54" t="str">
        <f>_xlfn.CONCAT(Table13[[#This Row],[Geographic Scope]],": ",Table13[[#This Row],[Sub-Type/Focus]])</f>
        <v>Local: General</v>
      </c>
      <c r="G6" s="54" t="str">
        <f>_xlfn.CONCAT(Table13[[#This Row],[Geographic Scope]],": ",Table13[[#This Row],[Sub-Type/Focus]],": ",Table13[[#This Row],[Content Type]])</f>
        <v>Local: General: Current News &amp; Events</v>
      </c>
      <c r="H6" s="54" t="str">
        <f>_xlfn.CONCAT(Table13[[#This Row],[Geographic Scope]],": ",Table13[[#This Row],[Content Type]])</f>
        <v>Local: Current News &amp; Events</v>
      </c>
      <c r="I6" s="55">
        <f>Table13[[#This Row],[Total Contributed Income]]+Table13[[#This Row],[Total Earned Income]]</f>
        <v>159535</v>
      </c>
      <c r="J6" s="55">
        <f>Table13[[#This Row],[Cont. Income - Foundation]]+Table13[[#This Row],[Cont. Income - Membership]]+Table13[[#This Row],[Cont. Income - Small Donors]]+Table13[[#This Row],[Cont. Income - Med. Donors]]+Table13[[#This Row],[Cont. Income - Major Donors]]+Table13[[#This Row],[Cont. Income - Other]]</f>
        <v>145316</v>
      </c>
      <c r="K6" s="55">
        <f>Table13[[#This Row],[Earned Income - Advertising]]+Table13[[#This Row],[Earned Income - Sponsorships/Underwriting]]+Table13[[#This Row],[Earned Income - Events]]+Table13[[#This Row],[Earned Income - Subscriptions]]+Table13[[#This Row],[Earned Income - Syndication]]+Table13[[#This Row],[Earned Income - Other]]</f>
        <v>14219</v>
      </c>
      <c r="L6" s="56">
        <v>32000</v>
      </c>
      <c r="M6" s="56">
        <v>0</v>
      </c>
      <c r="N6" s="71">
        <f>SUM(Table13[[#This Row],[Cont. Income - Small Donors]:[Cont. Income - Major Donors]])</f>
        <v>113316</v>
      </c>
      <c r="O6" s="56">
        <v>25316</v>
      </c>
      <c r="P6" s="56">
        <v>78000</v>
      </c>
      <c r="Q6" s="56">
        <v>10000</v>
      </c>
      <c r="R6" s="56">
        <v>0</v>
      </c>
      <c r="T6" s="56">
        <v>0</v>
      </c>
      <c r="U6" s="56">
        <v>0</v>
      </c>
      <c r="V6" s="56">
        <v>0</v>
      </c>
      <c r="W6" s="56">
        <v>0</v>
      </c>
      <c r="X6" s="56">
        <v>0</v>
      </c>
      <c r="Y6" s="56">
        <v>14219</v>
      </c>
      <c r="Z6" s="54" t="s">
        <v>358</v>
      </c>
      <c r="AA6" s="55">
        <f>Table13[[#This Row],[Expenses - Editorial]]+Table13[[#This Row],[Expenses - Revenue Generation]]+Table13[[#This Row],[Expenses - Tech]]+Table13[[#This Row],[Expenses - Admin]]</f>
        <v>147149</v>
      </c>
      <c r="AB6" s="56">
        <v>92477</v>
      </c>
      <c r="AC6" s="71">
        <f>SUM(Table13[[#This Row],[Expenses - Revenue Generation]:[Expenses - Admin]])</f>
        <v>54672</v>
      </c>
      <c r="AD6" s="56">
        <v>9230</v>
      </c>
      <c r="AE6" s="56">
        <v>20442</v>
      </c>
      <c r="AF6" s="56">
        <v>25000</v>
      </c>
      <c r="AG6" s="59">
        <f>Table13[[#This Row],[Total FTE - Editorial]]+Table13[[#This Row],[Total FTE - Non-Editorial]]</f>
        <v>4</v>
      </c>
      <c r="AH6" s="59">
        <f>Table13[[#This Row],[FTE Salaried - Editorial]]+Table13[[#This Row],[FTE Contractors - Editorial]]</f>
        <v>2</v>
      </c>
      <c r="AI6" s="57">
        <v>0</v>
      </c>
      <c r="AJ6" s="57">
        <v>2</v>
      </c>
      <c r="AK6" s="60">
        <f>Table13[[#This Row],[FTE Salaried - Non-Editorial]]+Table13[[#This Row],[FTE Contractors - Non-Editorial]]</f>
        <v>2</v>
      </c>
      <c r="AL6" s="57">
        <v>0</v>
      </c>
      <c r="AM6" s="57">
        <v>2</v>
      </c>
      <c r="AN6" s="54" t="s">
        <v>351</v>
      </c>
      <c r="AO6" s="54" t="s">
        <v>359</v>
      </c>
      <c r="AQ6" s="57">
        <v>0</v>
      </c>
      <c r="AR6" s="57">
        <v>0</v>
      </c>
      <c r="AS6" s="57">
        <v>0</v>
      </c>
      <c r="AT6" s="57">
        <v>0</v>
      </c>
      <c r="AU6" s="57">
        <v>0</v>
      </c>
      <c r="AV6" s="57">
        <v>0</v>
      </c>
      <c r="AW6" s="57">
        <v>0</v>
      </c>
      <c r="AX6" s="57"/>
      <c r="AY6" s="57">
        <v>0</v>
      </c>
    </row>
    <row r="7" spans="1:51" x14ac:dyDescent="0.2">
      <c r="A7" s="54">
        <v>370</v>
      </c>
      <c r="B7" s="54">
        <v>2017</v>
      </c>
      <c r="C7" s="91" t="s">
        <v>82</v>
      </c>
      <c r="D7" s="54" t="s">
        <v>7</v>
      </c>
      <c r="E7" s="54" t="s">
        <v>77</v>
      </c>
      <c r="F7" s="54" t="str">
        <f>_xlfn.CONCAT(Table13[[#This Row],[Geographic Scope]],": ",Table13[[#This Row],[Sub-Type/Focus]])</f>
        <v>Local: General</v>
      </c>
      <c r="G7" s="54" t="str">
        <f>_xlfn.CONCAT(Table13[[#This Row],[Geographic Scope]],": ",Table13[[#This Row],[Sub-Type/Focus]],": ",Table13[[#This Row],[Content Type]])</f>
        <v>Local: General: Current News &amp; Events</v>
      </c>
      <c r="H7" s="54" t="str">
        <f>_xlfn.CONCAT(Table13[[#This Row],[Geographic Scope]],": ",Table13[[#This Row],[Content Type]])</f>
        <v>Local: Current News &amp; Events</v>
      </c>
      <c r="I7" s="55">
        <f>Table13[[#This Row],[Total Contributed Income]]+Table13[[#This Row],[Total Earned Income]]</f>
        <v>290823.21999999997</v>
      </c>
      <c r="J7" s="55">
        <f>Table13[[#This Row],[Cont. Income - Foundation]]+Table13[[#This Row],[Cont. Income - Membership]]+Table13[[#This Row],[Cont. Income - Small Donors]]+Table13[[#This Row],[Cont. Income - Med. Donors]]+Table13[[#This Row],[Cont. Income - Major Donors]]+Table13[[#This Row],[Cont. Income - Other]]</f>
        <v>277423.21999999997</v>
      </c>
      <c r="K7" s="55">
        <f>Table13[[#This Row],[Earned Income - Advertising]]+Table13[[#This Row],[Earned Income - Sponsorships/Underwriting]]+Table13[[#This Row],[Earned Income - Events]]+Table13[[#This Row],[Earned Income - Subscriptions]]+Table13[[#This Row],[Earned Income - Syndication]]+Table13[[#This Row],[Earned Income - Other]]</f>
        <v>13400</v>
      </c>
      <c r="L7" s="56">
        <v>125000</v>
      </c>
      <c r="M7" s="56">
        <v>500</v>
      </c>
      <c r="N7" s="71">
        <f>SUM(Table13[[#This Row],[Cont. Income - Small Donors]:[Cont. Income - Major Donors]])</f>
        <v>20298.22</v>
      </c>
      <c r="O7" s="56">
        <v>7773.22</v>
      </c>
      <c r="P7" s="56">
        <v>7525</v>
      </c>
      <c r="Q7" s="56">
        <v>5000</v>
      </c>
      <c r="R7" s="56">
        <v>131625</v>
      </c>
      <c r="S7" s="55" t="s">
        <v>360</v>
      </c>
      <c r="T7" s="56">
        <v>13400</v>
      </c>
      <c r="U7" s="56">
        <v>0</v>
      </c>
      <c r="V7" s="56">
        <v>0</v>
      </c>
      <c r="W7" s="56">
        <v>0</v>
      </c>
      <c r="X7" s="56">
        <v>0</v>
      </c>
      <c r="Y7" s="56">
        <v>0</v>
      </c>
      <c r="Z7" s="54" t="s">
        <v>361</v>
      </c>
      <c r="AA7" s="55">
        <f>Table13[[#This Row],[Expenses - Editorial]]+Table13[[#This Row],[Expenses - Revenue Generation]]+Table13[[#This Row],[Expenses - Tech]]+Table13[[#This Row],[Expenses - Admin]]</f>
        <v>168054.87</v>
      </c>
      <c r="AB7" s="56">
        <v>123568.85</v>
      </c>
      <c r="AC7" s="71">
        <f>SUM(Table13[[#This Row],[Expenses - Revenue Generation]:[Expenses - Admin]])</f>
        <v>44486.020000000004</v>
      </c>
      <c r="AD7" s="56">
        <v>27113.02</v>
      </c>
      <c r="AE7" s="56">
        <v>10873</v>
      </c>
      <c r="AF7" s="56">
        <v>6500</v>
      </c>
      <c r="AG7" s="59">
        <f>Table13[[#This Row],[Total FTE - Editorial]]+Table13[[#This Row],[Total FTE - Non-Editorial]]</f>
        <v>8</v>
      </c>
      <c r="AH7" s="59">
        <f>Table13[[#This Row],[FTE Salaried - Editorial]]+Table13[[#This Row],[FTE Contractors - Editorial]]</f>
        <v>8</v>
      </c>
      <c r="AI7" s="57">
        <v>5</v>
      </c>
      <c r="AJ7" s="57">
        <v>3</v>
      </c>
      <c r="AK7" s="60">
        <f>Table13[[#This Row],[FTE Salaried - Non-Editorial]]+Table13[[#This Row],[FTE Contractors - Non-Editorial]]</f>
        <v>0</v>
      </c>
      <c r="AL7" s="57">
        <v>0</v>
      </c>
      <c r="AM7" s="57">
        <v>0</v>
      </c>
      <c r="AN7" s="54" t="s">
        <v>351</v>
      </c>
      <c r="AQ7" s="57">
        <v>24047</v>
      </c>
      <c r="AR7" s="57">
        <v>1875</v>
      </c>
      <c r="AS7" s="57">
        <v>0</v>
      </c>
      <c r="AT7" s="57">
        <v>0</v>
      </c>
      <c r="AU7" s="57">
        <v>0</v>
      </c>
      <c r="AV7" s="57">
        <v>0</v>
      </c>
      <c r="AW7" s="57">
        <v>0</v>
      </c>
      <c r="AX7" s="57"/>
      <c r="AY7" s="57">
        <v>0</v>
      </c>
    </row>
    <row r="8" spans="1:51" x14ac:dyDescent="0.2">
      <c r="A8" s="54">
        <v>382</v>
      </c>
      <c r="B8" s="54">
        <v>2010</v>
      </c>
      <c r="C8" s="91" t="s">
        <v>82</v>
      </c>
      <c r="D8" s="54" t="s">
        <v>7</v>
      </c>
      <c r="E8" s="54" t="s">
        <v>77</v>
      </c>
      <c r="F8" s="54" t="str">
        <f>_xlfn.CONCAT(Table13[[#This Row],[Geographic Scope]],": ",Table13[[#This Row],[Sub-Type/Focus]])</f>
        <v>Local: General</v>
      </c>
      <c r="G8" s="54" t="str">
        <f>_xlfn.CONCAT(Table13[[#This Row],[Geographic Scope]],": ",Table13[[#This Row],[Sub-Type/Focus]],": ",Table13[[#This Row],[Content Type]])</f>
        <v>Local: General: Current News &amp; Events</v>
      </c>
      <c r="H8" s="54" t="str">
        <f>_xlfn.CONCAT(Table13[[#This Row],[Geographic Scope]],": ",Table13[[#This Row],[Content Type]])</f>
        <v>Local: Current News &amp; Events</v>
      </c>
      <c r="I8" s="55">
        <f>Table13[[#This Row],[Total Contributed Income]]+Table13[[#This Row],[Total Earned Income]]</f>
        <v>558230</v>
      </c>
      <c r="J8" s="55">
        <f>Table13[[#This Row],[Cont. Income - Foundation]]+Table13[[#This Row],[Cont. Income - Membership]]+Table13[[#This Row],[Cont. Income - Small Donors]]+Table13[[#This Row],[Cont. Income - Med. Donors]]+Table13[[#This Row],[Cont. Income - Major Donors]]+Table13[[#This Row],[Cont. Income - Other]]</f>
        <v>457997</v>
      </c>
      <c r="K8" s="55">
        <f>Table13[[#This Row],[Earned Income - Advertising]]+Table13[[#This Row],[Earned Income - Sponsorships/Underwriting]]+Table13[[#This Row],[Earned Income - Events]]+Table13[[#This Row],[Earned Income - Subscriptions]]+Table13[[#This Row],[Earned Income - Syndication]]+Table13[[#This Row],[Earned Income - Other]]</f>
        <v>100233</v>
      </c>
      <c r="L8" s="56">
        <v>37000</v>
      </c>
      <c r="M8" s="56">
        <v>46000</v>
      </c>
      <c r="N8" s="71">
        <f>SUM(Table13[[#This Row],[Cont. Income - Small Donors]:[Cont. Income - Major Donors]])</f>
        <v>374997</v>
      </c>
      <c r="O8" s="56">
        <v>0</v>
      </c>
      <c r="P8" s="56">
        <v>26933</v>
      </c>
      <c r="Q8" s="56">
        <v>348064</v>
      </c>
      <c r="R8" s="56">
        <v>0</v>
      </c>
      <c r="T8" s="56">
        <v>86550</v>
      </c>
      <c r="U8" s="56">
        <v>0</v>
      </c>
      <c r="V8" s="56">
        <v>0</v>
      </c>
      <c r="W8" s="56">
        <v>6356</v>
      </c>
      <c r="X8" s="56">
        <v>0</v>
      </c>
      <c r="Y8" s="56">
        <v>7327</v>
      </c>
      <c r="Z8" s="54" t="s">
        <v>362</v>
      </c>
      <c r="AA8" s="55">
        <f>Table13[[#This Row],[Expenses - Editorial]]+Table13[[#This Row],[Expenses - Revenue Generation]]+Table13[[#This Row],[Expenses - Tech]]+Table13[[#This Row],[Expenses - Admin]]</f>
        <v>593500</v>
      </c>
      <c r="AB8" s="56">
        <v>400000</v>
      </c>
      <c r="AC8" s="71">
        <f>SUM(Table13[[#This Row],[Expenses - Revenue Generation]:[Expenses - Admin]])</f>
        <v>193500</v>
      </c>
      <c r="AD8" s="56">
        <v>66000</v>
      </c>
      <c r="AE8" s="56">
        <v>2500</v>
      </c>
      <c r="AF8" s="56">
        <v>125000</v>
      </c>
      <c r="AG8" s="59">
        <f>Table13[[#This Row],[Total FTE - Editorial]]+Table13[[#This Row],[Total FTE - Non-Editorial]]</f>
        <v>7</v>
      </c>
      <c r="AH8" s="59">
        <f>Table13[[#This Row],[FTE Salaried - Editorial]]+Table13[[#This Row],[FTE Contractors - Editorial]]</f>
        <v>6</v>
      </c>
      <c r="AI8" s="57">
        <v>4.5</v>
      </c>
      <c r="AJ8" s="57">
        <v>1.5</v>
      </c>
      <c r="AK8" s="60">
        <f>Table13[[#This Row],[FTE Salaried - Non-Editorial]]+Table13[[#This Row],[FTE Contractors - Non-Editorial]]</f>
        <v>1</v>
      </c>
      <c r="AL8" s="57">
        <v>0.5</v>
      </c>
      <c r="AM8" s="57">
        <v>0.5</v>
      </c>
      <c r="AN8" s="54" t="s">
        <v>347</v>
      </c>
      <c r="AO8" s="54" t="s">
        <v>363</v>
      </c>
      <c r="AQ8" s="57">
        <v>70422</v>
      </c>
      <c r="AR8" s="57">
        <v>1463</v>
      </c>
      <c r="AS8" s="57">
        <v>3400</v>
      </c>
      <c r="AT8" s="57">
        <v>52</v>
      </c>
      <c r="AU8" s="57">
        <v>0</v>
      </c>
      <c r="AV8" s="57">
        <v>0</v>
      </c>
      <c r="AW8" s="57">
        <v>0</v>
      </c>
      <c r="AX8" s="57"/>
      <c r="AY8" s="57">
        <v>0</v>
      </c>
    </row>
    <row r="9" spans="1:51" x14ac:dyDescent="0.2">
      <c r="A9" s="54">
        <v>401</v>
      </c>
      <c r="B9" s="54">
        <v>2015</v>
      </c>
      <c r="C9" s="91" t="s">
        <v>82</v>
      </c>
      <c r="D9" s="54" t="s">
        <v>7</v>
      </c>
      <c r="E9" s="54" t="s">
        <v>77</v>
      </c>
      <c r="F9" s="54" t="str">
        <f>_xlfn.CONCAT(Table13[[#This Row],[Geographic Scope]],": ",Table13[[#This Row],[Sub-Type/Focus]])</f>
        <v>Local: General</v>
      </c>
      <c r="G9" s="54" t="str">
        <f>_xlfn.CONCAT(Table13[[#This Row],[Geographic Scope]],": ",Table13[[#This Row],[Sub-Type/Focus]],": ",Table13[[#This Row],[Content Type]])</f>
        <v>Local: General: Current News &amp; Events</v>
      </c>
      <c r="H9" s="54" t="str">
        <f>_xlfn.CONCAT(Table13[[#This Row],[Geographic Scope]],": ",Table13[[#This Row],[Content Type]])</f>
        <v>Local: Current News &amp; Events</v>
      </c>
      <c r="I9" s="55">
        <f>Table13[[#This Row],[Total Contributed Income]]+Table13[[#This Row],[Total Earned Income]]</f>
        <v>112970.39000000001</v>
      </c>
      <c r="J9" s="55">
        <f>Table13[[#This Row],[Cont. Income - Foundation]]+Table13[[#This Row],[Cont. Income - Membership]]+Table13[[#This Row],[Cont. Income - Small Donors]]+Table13[[#This Row],[Cont. Income - Med. Donors]]+Table13[[#This Row],[Cont. Income - Major Donors]]+Table13[[#This Row],[Cont. Income - Other]]</f>
        <v>74923.66</v>
      </c>
      <c r="K9" s="55">
        <f>Table13[[#This Row],[Earned Income - Advertising]]+Table13[[#This Row],[Earned Income - Sponsorships/Underwriting]]+Table13[[#This Row],[Earned Income - Events]]+Table13[[#This Row],[Earned Income - Subscriptions]]+Table13[[#This Row],[Earned Income - Syndication]]+Table13[[#This Row],[Earned Income - Other]]</f>
        <v>38046.730000000003</v>
      </c>
      <c r="L9" s="56">
        <v>38500</v>
      </c>
      <c r="M9" s="56">
        <v>0</v>
      </c>
      <c r="N9" s="71">
        <f>SUM(Table13[[#This Row],[Cont. Income - Small Donors]:[Cont. Income - Major Donors]])</f>
        <v>31423.66</v>
      </c>
      <c r="O9" s="56">
        <v>21824.91</v>
      </c>
      <c r="P9" s="56">
        <v>3598.75</v>
      </c>
      <c r="Q9" s="56">
        <v>6000</v>
      </c>
      <c r="R9" s="56">
        <v>5000</v>
      </c>
      <c r="S9" s="55" t="s">
        <v>364</v>
      </c>
      <c r="T9" s="56">
        <v>0</v>
      </c>
      <c r="U9" s="56">
        <v>37046.730000000003</v>
      </c>
      <c r="V9" s="56">
        <v>1000</v>
      </c>
      <c r="W9" s="56">
        <v>0</v>
      </c>
      <c r="X9" s="56">
        <v>0</v>
      </c>
      <c r="Y9" s="56">
        <v>0</v>
      </c>
      <c r="AA9" s="55">
        <f>Table13[[#This Row],[Expenses - Editorial]]+Table13[[#This Row],[Expenses - Revenue Generation]]+Table13[[#This Row],[Expenses - Tech]]+Table13[[#This Row],[Expenses - Admin]]</f>
        <v>72879.62</v>
      </c>
      <c r="AB9" s="56">
        <v>29645.14</v>
      </c>
      <c r="AC9" s="71">
        <f>SUM(Table13[[#This Row],[Expenses - Revenue Generation]:[Expenses - Admin]])</f>
        <v>43234.479999999996</v>
      </c>
      <c r="AD9" s="56">
        <v>24600.89</v>
      </c>
      <c r="AE9" s="56">
        <v>1722.7</v>
      </c>
      <c r="AF9" s="56">
        <v>16910.89</v>
      </c>
      <c r="AG9" s="59">
        <f>Table13[[#This Row],[Total FTE - Editorial]]+Table13[[#This Row],[Total FTE - Non-Editorial]]</f>
        <v>3</v>
      </c>
      <c r="AH9" s="59">
        <f>Table13[[#This Row],[FTE Salaried - Editorial]]+Table13[[#This Row],[FTE Contractors - Editorial]]</f>
        <v>2</v>
      </c>
      <c r="AI9" s="57">
        <v>0</v>
      </c>
      <c r="AJ9" s="57">
        <v>2</v>
      </c>
      <c r="AK9" s="60">
        <f>Table13[[#This Row],[FTE Salaried - Non-Editorial]]+Table13[[#This Row],[FTE Contractors - Non-Editorial]]</f>
        <v>1</v>
      </c>
      <c r="AL9" s="57">
        <v>1</v>
      </c>
      <c r="AM9" s="57">
        <v>0</v>
      </c>
      <c r="AN9" s="54" t="s">
        <v>351</v>
      </c>
      <c r="AQ9" s="57">
        <v>79459</v>
      </c>
      <c r="AR9" s="57">
        <v>2831</v>
      </c>
      <c r="AS9" s="57">
        <v>0</v>
      </c>
      <c r="AT9" s="57">
        <v>0</v>
      </c>
      <c r="AU9" s="57">
        <v>0</v>
      </c>
      <c r="AV9" s="57">
        <v>0</v>
      </c>
      <c r="AW9" s="57">
        <v>0</v>
      </c>
      <c r="AX9" s="57"/>
      <c r="AY9" s="57">
        <v>0</v>
      </c>
    </row>
    <row r="10" spans="1:51" x14ac:dyDescent="0.2">
      <c r="A10" s="54">
        <v>404</v>
      </c>
      <c r="B10" s="54">
        <v>2015</v>
      </c>
      <c r="C10" s="91" t="s">
        <v>82</v>
      </c>
      <c r="D10" s="54" t="s">
        <v>7</v>
      </c>
      <c r="E10" s="54" t="s">
        <v>77</v>
      </c>
      <c r="F10" s="54" t="str">
        <f>_xlfn.CONCAT(Table13[[#This Row],[Geographic Scope]],": ",Table13[[#This Row],[Sub-Type/Focus]])</f>
        <v>Local: General</v>
      </c>
      <c r="G10" s="54" t="str">
        <f>_xlfn.CONCAT(Table13[[#This Row],[Geographic Scope]],": ",Table13[[#This Row],[Sub-Type/Focus]],": ",Table13[[#This Row],[Content Type]])</f>
        <v>Local: General: Current News &amp; Events</v>
      </c>
      <c r="H10" s="54" t="str">
        <f>_xlfn.CONCAT(Table13[[#This Row],[Geographic Scope]],": ",Table13[[#This Row],[Content Type]])</f>
        <v>Local: Current News &amp; Events</v>
      </c>
      <c r="I10" s="55">
        <f>Table13[[#This Row],[Total Contributed Income]]+Table13[[#This Row],[Total Earned Income]]</f>
        <v>599220.71</v>
      </c>
      <c r="J10" s="55">
        <f>Table13[[#This Row],[Cont. Income - Foundation]]+Table13[[#This Row],[Cont. Income - Membership]]+Table13[[#This Row],[Cont. Income - Small Donors]]+Table13[[#This Row],[Cont. Income - Med. Donors]]+Table13[[#This Row],[Cont. Income - Major Donors]]+Table13[[#This Row],[Cont. Income - Other]]</f>
        <v>240850.71</v>
      </c>
      <c r="K10" s="55">
        <f>Table13[[#This Row],[Earned Income - Advertising]]+Table13[[#This Row],[Earned Income - Sponsorships/Underwriting]]+Table13[[#This Row],[Earned Income - Events]]+Table13[[#This Row],[Earned Income - Subscriptions]]+Table13[[#This Row],[Earned Income - Syndication]]+Table13[[#This Row],[Earned Income - Other]]</f>
        <v>358370</v>
      </c>
      <c r="L10" s="56">
        <v>210000</v>
      </c>
      <c r="M10" s="56">
        <v>0</v>
      </c>
      <c r="N10" s="71">
        <f>SUM(Table13[[#This Row],[Cont. Income - Small Donors]:[Cont. Income - Major Donors]])</f>
        <v>30850.71</v>
      </c>
      <c r="O10" s="56">
        <v>26850.71</v>
      </c>
      <c r="P10" s="56">
        <v>4000</v>
      </c>
      <c r="Q10" s="56">
        <v>0</v>
      </c>
      <c r="R10" s="56">
        <v>0</v>
      </c>
      <c r="T10" s="56">
        <v>218548</v>
      </c>
      <c r="U10" s="56">
        <v>0</v>
      </c>
      <c r="V10" s="56">
        <v>101872</v>
      </c>
      <c r="W10" s="56">
        <v>0</v>
      </c>
      <c r="X10" s="56">
        <v>0</v>
      </c>
      <c r="Y10" s="56">
        <v>37950</v>
      </c>
      <c r="Z10" s="54" t="s">
        <v>365</v>
      </c>
      <c r="AA10" s="55">
        <f>Table13[[#This Row],[Expenses - Editorial]]+Table13[[#This Row],[Expenses - Revenue Generation]]+Table13[[#This Row],[Expenses - Tech]]+Table13[[#This Row],[Expenses - Admin]]</f>
        <v>385422</v>
      </c>
      <c r="AB10" s="56">
        <v>145422</v>
      </c>
      <c r="AC10" s="71">
        <f>SUM(Table13[[#This Row],[Expenses - Revenue Generation]:[Expenses - Admin]])</f>
        <v>240000</v>
      </c>
      <c r="AD10" s="56">
        <v>105000</v>
      </c>
      <c r="AE10" s="56">
        <v>35000</v>
      </c>
      <c r="AF10" s="56">
        <v>100000</v>
      </c>
      <c r="AG10" s="59">
        <f>Table13[[#This Row],[Total FTE - Editorial]]+Table13[[#This Row],[Total FTE - Non-Editorial]]</f>
        <v>5.5</v>
      </c>
      <c r="AH10" s="59">
        <f>Table13[[#This Row],[FTE Salaried - Editorial]]+Table13[[#This Row],[FTE Contractors - Editorial]]</f>
        <v>4</v>
      </c>
      <c r="AI10" s="57">
        <v>2</v>
      </c>
      <c r="AJ10" s="57">
        <v>2</v>
      </c>
      <c r="AK10" s="60">
        <f>Table13[[#This Row],[FTE Salaried - Non-Editorial]]+Table13[[#This Row],[FTE Contractors - Non-Editorial]]</f>
        <v>1.5</v>
      </c>
      <c r="AL10" s="57">
        <v>1.5</v>
      </c>
      <c r="AM10" s="57">
        <v>0</v>
      </c>
      <c r="AN10" s="54" t="s">
        <v>351</v>
      </c>
      <c r="AO10" s="54" t="s">
        <v>366</v>
      </c>
      <c r="AP10" s="54" t="s">
        <v>367</v>
      </c>
      <c r="AQ10" s="57">
        <v>193198</v>
      </c>
      <c r="AR10" s="57">
        <v>24000</v>
      </c>
      <c r="AS10" s="57">
        <v>0</v>
      </c>
      <c r="AT10" s="57">
        <v>0</v>
      </c>
      <c r="AU10" s="57">
        <v>0</v>
      </c>
      <c r="AV10" s="57">
        <v>0</v>
      </c>
      <c r="AW10" s="57">
        <v>0</v>
      </c>
      <c r="AX10" s="57"/>
      <c r="AY10" s="57">
        <v>7523</v>
      </c>
    </row>
    <row r="11" spans="1:51" x14ac:dyDescent="0.2">
      <c r="A11" s="54">
        <v>411</v>
      </c>
      <c r="B11" s="54">
        <v>2008</v>
      </c>
      <c r="C11" s="91" t="s">
        <v>82</v>
      </c>
      <c r="D11" s="54" t="s">
        <v>7</v>
      </c>
      <c r="E11" s="54" t="s">
        <v>77</v>
      </c>
      <c r="F11" s="54" t="str">
        <f>_xlfn.CONCAT(Table13[[#This Row],[Geographic Scope]],": ",Table13[[#This Row],[Sub-Type/Focus]])</f>
        <v>Local: General</v>
      </c>
      <c r="G11" s="54" t="str">
        <f>_xlfn.CONCAT(Table13[[#This Row],[Geographic Scope]],": ",Table13[[#This Row],[Sub-Type/Focus]],": ",Table13[[#This Row],[Content Type]])</f>
        <v>Local: General: Current News &amp; Events</v>
      </c>
      <c r="H11" s="54" t="str">
        <f>_xlfn.CONCAT(Table13[[#This Row],[Geographic Scope]],": ",Table13[[#This Row],[Content Type]])</f>
        <v>Local: Current News &amp; Events</v>
      </c>
      <c r="I11" s="55">
        <f>Table13[[#This Row],[Total Contributed Income]]+Table13[[#This Row],[Total Earned Income]]</f>
        <v>321650.7</v>
      </c>
      <c r="J11" s="55">
        <f>Table13[[#This Row],[Cont. Income - Foundation]]+Table13[[#This Row],[Cont. Income - Membership]]+Table13[[#This Row],[Cont. Income - Small Donors]]+Table13[[#This Row],[Cont. Income - Med. Donors]]+Table13[[#This Row],[Cont. Income - Major Donors]]+Table13[[#This Row],[Cont. Income - Other]]</f>
        <v>321650.7</v>
      </c>
      <c r="K11" s="55">
        <f>Table13[[#This Row],[Earned Income - Advertising]]+Table13[[#This Row],[Earned Income - Sponsorships/Underwriting]]+Table13[[#This Row],[Earned Income - Events]]+Table13[[#This Row],[Earned Income - Subscriptions]]+Table13[[#This Row],[Earned Income - Syndication]]+Table13[[#This Row],[Earned Income - Other]]</f>
        <v>0</v>
      </c>
      <c r="L11" s="56">
        <v>125000</v>
      </c>
      <c r="M11" s="56">
        <v>12080</v>
      </c>
      <c r="N11" s="71">
        <f>SUM(Table13[[#This Row],[Cont. Income - Small Donors]:[Cont. Income - Major Donors]])</f>
        <v>184570.7</v>
      </c>
      <c r="O11" s="56">
        <v>155370.70000000001</v>
      </c>
      <c r="P11" s="56">
        <v>14200</v>
      </c>
      <c r="Q11" s="56">
        <v>15000</v>
      </c>
      <c r="R11" s="56">
        <v>0</v>
      </c>
      <c r="T11" s="56">
        <v>0</v>
      </c>
      <c r="U11" s="56">
        <v>0</v>
      </c>
      <c r="V11" s="56">
        <v>0</v>
      </c>
      <c r="W11" s="56">
        <v>0</v>
      </c>
      <c r="X11" s="56">
        <v>0</v>
      </c>
      <c r="Y11" s="56">
        <v>0</v>
      </c>
      <c r="AA11" s="55">
        <f>Table13[[#This Row],[Expenses - Editorial]]+Table13[[#This Row],[Expenses - Revenue Generation]]+Table13[[#This Row],[Expenses - Tech]]+Table13[[#This Row],[Expenses - Admin]]</f>
        <v>350000</v>
      </c>
      <c r="AB11" s="56">
        <v>300000</v>
      </c>
      <c r="AC11" s="71">
        <f>SUM(Table13[[#This Row],[Expenses - Revenue Generation]:[Expenses - Admin]])</f>
        <v>50000</v>
      </c>
      <c r="AD11" s="56">
        <v>0</v>
      </c>
      <c r="AE11" s="56">
        <v>0</v>
      </c>
      <c r="AF11" s="56">
        <v>50000</v>
      </c>
      <c r="AG11" s="59">
        <f>Table13[[#This Row],[Total FTE - Editorial]]+Table13[[#This Row],[Total FTE - Non-Editorial]]</f>
        <v>6.5</v>
      </c>
      <c r="AH11" s="59">
        <f>Table13[[#This Row],[FTE Salaried - Editorial]]+Table13[[#This Row],[FTE Contractors - Editorial]]</f>
        <v>2</v>
      </c>
      <c r="AI11" s="57">
        <v>2</v>
      </c>
      <c r="AJ11" s="57">
        <v>0</v>
      </c>
      <c r="AK11" s="60">
        <f>Table13[[#This Row],[FTE Salaried - Non-Editorial]]+Table13[[#This Row],[FTE Contractors - Non-Editorial]]</f>
        <v>4.5</v>
      </c>
      <c r="AL11" s="57">
        <v>4</v>
      </c>
      <c r="AM11" s="57">
        <v>0.5</v>
      </c>
      <c r="AN11" s="54" t="s">
        <v>347</v>
      </c>
      <c r="AO11" s="54" t="s">
        <v>363</v>
      </c>
      <c r="AQ11" s="57">
        <v>350000</v>
      </c>
      <c r="AR11" s="57">
        <v>9250</v>
      </c>
      <c r="AS11" s="57">
        <v>0</v>
      </c>
      <c r="AT11" s="57">
        <v>0</v>
      </c>
      <c r="AU11" s="57">
        <v>0</v>
      </c>
      <c r="AV11" s="57">
        <v>0</v>
      </c>
      <c r="AW11" s="57">
        <v>0</v>
      </c>
      <c r="AX11" s="57"/>
      <c r="AY11" s="57">
        <v>0</v>
      </c>
    </row>
    <row r="12" spans="1:51" x14ac:dyDescent="0.2">
      <c r="A12" s="54">
        <v>423</v>
      </c>
      <c r="B12" s="54">
        <v>2005</v>
      </c>
      <c r="C12" s="91" t="s">
        <v>82</v>
      </c>
      <c r="D12" s="54" t="s">
        <v>7</v>
      </c>
      <c r="E12" s="54" t="s">
        <v>77</v>
      </c>
      <c r="F12" s="54" t="str">
        <f>_xlfn.CONCAT(Table13[[#This Row],[Geographic Scope]],": ",Table13[[#This Row],[Sub-Type/Focus]])</f>
        <v>Local: General</v>
      </c>
      <c r="G12" s="54" t="str">
        <f>_xlfn.CONCAT(Table13[[#This Row],[Geographic Scope]],": ",Table13[[#This Row],[Sub-Type/Focus]],": ",Table13[[#This Row],[Content Type]])</f>
        <v>Local: General: Current News &amp; Events</v>
      </c>
      <c r="H12" s="54" t="str">
        <f>_xlfn.CONCAT(Table13[[#This Row],[Geographic Scope]],": ",Table13[[#This Row],[Content Type]])</f>
        <v>Local: Current News &amp; Events</v>
      </c>
      <c r="I12" s="55">
        <f>Table13[[#This Row],[Total Contributed Income]]+Table13[[#This Row],[Total Earned Income]]</f>
        <v>840230.2300000001</v>
      </c>
      <c r="J12" s="55">
        <f>Table13[[#This Row],[Cont. Income - Foundation]]+Table13[[#This Row],[Cont. Income - Membership]]+Table13[[#This Row],[Cont. Income - Small Donors]]+Table13[[#This Row],[Cont. Income - Med. Donors]]+Table13[[#This Row],[Cont. Income - Major Donors]]+Table13[[#This Row],[Cont. Income - Other]]</f>
        <v>828230.2300000001</v>
      </c>
      <c r="K12" s="55">
        <f>Table13[[#This Row],[Earned Income - Advertising]]+Table13[[#This Row],[Earned Income - Sponsorships/Underwriting]]+Table13[[#This Row],[Earned Income - Events]]+Table13[[#This Row],[Earned Income - Subscriptions]]+Table13[[#This Row],[Earned Income - Syndication]]+Table13[[#This Row],[Earned Income - Other]]</f>
        <v>12000</v>
      </c>
      <c r="L12" s="56">
        <v>353009.71</v>
      </c>
      <c r="M12" s="56">
        <v>0</v>
      </c>
      <c r="N12" s="71">
        <f>SUM(Table13[[#This Row],[Cont. Income - Small Donors]:[Cont. Income - Major Donors]])</f>
        <v>475220.52</v>
      </c>
      <c r="O12" s="56">
        <v>353550.62</v>
      </c>
      <c r="P12" s="56">
        <v>101669.9</v>
      </c>
      <c r="Q12" s="56">
        <v>20000</v>
      </c>
      <c r="R12" s="56">
        <v>0</v>
      </c>
      <c r="T12" s="56">
        <v>12000</v>
      </c>
      <c r="U12" s="56">
        <v>0</v>
      </c>
      <c r="V12" s="56">
        <v>0</v>
      </c>
      <c r="W12" s="56">
        <v>0</v>
      </c>
      <c r="X12" s="56">
        <v>0</v>
      </c>
      <c r="Y12" s="56">
        <v>0</v>
      </c>
      <c r="AA12" s="55">
        <f>Table13[[#This Row],[Expenses - Editorial]]+Table13[[#This Row],[Expenses - Revenue Generation]]+Table13[[#This Row],[Expenses - Tech]]+Table13[[#This Row],[Expenses - Admin]]</f>
        <v>810297.01</v>
      </c>
      <c r="AB12" s="56">
        <v>524796.03</v>
      </c>
      <c r="AC12" s="71">
        <f>SUM(Table13[[#This Row],[Expenses - Revenue Generation]:[Expenses - Admin]])</f>
        <v>285500.98</v>
      </c>
      <c r="AD12" s="56">
        <v>10000</v>
      </c>
      <c r="AE12" s="56">
        <v>97235.64</v>
      </c>
      <c r="AF12" s="56">
        <v>178265.34</v>
      </c>
      <c r="AG12" s="59">
        <f>Table13[[#This Row],[Total FTE - Editorial]]+Table13[[#This Row],[Total FTE - Non-Editorial]]</f>
        <v>9</v>
      </c>
      <c r="AH12" s="59">
        <f>Table13[[#This Row],[FTE Salaried - Editorial]]+Table13[[#This Row],[FTE Contractors - Editorial]]</f>
        <v>8</v>
      </c>
      <c r="AI12" s="57">
        <v>5</v>
      </c>
      <c r="AJ12" s="57">
        <v>3</v>
      </c>
      <c r="AK12" s="60">
        <f>Table13[[#This Row],[FTE Salaried - Non-Editorial]]+Table13[[#This Row],[FTE Contractors - Non-Editorial]]</f>
        <v>1</v>
      </c>
      <c r="AL12" s="57">
        <v>1</v>
      </c>
      <c r="AM12" s="57">
        <v>0</v>
      </c>
      <c r="AN12" s="54" t="s">
        <v>352</v>
      </c>
      <c r="AO12" s="54" t="s">
        <v>368</v>
      </c>
      <c r="AQ12" s="57">
        <v>260000</v>
      </c>
      <c r="AR12" s="57">
        <v>5000</v>
      </c>
      <c r="AS12" s="57">
        <v>0</v>
      </c>
      <c r="AT12" s="57">
        <v>0</v>
      </c>
      <c r="AU12" s="57">
        <v>5000</v>
      </c>
      <c r="AV12" s="57">
        <v>0</v>
      </c>
      <c r="AW12" s="57">
        <v>0</v>
      </c>
      <c r="AX12" s="57"/>
      <c r="AY12" s="57">
        <v>40</v>
      </c>
    </row>
    <row r="13" spans="1:51" x14ac:dyDescent="0.2">
      <c r="A13" s="54">
        <v>432</v>
      </c>
      <c r="B13" s="54">
        <v>2010</v>
      </c>
      <c r="C13" s="91" t="s">
        <v>82</v>
      </c>
      <c r="D13" s="54" t="s">
        <v>7</v>
      </c>
      <c r="E13" s="54" t="s">
        <v>77</v>
      </c>
      <c r="F13" s="54" t="str">
        <f>_xlfn.CONCAT(Table13[[#This Row],[Geographic Scope]],": ",Table13[[#This Row],[Sub-Type/Focus]])</f>
        <v>Local: General</v>
      </c>
      <c r="G13" s="54" t="str">
        <f>_xlfn.CONCAT(Table13[[#This Row],[Geographic Scope]],": ",Table13[[#This Row],[Sub-Type/Focus]],": ",Table13[[#This Row],[Content Type]])</f>
        <v>Local: General: Current News &amp; Events</v>
      </c>
      <c r="H13" s="54" t="str">
        <f>_xlfn.CONCAT(Table13[[#This Row],[Geographic Scope]],": ",Table13[[#This Row],[Content Type]])</f>
        <v>Local: Current News &amp; Events</v>
      </c>
      <c r="I13" s="55">
        <f>Table13[[#This Row],[Total Contributed Income]]+Table13[[#This Row],[Total Earned Income]]</f>
        <v>114845</v>
      </c>
      <c r="J13" s="55">
        <f>Table13[[#This Row],[Cont. Income - Foundation]]+Table13[[#This Row],[Cont. Income - Membership]]+Table13[[#This Row],[Cont. Income - Small Donors]]+Table13[[#This Row],[Cont. Income - Med. Donors]]+Table13[[#This Row],[Cont. Income - Major Donors]]+Table13[[#This Row],[Cont. Income - Other]]</f>
        <v>62155</v>
      </c>
      <c r="K13" s="55">
        <f>Table13[[#This Row],[Earned Income - Advertising]]+Table13[[#This Row],[Earned Income - Sponsorships/Underwriting]]+Table13[[#This Row],[Earned Income - Events]]+Table13[[#This Row],[Earned Income - Subscriptions]]+Table13[[#This Row],[Earned Income - Syndication]]+Table13[[#This Row],[Earned Income - Other]]</f>
        <v>52690</v>
      </c>
      <c r="L13" s="56">
        <v>31462</v>
      </c>
      <c r="M13" s="56">
        <v>0</v>
      </c>
      <c r="N13" s="71">
        <f>SUM(Table13[[#This Row],[Cont. Income - Small Donors]:[Cont. Income - Major Donors]])</f>
        <v>22893</v>
      </c>
      <c r="O13" s="56">
        <v>11893</v>
      </c>
      <c r="P13" s="56">
        <v>6000</v>
      </c>
      <c r="Q13" s="56">
        <v>5000</v>
      </c>
      <c r="R13" s="56">
        <v>7800</v>
      </c>
      <c r="S13" s="55" t="s">
        <v>369</v>
      </c>
      <c r="T13" s="56">
        <v>0</v>
      </c>
      <c r="U13" s="56">
        <v>7250</v>
      </c>
      <c r="V13" s="56">
        <v>450</v>
      </c>
      <c r="W13" s="56">
        <v>0</v>
      </c>
      <c r="X13" s="56">
        <v>0</v>
      </c>
      <c r="Y13" s="56">
        <v>44990</v>
      </c>
      <c r="Z13" s="54" t="s">
        <v>370</v>
      </c>
      <c r="AA13" s="55">
        <f>Table13[[#This Row],[Expenses - Editorial]]+Table13[[#This Row],[Expenses - Revenue Generation]]+Table13[[#This Row],[Expenses - Tech]]+Table13[[#This Row],[Expenses - Admin]]</f>
        <v>85000</v>
      </c>
      <c r="AB13" s="56">
        <v>45000</v>
      </c>
      <c r="AC13" s="71">
        <f>SUM(Table13[[#This Row],[Expenses - Revenue Generation]:[Expenses - Admin]])</f>
        <v>40000</v>
      </c>
      <c r="AD13" s="56">
        <v>5000</v>
      </c>
      <c r="AE13" s="56">
        <v>5000</v>
      </c>
      <c r="AF13" s="56">
        <v>30000</v>
      </c>
      <c r="AG13" s="59">
        <f>Table13[[#This Row],[Total FTE - Editorial]]+Table13[[#This Row],[Total FTE - Non-Editorial]]</f>
        <v>2.5499999999999998</v>
      </c>
      <c r="AH13" s="59">
        <f>Table13[[#This Row],[FTE Salaried - Editorial]]+Table13[[#This Row],[FTE Contractors - Editorial]]</f>
        <v>1.1000000000000001</v>
      </c>
      <c r="AI13" s="57">
        <v>0.5</v>
      </c>
      <c r="AJ13" s="57">
        <v>0.6</v>
      </c>
      <c r="AK13" s="60">
        <f>Table13[[#This Row],[FTE Salaried - Non-Editorial]]+Table13[[#This Row],[FTE Contractors - Non-Editorial]]</f>
        <v>1.45</v>
      </c>
      <c r="AL13" s="57">
        <v>1.25</v>
      </c>
      <c r="AM13" s="57">
        <v>0.2</v>
      </c>
      <c r="AN13" s="54" t="s">
        <v>351</v>
      </c>
      <c r="AQ13" s="57">
        <v>12000</v>
      </c>
      <c r="AR13" s="57">
        <v>1371</v>
      </c>
      <c r="AS13" s="57">
        <v>0</v>
      </c>
      <c r="AT13" s="57">
        <v>0</v>
      </c>
      <c r="AU13" s="57">
        <v>0</v>
      </c>
      <c r="AV13" s="57">
        <v>0</v>
      </c>
      <c r="AW13" s="57">
        <v>1500</v>
      </c>
      <c r="AX13" s="57" t="s">
        <v>371</v>
      </c>
      <c r="AY13" s="57">
        <v>0</v>
      </c>
    </row>
    <row r="14" spans="1:51" x14ac:dyDescent="0.2">
      <c r="A14" s="54">
        <v>449</v>
      </c>
      <c r="B14" s="54">
        <v>2012</v>
      </c>
      <c r="C14" s="91" t="s">
        <v>82</v>
      </c>
      <c r="D14" s="54" t="s">
        <v>7</v>
      </c>
      <c r="E14" s="54" t="s">
        <v>77</v>
      </c>
      <c r="F14" s="54" t="str">
        <f>_xlfn.CONCAT(Table13[[#This Row],[Geographic Scope]],": ",Table13[[#This Row],[Sub-Type/Focus]])</f>
        <v>Local: General</v>
      </c>
      <c r="G14" s="54" t="str">
        <f>_xlfn.CONCAT(Table13[[#This Row],[Geographic Scope]],": ",Table13[[#This Row],[Sub-Type/Focus]],": ",Table13[[#This Row],[Content Type]])</f>
        <v>Local: General: Current News &amp; Events</v>
      </c>
      <c r="H14" s="54" t="str">
        <f>_xlfn.CONCAT(Table13[[#This Row],[Geographic Scope]],": ",Table13[[#This Row],[Content Type]])</f>
        <v>Local: Current News &amp; Events</v>
      </c>
      <c r="I14" s="55">
        <f>Table13[[#This Row],[Total Contributed Income]]+Table13[[#This Row],[Total Earned Income]]</f>
        <v>1744608.1600000001</v>
      </c>
      <c r="J14" s="55">
        <f>Table13[[#This Row],[Cont. Income - Foundation]]+Table13[[#This Row],[Cont. Income - Membership]]+Table13[[#This Row],[Cont. Income - Small Donors]]+Table13[[#This Row],[Cont. Income - Med. Donors]]+Table13[[#This Row],[Cont. Income - Major Donors]]+Table13[[#This Row],[Cont. Income - Other]]</f>
        <v>1115410.1600000001</v>
      </c>
      <c r="K14" s="55">
        <f>Table13[[#This Row],[Earned Income - Advertising]]+Table13[[#This Row],[Earned Income - Sponsorships/Underwriting]]+Table13[[#This Row],[Earned Income - Events]]+Table13[[#This Row],[Earned Income - Subscriptions]]+Table13[[#This Row],[Earned Income - Syndication]]+Table13[[#This Row],[Earned Income - Other]]</f>
        <v>629198</v>
      </c>
      <c r="L14" s="56">
        <v>733350</v>
      </c>
      <c r="M14" s="56">
        <v>256380.15</v>
      </c>
      <c r="N14" s="71">
        <f>SUM(Table13[[#This Row],[Cont. Income - Small Donors]:[Cont. Income - Major Donors]])</f>
        <v>125680.01</v>
      </c>
      <c r="O14" s="56">
        <v>3280.01</v>
      </c>
      <c r="P14" s="56">
        <v>67400</v>
      </c>
      <c r="Q14" s="56">
        <v>55000</v>
      </c>
      <c r="R14" s="56">
        <v>0</v>
      </c>
      <c r="T14" s="56">
        <v>318924</v>
      </c>
      <c r="U14" s="56">
        <v>0</v>
      </c>
      <c r="V14" s="56">
        <v>305500</v>
      </c>
      <c r="W14" s="56">
        <v>0</v>
      </c>
      <c r="X14" s="56">
        <v>0</v>
      </c>
      <c r="Y14" s="56">
        <v>4774</v>
      </c>
      <c r="AA14" s="55">
        <f>Table13[[#This Row],[Expenses - Editorial]]+Table13[[#This Row],[Expenses - Revenue Generation]]+Table13[[#This Row],[Expenses - Tech]]+Table13[[#This Row],[Expenses - Admin]]</f>
        <v>2144118.6800000002</v>
      </c>
      <c r="AB14" s="56">
        <v>1360341.22</v>
      </c>
      <c r="AC14" s="71">
        <f>SUM(Table13[[#This Row],[Expenses - Revenue Generation]:[Expenses - Admin]])</f>
        <v>783777.46</v>
      </c>
      <c r="AD14" s="56">
        <v>568099.31999999995</v>
      </c>
      <c r="AE14" s="56">
        <v>35811.83</v>
      </c>
      <c r="AF14" s="56">
        <v>179866.31</v>
      </c>
      <c r="AG14" s="59">
        <f>Table13[[#This Row],[Total FTE - Editorial]]+Table13[[#This Row],[Total FTE - Non-Editorial]]</f>
        <v>21</v>
      </c>
      <c r="AH14" s="59">
        <f>Table13[[#This Row],[FTE Salaried - Editorial]]+Table13[[#This Row],[FTE Contractors - Editorial]]</f>
        <v>15.5</v>
      </c>
      <c r="AI14" s="57">
        <v>14</v>
      </c>
      <c r="AJ14" s="57">
        <v>1.5</v>
      </c>
      <c r="AK14" s="60">
        <f>Table13[[#This Row],[FTE Salaried - Non-Editorial]]+Table13[[#This Row],[FTE Contractors - Non-Editorial]]</f>
        <v>5.5</v>
      </c>
      <c r="AL14" s="57">
        <v>5</v>
      </c>
      <c r="AM14" s="57">
        <v>0.5</v>
      </c>
      <c r="AN14" s="54" t="s">
        <v>351</v>
      </c>
      <c r="AQ14" s="57">
        <v>280238</v>
      </c>
      <c r="AR14" s="57">
        <v>20906</v>
      </c>
      <c r="AS14" s="57">
        <v>0</v>
      </c>
      <c r="AT14" s="57">
        <v>0</v>
      </c>
      <c r="AU14" s="57">
        <v>0</v>
      </c>
      <c r="AV14" s="57">
        <v>0</v>
      </c>
      <c r="AW14" s="57">
        <v>0</v>
      </c>
      <c r="AX14" s="57"/>
      <c r="AY14" s="57">
        <v>162.75</v>
      </c>
    </row>
    <row r="15" spans="1:51" x14ac:dyDescent="0.2">
      <c r="A15" s="54">
        <v>452</v>
      </c>
      <c r="B15" s="54">
        <v>2008</v>
      </c>
      <c r="C15" s="91" t="s">
        <v>82</v>
      </c>
      <c r="D15" s="54" t="s">
        <v>7</v>
      </c>
      <c r="E15" s="54" t="s">
        <v>77</v>
      </c>
      <c r="F15" s="54" t="str">
        <f>_xlfn.CONCAT(Table13[[#This Row],[Geographic Scope]],": ",Table13[[#This Row],[Sub-Type/Focus]])</f>
        <v>Local: General</v>
      </c>
      <c r="G15" s="54" t="str">
        <f>_xlfn.CONCAT(Table13[[#This Row],[Geographic Scope]],": ",Table13[[#This Row],[Sub-Type/Focus]],": ",Table13[[#This Row],[Content Type]])</f>
        <v>Local: General: Current News &amp; Events</v>
      </c>
      <c r="H15" s="54" t="str">
        <f>_xlfn.CONCAT(Table13[[#This Row],[Geographic Scope]],": ",Table13[[#This Row],[Content Type]])</f>
        <v>Local: Current News &amp; Events</v>
      </c>
      <c r="I15" s="55">
        <f>Table13[[#This Row],[Total Contributed Income]]+Table13[[#This Row],[Total Earned Income]]</f>
        <v>561574.31000000006</v>
      </c>
      <c r="J15" s="55">
        <f>Table13[[#This Row],[Cont. Income - Foundation]]+Table13[[#This Row],[Cont. Income - Membership]]+Table13[[#This Row],[Cont. Income - Small Donors]]+Table13[[#This Row],[Cont. Income - Med. Donors]]+Table13[[#This Row],[Cont. Income - Major Donors]]+Table13[[#This Row],[Cont. Income - Other]]</f>
        <v>531859.27</v>
      </c>
      <c r="K15" s="55">
        <f>Table13[[#This Row],[Earned Income - Advertising]]+Table13[[#This Row],[Earned Income - Sponsorships/Underwriting]]+Table13[[#This Row],[Earned Income - Events]]+Table13[[#This Row],[Earned Income - Subscriptions]]+Table13[[#This Row],[Earned Income - Syndication]]+Table13[[#This Row],[Earned Income - Other]]</f>
        <v>29715.040000000001</v>
      </c>
      <c r="L15" s="56">
        <v>382000</v>
      </c>
      <c r="M15" s="56">
        <v>0</v>
      </c>
      <c r="N15" s="71">
        <f>SUM(Table13[[#This Row],[Cont. Income - Small Donors]:[Cont. Income - Major Donors]])</f>
        <v>149859.26999999999</v>
      </c>
      <c r="O15" s="56">
        <v>42929.42</v>
      </c>
      <c r="P15" s="56">
        <v>16929.849999999999</v>
      </c>
      <c r="Q15" s="56">
        <v>90000</v>
      </c>
      <c r="R15" s="56">
        <v>0</v>
      </c>
      <c r="T15" s="56">
        <v>0</v>
      </c>
      <c r="U15" s="56">
        <v>10000</v>
      </c>
      <c r="V15" s="56">
        <v>0</v>
      </c>
      <c r="W15" s="56">
        <v>0</v>
      </c>
      <c r="X15" s="56">
        <v>41.48</v>
      </c>
      <c r="Y15" s="56">
        <v>19673.560000000001</v>
      </c>
      <c r="Z15" s="54" t="s">
        <v>372</v>
      </c>
      <c r="AA15" s="55">
        <f>Table13[[#This Row],[Expenses - Editorial]]+Table13[[#This Row],[Expenses - Revenue Generation]]+Table13[[#This Row],[Expenses - Tech]]+Table13[[#This Row],[Expenses - Admin]]</f>
        <v>549587.82000000007</v>
      </c>
      <c r="AB15" s="56">
        <v>339264.4</v>
      </c>
      <c r="AC15" s="71">
        <f>SUM(Table13[[#This Row],[Expenses - Revenue Generation]:[Expenses - Admin]])</f>
        <v>210323.41999999998</v>
      </c>
      <c r="AD15" s="56">
        <v>67328.44</v>
      </c>
      <c r="AE15" s="56">
        <v>48644.27</v>
      </c>
      <c r="AF15" s="56">
        <v>94350.71</v>
      </c>
      <c r="AG15" s="59">
        <f>Table13[[#This Row],[Total FTE - Editorial]]+Table13[[#This Row],[Total FTE - Non-Editorial]]</f>
        <v>9.5</v>
      </c>
      <c r="AH15" s="59">
        <f>Table13[[#This Row],[FTE Salaried - Editorial]]+Table13[[#This Row],[FTE Contractors - Editorial]]</f>
        <v>6.75</v>
      </c>
      <c r="AI15" s="57">
        <v>6</v>
      </c>
      <c r="AJ15" s="57">
        <v>0.75</v>
      </c>
      <c r="AK15" s="60">
        <f>Table13[[#This Row],[FTE Salaried - Non-Editorial]]+Table13[[#This Row],[FTE Contractors - Non-Editorial]]</f>
        <v>2.75</v>
      </c>
      <c r="AL15" s="57">
        <v>2.75</v>
      </c>
      <c r="AM15" s="57">
        <v>0</v>
      </c>
      <c r="AN15" s="54" t="s">
        <v>352</v>
      </c>
      <c r="AO15" s="54" t="s">
        <v>373</v>
      </c>
      <c r="AQ15" s="57">
        <v>24738</v>
      </c>
      <c r="AR15" s="57">
        <v>4390</v>
      </c>
      <c r="AS15" s="57">
        <v>6000</v>
      </c>
      <c r="AT15" s="57">
        <v>1</v>
      </c>
      <c r="AU15" s="57">
        <v>300000</v>
      </c>
      <c r="AV15" s="57" t="s">
        <v>374</v>
      </c>
      <c r="AW15" s="57">
        <v>0</v>
      </c>
      <c r="AX15" s="57"/>
      <c r="AY15" s="57">
        <v>4400</v>
      </c>
    </row>
    <row r="16" spans="1:51" x14ac:dyDescent="0.2">
      <c r="A16" s="54">
        <v>475</v>
      </c>
      <c r="B16" s="54">
        <v>2019</v>
      </c>
      <c r="C16" s="91" t="s">
        <v>82</v>
      </c>
      <c r="D16" s="54" t="s">
        <v>7</v>
      </c>
      <c r="E16" s="54" t="s">
        <v>77</v>
      </c>
      <c r="F16" s="54" t="str">
        <f>_xlfn.CONCAT(Table13[[#This Row],[Geographic Scope]],": ",Table13[[#This Row],[Sub-Type/Focus]])</f>
        <v>Local: General</v>
      </c>
      <c r="G16" s="54" t="str">
        <f>_xlfn.CONCAT(Table13[[#This Row],[Geographic Scope]],": ",Table13[[#This Row],[Sub-Type/Focus]],": ",Table13[[#This Row],[Content Type]])</f>
        <v>Local: General: Current News &amp; Events</v>
      </c>
      <c r="H16" s="54" t="str">
        <f>_xlfn.CONCAT(Table13[[#This Row],[Geographic Scope]],": ",Table13[[#This Row],[Content Type]])</f>
        <v>Local: Current News &amp; Events</v>
      </c>
      <c r="I16" s="55">
        <f>Table13[[#This Row],[Total Contributed Income]]+Table13[[#This Row],[Total Earned Income]]</f>
        <v>1357461</v>
      </c>
      <c r="J16" s="55">
        <f>Table13[[#This Row],[Cont. Income - Foundation]]+Table13[[#This Row],[Cont. Income - Membership]]+Table13[[#This Row],[Cont. Income - Small Donors]]+Table13[[#This Row],[Cont. Income - Med. Donors]]+Table13[[#This Row],[Cont. Income - Major Donors]]+Table13[[#This Row],[Cont. Income - Other]]</f>
        <v>1332461</v>
      </c>
      <c r="K16" s="55">
        <f>Table13[[#This Row],[Earned Income - Advertising]]+Table13[[#This Row],[Earned Income - Sponsorships/Underwriting]]+Table13[[#This Row],[Earned Income - Events]]+Table13[[#This Row],[Earned Income - Subscriptions]]+Table13[[#This Row],[Earned Income - Syndication]]+Table13[[#This Row],[Earned Income - Other]]</f>
        <v>25000</v>
      </c>
      <c r="L16" s="56">
        <v>853519</v>
      </c>
      <c r="M16" s="56">
        <v>319630</v>
      </c>
      <c r="N16" s="71">
        <f>SUM(Table13[[#This Row],[Cont. Income - Small Donors]:[Cont. Income - Major Donors]])</f>
        <v>159312</v>
      </c>
      <c r="O16" s="56">
        <v>0</v>
      </c>
      <c r="P16" s="56">
        <v>45336</v>
      </c>
      <c r="Q16" s="56">
        <v>113976</v>
      </c>
      <c r="R16" s="56">
        <v>0</v>
      </c>
      <c r="T16" s="56">
        <v>0</v>
      </c>
      <c r="U16" s="56">
        <v>25000</v>
      </c>
      <c r="V16" s="56">
        <v>0</v>
      </c>
      <c r="W16" s="56">
        <v>0</v>
      </c>
      <c r="X16" s="56">
        <v>0</v>
      </c>
      <c r="Y16" s="56">
        <v>0</v>
      </c>
      <c r="AA16" s="55">
        <f>Table13[[#This Row],[Expenses - Editorial]]+Table13[[#This Row],[Expenses - Revenue Generation]]+Table13[[#This Row],[Expenses - Tech]]+Table13[[#This Row],[Expenses - Admin]]</f>
        <v>4270597</v>
      </c>
      <c r="AB16" s="56">
        <v>3088979</v>
      </c>
      <c r="AC16" s="71">
        <f>SUM(Table13[[#This Row],[Expenses - Revenue Generation]:[Expenses - Admin]])</f>
        <v>1181618</v>
      </c>
      <c r="AD16" s="56">
        <v>245811</v>
      </c>
      <c r="AE16" s="56">
        <v>0</v>
      </c>
      <c r="AF16" s="56">
        <v>935807</v>
      </c>
      <c r="AG16" s="59">
        <f>Table13[[#This Row],[Total FTE - Editorial]]+Table13[[#This Row],[Total FTE - Non-Editorial]]</f>
        <v>31</v>
      </c>
      <c r="AH16" s="59">
        <f>Table13[[#This Row],[FTE Salaried - Editorial]]+Table13[[#This Row],[FTE Contractors - Editorial]]</f>
        <v>27</v>
      </c>
      <c r="AI16" s="57">
        <v>20</v>
      </c>
      <c r="AJ16" s="57">
        <v>7</v>
      </c>
      <c r="AK16" s="60">
        <f>Table13[[#This Row],[FTE Salaried - Non-Editorial]]+Table13[[#This Row],[FTE Contractors - Non-Editorial]]</f>
        <v>4</v>
      </c>
      <c r="AL16" s="57">
        <v>4</v>
      </c>
      <c r="AM16" s="57">
        <v>0</v>
      </c>
      <c r="AN16" s="54" t="s">
        <v>351</v>
      </c>
      <c r="AQ16" s="57">
        <v>519131</v>
      </c>
      <c r="AR16" s="57">
        <v>128617</v>
      </c>
      <c r="AS16" s="57">
        <v>0</v>
      </c>
      <c r="AT16" s="57">
        <v>0</v>
      </c>
      <c r="AU16" s="57">
        <v>0</v>
      </c>
      <c r="AV16" s="57">
        <v>0</v>
      </c>
      <c r="AW16" s="57">
        <v>0</v>
      </c>
      <c r="AX16" s="57"/>
      <c r="AY16" s="57">
        <v>0</v>
      </c>
    </row>
    <row r="17" spans="1:51" x14ac:dyDescent="0.2">
      <c r="A17" s="54">
        <v>2893</v>
      </c>
      <c r="B17" s="54">
        <v>2009</v>
      </c>
      <c r="C17" s="91" t="s">
        <v>82</v>
      </c>
      <c r="D17" s="54" t="s">
        <v>7</v>
      </c>
      <c r="E17" s="54" t="s">
        <v>77</v>
      </c>
      <c r="F17" s="54" t="str">
        <f>_xlfn.CONCAT(Table13[[#This Row],[Geographic Scope]],": ",Table13[[#This Row],[Sub-Type/Focus]])</f>
        <v>Local: General</v>
      </c>
      <c r="G17" s="54" t="str">
        <f>_xlfn.CONCAT(Table13[[#This Row],[Geographic Scope]],": ",Table13[[#This Row],[Sub-Type/Focus]],": ",Table13[[#This Row],[Content Type]])</f>
        <v>Local: General: Current News &amp; Events</v>
      </c>
      <c r="H17" s="54" t="str">
        <f>_xlfn.CONCAT(Table13[[#This Row],[Geographic Scope]],": ",Table13[[#This Row],[Content Type]])</f>
        <v>Local: Current News &amp; Events</v>
      </c>
      <c r="I17" s="55">
        <f>Table13[[#This Row],[Total Contributed Income]]+Table13[[#This Row],[Total Earned Income]]</f>
        <v>2899734</v>
      </c>
      <c r="J17" s="55">
        <f>Table13[[#This Row],[Cont. Income - Foundation]]+Table13[[#This Row],[Cont. Income - Membership]]+Table13[[#This Row],[Cont. Income - Small Donors]]+Table13[[#This Row],[Cont. Income - Med. Donors]]+Table13[[#This Row],[Cont. Income - Major Donors]]+Table13[[#This Row],[Cont. Income - Other]]</f>
        <v>2520586</v>
      </c>
      <c r="K17" s="55">
        <f>Table13[[#This Row],[Earned Income - Advertising]]+Table13[[#This Row],[Earned Income - Sponsorships/Underwriting]]+Table13[[#This Row],[Earned Income - Events]]+Table13[[#This Row],[Earned Income - Subscriptions]]+Table13[[#This Row],[Earned Income - Syndication]]+Table13[[#This Row],[Earned Income - Other]]</f>
        <v>379148</v>
      </c>
      <c r="L17" s="56">
        <v>1566785</v>
      </c>
      <c r="M17" s="56">
        <v>622529</v>
      </c>
      <c r="N17" s="71">
        <f>SUM(Table13[[#This Row],[Cont. Income - Small Donors]:[Cont. Income - Major Donors]])</f>
        <v>331272</v>
      </c>
      <c r="O17" s="56">
        <v>0</v>
      </c>
      <c r="P17" s="56">
        <v>87000</v>
      </c>
      <c r="Q17" s="56">
        <v>244272</v>
      </c>
      <c r="R17" s="56">
        <v>0</v>
      </c>
      <c r="T17" s="56">
        <v>0</v>
      </c>
      <c r="U17" s="56">
        <v>365980</v>
      </c>
      <c r="V17" s="56">
        <v>13168</v>
      </c>
      <c r="W17" s="56">
        <v>0</v>
      </c>
      <c r="X17" s="56">
        <v>0</v>
      </c>
      <c r="Y17" s="56">
        <v>0</v>
      </c>
      <c r="AA17" s="55">
        <f>Table13[[#This Row],[Expenses - Editorial]]+Table13[[#This Row],[Expenses - Revenue Generation]]+Table13[[#This Row],[Expenses - Tech]]+Table13[[#This Row],[Expenses - Admin]]</f>
        <v>2439077</v>
      </c>
      <c r="AB17" s="56">
        <v>1705564</v>
      </c>
      <c r="AC17" s="71">
        <f>SUM(Table13[[#This Row],[Expenses - Revenue Generation]:[Expenses - Admin]])</f>
        <v>733513</v>
      </c>
      <c r="AD17" s="56">
        <v>354513</v>
      </c>
      <c r="AE17" s="56">
        <v>75000</v>
      </c>
      <c r="AF17" s="56">
        <v>304000</v>
      </c>
      <c r="AG17" s="59">
        <f>Table13[[#This Row],[Total FTE - Editorial]]+Table13[[#This Row],[Total FTE - Non-Editorial]]</f>
        <v>18</v>
      </c>
      <c r="AH17" s="59">
        <f>Table13[[#This Row],[FTE Salaried - Editorial]]+Table13[[#This Row],[FTE Contractors - Editorial]]</f>
        <v>13</v>
      </c>
      <c r="AI17" s="57">
        <v>13</v>
      </c>
      <c r="AJ17" s="57">
        <v>0</v>
      </c>
      <c r="AK17" s="60">
        <f>Table13[[#This Row],[FTE Salaried - Non-Editorial]]+Table13[[#This Row],[FTE Contractors - Non-Editorial]]</f>
        <v>5</v>
      </c>
      <c r="AL17" s="57">
        <v>5</v>
      </c>
      <c r="AM17" s="57">
        <v>0</v>
      </c>
      <c r="AN17" s="54" t="s">
        <v>351</v>
      </c>
      <c r="AQ17" s="57">
        <v>650000</v>
      </c>
      <c r="AR17" s="57">
        <v>40700</v>
      </c>
      <c r="AS17" s="57">
        <v>0</v>
      </c>
      <c r="AT17" s="57">
        <v>0</v>
      </c>
      <c r="AU17" s="57">
        <v>0</v>
      </c>
      <c r="AV17" s="57">
        <v>0</v>
      </c>
      <c r="AW17" s="57">
        <v>0</v>
      </c>
      <c r="AX17" s="57"/>
      <c r="AY17" s="57">
        <v>0</v>
      </c>
    </row>
    <row r="18" spans="1:51" x14ac:dyDescent="0.2">
      <c r="A18" s="54">
        <v>2901</v>
      </c>
      <c r="B18" s="54">
        <v>2020</v>
      </c>
      <c r="C18" s="91" t="s">
        <v>82</v>
      </c>
      <c r="D18" s="54" t="s">
        <v>7</v>
      </c>
      <c r="E18" s="54" t="s">
        <v>77</v>
      </c>
      <c r="F18" s="54" t="str">
        <f>_xlfn.CONCAT(Table13[[#This Row],[Geographic Scope]],": ",Table13[[#This Row],[Sub-Type/Focus]])</f>
        <v>Local: General</v>
      </c>
      <c r="G18" s="54" t="str">
        <f>_xlfn.CONCAT(Table13[[#This Row],[Geographic Scope]],": ",Table13[[#This Row],[Sub-Type/Focus]],": ",Table13[[#This Row],[Content Type]])</f>
        <v>Local: General: Current News &amp; Events</v>
      </c>
      <c r="H18" s="54" t="str">
        <f>_xlfn.CONCAT(Table13[[#This Row],[Geographic Scope]],": ",Table13[[#This Row],[Content Type]])</f>
        <v>Local: Current News &amp; Events</v>
      </c>
      <c r="I18" s="55">
        <f>Table13[[#This Row],[Total Contributed Income]]+Table13[[#This Row],[Total Earned Income]]</f>
        <v>0</v>
      </c>
      <c r="J18" s="55">
        <f>Table13[[#This Row],[Cont. Income - Foundation]]+Table13[[#This Row],[Cont. Income - Membership]]+Table13[[#This Row],[Cont. Income - Small Donors]]+Table13[[#This Row],[Cont. Income - Med. Donors]]+Table13[[#This Row],[Cont. Income - Major Donors]]+Table13[[#This Row],[Cont. Income - Other]]</f>
        <v>0</v>
      </c>
      <c r="K18" s="55">
        <f>Table13[[#This Row],[Earned Income - Advertising]]+Table13[[#This Row],[Earned Income - Sponsorships/Underwriting]]+Table13[[#This Row],[Earned Income - Events]]+Table13[[#This Row],[Earned Income - Subscriptions]]+Table13[[#This Row],[Earned Income - Syndication]]+Table13[[#This Row],[Earned Income - Other]]</f>
        <v>0</v>
      </c>
      <c r="L18" s="56"/>
      <c r="M18" s="56"/>
      <c r="N18" s="71">
        <f>SUM(Table13[[#This Row],[Cont. Income - Small Donors]:[Cont. Income - Major Donors]])</f>
        <v>0</v>
      </c>
      <c r="O18" s="56"/>
      <c r="P18" s="56"/>
      <c r="Q18" s="56"/>
      <c r="R18" s="56"/>
      <c r="T18" s="56"/>
      <c r="U18" s="56"/>
      <c r="V18" s="56"/>
      <c r="W18" s="56"/>
      <c r="X18" s="56"/>
      <c r="Y18" s="56"/>
      <c r="AA18" s="55">
        <f>Table13[[#This Row],[Expenses - Editorial]]+Table13[[#This Row],[Expenses - Revenue Generation]]+Table13[[#This Row],[Expenses - Tech]]+Table13[[#This Row],[Expenses - Admin]]</f>
        <v>0</v>
      </c>
      <c r="AB18" s="57"/>
      <c r="AC18" s="71">
        <f>SUM(Table13[[#This Row],[Expenses - Revenue Generation]:[Expenses - Admin]])</f>
        <v>0</v>
      </c>
      <c r="AD18" s="57"/>
      <c r="AE18" s="57"/>
      <c r="AF18" s="57"/>
      <c r="AG18" s="59">
        <f>Table13[[#This Row],[Total FTE - Editorial]]+Table13[[#This Row],[Total FTE - Non-Editorial]]</f>
        <v>4.5</v>
      </c>
      <c r="AH18" s="59">
        <f>Table13[[#This Row],[FTE Salaried - Editorial]]+Table13[[#This Row],[FTE Contractors - Editorial]]</f>
        <v>4.5</v>
      </c>
      <c r="AI18" s="57">
        <v>4.5</v>
      </c>
      <c r="AJ18" s="57">
        <v>0</v>
      </c>
      <c r="AK18" s="60">
        <f>Table13[[#This Row],[FTE Salaried - Non-Editorial]]+Table13[[#This Row],[FTE Contractors - Non-Editorial]]</f>
        <v>0</v>
      </c>
      <c r="AL18" s="57">
        <v>0</v>
      </c>
      <c r="AM18" s="57">
        <v>0</v>
      </c>
      <c r="AN18" s="54" t="s">
        <v>351</v>
      </c>
      <c r="AQ18" s="57">
        <v>50000</v>
      </c>
      <c r="AR18" s="57">
        <v>810</v>
      </c>
      <c r="AS18" s="57">
        <v>0</v>
      </c>
      <c r="AT18" s="57">
        <v>0</v>
      </c>
      <c r="AU18" s="57">
        <v>0</v>
      </c>
      <c r="AV18" s="57">
        <v>0</v>
      </c>
      <c r="AW18" s="57">
        <v>0</v>
      </c>
      <c r="AX18" s="57"/>
      <c r="AY18" s="57">
        <v>0</v>
      </c>
    </row>
    <row r="19" spans="1:51" x14ac:dyDescent="0.2">
      <c r="A19" s="54">
        <v>2935</v>
      </c>
      <c r="B19" s="54">
        <v>2013</v>
      </c>
      <c r="C19" s="91" t="s">
        <v>82</v>
      </c>
      <c r="D19" s="54" t="s">
        <v>7</v>
      </c>
      <c r="E19" s="54" t="s">
        <v>77</v>
      </c>
      <c r="F19" s="54" t="str">
        <f>_xlfn.CONCAT(Table13[[#This Row],[Geographic Scope]],": ",Table13[[#This Row],[Sub-Type/Focus]])</f>
        <v>Local: General</v>
      </c>
      <c r="G19" s="54" t="str">
        <f>_xlfn.CONCAT(Table13[[#This Row],[Geographic Scope]],": ",Table13[[#This Row],[Sub-Type/Focus]],": ",Table13[[#This Row],[Content Type]])</f>
        <v>Local: General: Current News &amp; Events</v>
      </c>
      <c r="H19" s="54" t="str">
        <f>_xlfn.CONCAT(Table13[[#This Row],[Geographic Scope]],": ",Table13[[#This Row],[Content Type]])</f>
        <v>Local: Current News &amp; Events</v>
      </c>
      <c r="I19" s="55">
        <f>Table13[[#This Row],[Total Contributed Income]]+Table13[[#This Row],[Total Earned Income]]</f>
        <v>243423</v>
      </c>
      <c r="J19" s="55">
        <f>Table13[[#This Row],[Cont. Income - Foundation]]+Table13[[#This Row],[Cont. Income - Membership]]+Table13[[#This Row],[Cont. Income - Small Donors]]+Table13[[#This Row],[Cont. Income - Med. Donors]]+Table13[[#This Row],[Cont. Income - Major Donors]]+Table13[[#This Row],[Cont. Income - Other]]</f>
        <v>109268</v>
      </c>
      <c r="K19" s="55">
        <f>Table13[[#This Row],[Earned Income - Advertising]]+Table13[[#This Row],[Earned Income - Sponsorships/Underwriting]]+Table13[[#This Row],[Earned Income - Events]]+Table13[[#This Row],[Earned Income - Subscriptions]]+Table13[[#This Row],[Earned Income - Syndication]]+Table13[[#This Row],[Earned Income - Other]]</f>
        <v>134155</v>
      </c>
      <c r="L19" s="56">
        <v>82900</v>
      </c>
      <c r="M19" s="56">
        <v>0</v>
      </c>
      <c r="N19" s="71">
        <f>SUM(Table13[[#This Row],[Cont. Income - Small Donors]:[Cont. Income - Major Donors]])</f>
        <v>26368</v>
      </c>
      <c r="O19" s="56">
        <v>22368</v>
      </c>
      <c r="P19" s="56">
        <v>4000</v>
      </c>
      <c r="Q19" s="56">
        <v>0</v>
      </c>
      <c r="R19" s="56">
        <v>0</v>
      </c>
      <c r="T19" s="56">
        <v>54723</v>
      </c>
      <c r="U19" s="56">
        <v>0</v>
      </c>
      <c r="V19" s="56">
        <v>0</v>
      </c>
      <c r="W19" s="56">
        <v>14682</v>
      </c>
      <c r="X19" s="56">
        <v>0</v>
      </c>
      <c r="Y19" s="56">
        <v>64750</v>
      </c>
      <c r="Z19" s="54" t="s">
        <v>375</v>
      </c>
      <c r="AA19" s="55">
        <f>Table13[[#This Row],[Expenses - Editorial]]+Table13[[#This Row],[Expenses - Revenue Generation]]+Table13[[#This Row],[Expenses - Tech]]+Table13[[#This Row],[Expenses - Admin]]</f>
        <v>196929</v>
      </c>
      <c r="AB19" s="56">
        <v>87421</v>
      </c>
      <c r="AC19" s="71">
        <f>SUM(Table13[[#This Row],[Expenses - Revenue Generation]:[Expenses - Admin]])</f>
        <v>109508</v>
      </c>
      <c r="AD19" s="56">
        <v>45000</v>
      </c>
      <c r="AE19" s="56">
        <v>7661</v>
      </c>
      <c r="AF19" s="56">
        <v>56847</v>
      </c>
      <c r="AG19" s="59">
        <f>Table13[[#This Row],[Total FTE - Editorial]]+Table13[[#This Row],[Total FTE - Non-Editorial]]</f>
        <v>3.75</v>
      </c>
      <c r="AH19" s="59">
        <f>Table13[[#This Row],[FTE Salaried - Editorial]]+Table13[[#This Row],[FTE Contractors - Editorial]]</f>
        <v>2.25</v>
      </c>
      <c r="AI19" s="57">
        <v>1.5</v>
      </c>
      <c r="AJ19" s="57">
        <v>0.75</v>
      </c>
      <c r="AK19" s="60">
        <f>Table13[[#This Row],[FTE Salaried - Non-Editorial]]+Table13[[#This Row],[FTE Contractors - Non-Editorial]]</f>
        <v>1.5</v>
      </c>
      <c r="AL19" s="57">
        <v>1.5</v>
      </c>
      <c r="AM19" s="57">
        <v>0</v>
      </c>
      <c r="AN19" s="54" t="s">
        <v>347</v>
      </c>
      <c r="AO19" s="54" t="s">
        <v>351</v>
      </c>
      <c r="AQ19" s="57">
        <v>30765</v>
      </c>
      <c r="AR19" s="57">
        <v>5037</v>
      </c>
      <c r="AS19" s="57">
        <v>10000</v>
      </c>
      <c r="AT19" s="57">
        <v>24</v>
      </c>
      <c r="AU19" s="57">
        <v>0</v>
      </c>
      <c r="AV19" s="57">
        <v>0</v>
      </c>
      <c r="AW19" s="57">
        <v>0</v>
      </c>
      <c r="AX19" s="57"/>
      <c r="AY19" s="57">
        <v>0</v>
      </c>
    </row>
    <row r="20" spans="1:51" x14ac:dyDescent="0.2">
      <c r="A20" s="54">
        <v>2939</v>
      </c>
      <c r="B20" s="54">
        <v>2018</v>
      </c>
      <c r="C20" s="91" t="s">
        <v>82</v>
      </c>
      <c r="D20" s="54" t="s">
        <v>7</v>
      </c>
      <c r="E20" s="54" t="s">
        <v>77</v>
      </c>
      <c r="F20" s="54" t="str">
        <f>_xlfn.CONCAT(Table13[[#This Row],[Geographic Scope]],": ",Table13[[#This Row],[Sub-Type/Focus]])</f>
        <v>Local: General</v>
      </c>
      <c r="G20" s="54" t="str">
        <f>_xlfn.CONCAT(Table13[[#This Row],[Geographic Scope]],": ",Table13[[#This Row],[Sub-Type/Focus]],": ",Table13[[#This Row],[Content Type]])</f>
        <v>Local: General: Current News &amp; Events</v>
      </c>
      <c r="H20" s="54" t="str">
        <f>_xlfn.CONCAT(Table13[[#This Row],[Geographic Scope]],": ",Table13[[#This Row],[Content Type]])</f>
        <v>Local: Current News &amp; Events</v>
      </c>
      <c r="I20" s="55">
        <f>Table13[[#This Row],[Total Contributed Income]]+Table13[[#This Row],[Total Earned Income]]</f>
        <v>176250</v>
      </c>
      <c r="J20" s="55">
        <f>Table13[[#This Row],[Cont. Income - Foundation]]+Table13[[#This Row],[Cont. Income - Membership]]+Table13[[#This Row],[Cont. Income - Small Donors]]+Table13[[#This Row],[Cont. Income - Med. Donors]]+Table13[[#This Row],[Cont. Income - Major Donors]]+Table13[[#This Row],[Cont. Income - Other]]</f>
        <v>158500</v>
      </c>
      <c r="K20" s="55">
        <f>Table13[[#This Row],[Earned Income - Advertising]]+Table13[[#This Row],[Earned Income - Sponsorships/Underwriting]]+Table13[[#This Row],[Earned Income - Events]]+Table13[[#This Row],[Earned Income - Subscriptions]]+Table13[[#This Row],[Earned Income - Syndication]]+Table13[[#This Row],[Earned Income - Other]]</f>
        <v>17750</v>
      </c>
      <c r="L20" s="56">
        <v>63500</v>
      </c>
      <c r="M20" s="56">
        <v>45000</v>
      </c>
      <c r="N20" s="71">
        <f>SUM(Table13[[#This Row],[Cont. Income - Small Donors]:[Cont. Income - Major Donors]])</f>
        <v>50000</v>
      </c>
      <c r="O20" s="56">
        <v>15500</v>
      </c>
      <c r="P20" s="56">
        <v>4500</v>
      </c>
      <c r="Q20" s="56">
        <v>30000</v>
      </c>
      <c r="R20" s="56">
        <v>0</v>
      </c>
      <c r="T20" s="56">
        <v>9250</v>
      </c>
      <c r="U20" s="56">
        <v>8500</v>
      </c>
      <c r="V20" s="56">
        <v>0</v>
      </c>
      <c r="W20" s="56">
        <v>0</v>
      </c>
      <c r="X20" s="56">
        <v>0</v>
      </c>
      <c r="Y20" s="56">
        <v>0</v>
      </c>
      <c r="AA20" s="55">
        <f>Table13[[#This Row],[Expenses - Editorial]]+Table13[[#This Row],[Expenses - Revenue Generation]]+Table13[[#This Row],[Expenses - Tech]]+Table13[[#This Row],[Expenses - Admin]]</f>
        <v>108000</v>
      </c>
      <c r="AB20" s="56">
        <v>70000</v>
      </c>
      <c r="AC20" s="71">
        <f>SUM(Table13[[#This Row],[Expenses - Revenue Generation]:[Expenses - Admin]])</f>
        <v>38000</v>
      </c>
      <c r="AD20" s="56">
        <v>3000</v>
      </c>
      <c r="AE20" s="56">
        <v>25000</v>
      </c>
      <c r="AF20" s="56">
        <v>10000</v>
      </c>
      <c r="AG20" s="59">
        <f>Table13[[#This Row],[Total FTE - Editorial]]+Table13[[#This Row],[Total FTE - Non-Editorial]]</f>
        <v>4</v>
      </c>
      <c r="AH20" s="59">
        <f>Table13[[#This Row],[FTE Salaried - Editorial]]+Table13[[#This Row],[FTE Contractors - Editorial]]</f>
        <v>2.5</v>
      </c>
      <c r="AI20" s="57">
        <v>1</v>
      </c>
      <c r="AJ20" s="57">
        <v>1.5</v>
      </c>
      <c r="AK20" s="60">
        <f>Table13[[#This Row],[FTE Salaried - Non-Editorial]]+Table13[[#This Row],[FTE Contractors - Non-Editorial]]</f>
        <v>1.5</v>
      </c>
      <c r="AL20" s="57">
        <v>0</v>
      </c>
      <c r="AM20" s="57">
        <v>1.5</v>
      </c>
      <c r="AN20" s="54" t="s">
        <v>351</v>
      </c>
      <c r="AQ20" s="57">
        <v>20000</v>
      </c>
      <c r="AR20" s="57">
        <v>3200</v>
      </c>
      <c r="AS20" s="57">
        <v>0</v>
      </c>
      <c r="AT20" s="57">
        <v>0</v>
      </c>
      <c r="AU20" s="57">
        <v>0</v>
      </c>
      <c r="AV20" s="57">
        <v>0</v>
      </c>
      <c r="AW20" s="57">
        <v>0</v>
      </c>
      <c r="AX20" s="57"/>
      <c r="AY20" s="57">
        <v>0</v>
      </c>
    </row>
    <row r="21" spans="1:51" x14ac:dyDescent="0.2">
      <c r="A21" s="54">
        <v>2941</v>
      </c>
      <c r="B21" s="54">
        <v>2015</v>
      </c>
      <c r="C21" s="91" t="s">
        <v>82</v>
      </c>
      <c r="D21" s="54" t="s">
        <v>7</v>
      </c>
      <c r="E21" s="54" t="s">
        <v>77</v>
      </c>
      <c r="F21" s="54" t="str">
        <f>_xlfn.CONCAT(Table13[[#This Row],[Geographic Scope]],": ",Table13[[#This Row],[Sub-Type/Focus]])</f>
        <v>Local: General</v>
      </c>
      <c r="G21" s="54" t="str">
        <f>_xlfn.CONCAT(Table13[[#This Row],[Geographic Scope]],": ",Table13[[#This Row],[Sub-Type/Focus]],": ",Table13[[#This Row],[Content Type]])</f>
        <v>Local: General: Current News &amp; Events</v>
      </c>
      <c r="H21" s="54" t="str">
        <f>_xlfn.CONCAT(Table13[[#This Row],[Geographic Scope]],": ",Table13[[#This Row],[Content Type]])</f>
        <v>Local: Current News &amp; Events</v>
      </c>
      <c r="I21" s="55">
        <f>Table13[[#This Row],[Total Contributed Income]]+Table13[[#This Row],[Total Earned Income]]</f>
        <v>353203</v>
      </c>
      <c r="J21" s="55">
        <f>Table13[[#This Row],[Cont. Income - Foundation]]+Table13[[#This Row],[Cont. Income - Membership]]+Table13[[#This Row],[Cont. Income - Small Donors]]+Table13[[#This Row],[Cont. Income - Med. Donors]]+Table13[[#This Row],[Cont. Income - Major Donors]]+Table13[[#This Row],[Cont. Income - Other]]</f>
        <v>301587</v>
      </c>
      <c r="K21" s="55">
        <f>Table13[[#This Row],[Earned Income - Advertising]]+Table13[[#This Row],[Earned Income - Sponsorships/Underwriting]]+Table13[[#This Row],[Earned Income - Events]]+Table13[[#This Row],[Earned Income - Subscriptions]]+Table13[[#This Row],[Earned Income - Syndication]]+Table13[[#This Row],[Earned Income - Other]]</f>
        <v>51616</v>
      </c>
      <c r="L21" s="56">
        <v>191150</v>
      </c>
      <c r="M21" s="56">
        <v>32743</v>
      </c>
      <c r="N21" s="71">
        <f>SUM(Table13[[#This Row],[Cont. Income - Small Donors]:[Cont. Income - Major Donors]])</f>
        <v>24442</v>
      </c>
      <c r="O21" s="56">
        <v>22442</v>
      </c>
      <c r="P21" s="56">
        <v>2000</v>
      </c>
      <c r="Q21" s="56">
        <v>0</v>
      </c>
      <c r="R21" s="56">
        <v>53252</v>
      </c>
      <c r="S21" s="55" t="s">
        <v>376</v>
      </c>
      <c r="T21" s="56">
        <v>51616</v>
      </c>
      <c r="U21" s="56">
        <v>0</v>
      </c>
      <c r="V21" s="56">
        <v>0</v>
      </c>
      <c r="W21" s="56">
        <v>0</v>
      </c>
      <c r="X21" s="56">
        <v>0</v>
      </c>
      <c r="Y21" s="56">
        <v>0</v>
      </c>
      <c r="AA21" s="55">
        <f>Table13[[#This Row],[Expenses - Editorial]]+Table13[[#This Row],[Expenses - Revenue Generation]]+Table13[[#This Row],[Expenses - Tech]]+Table13[[#This Row],[Expenses - Admin]]</f>
        <v>347563</v>
      </c>
      <c r="AB21" s="56">
        <v>170376</v>
      </c>
      <c r="AC21" s="71">
        <f>SUM(Table13[[#This Row],[Expenses - Revenue Generation]:[Expenses - Admin]])</f>
        <v>177187</v>
      </c>
      <c r="AD21" s="56">
        <v>119563</v>
      </c>
      <c r="AE21" s="56">
        <v>22000</v>
      </c>
      <c r="AF21" s="56">
        <v>35624</v>
      </c>
      <c r="AG21" s="59">
        <f>Table13[[#This Row],[Total FTE - Editorial]]+Table13[[#This Row],[Total FTE - Non-Editorial]]</f>
        <v>9</v>
      </c>
      <c r="AH21" s="59">
        <f>Table13[[#This Row],[FTE Salaried - Editorial]]+Table13[[#This Row],[FTE Contractors - Editorial]]</f>
        <v>5</v>
      </c>
      <c r="AI21" s="57">
        <v>5</v>
      </c>
      <c r="AJ21" s="57">
        <v>0</v>
      </c>
      <c r="AK21" s="60">
        <f>Table13[[#This Row],[FTE Salaried - Non-Editorial]]+Table13[[#This Row],[FTE Contractors - Non-Editorial]]</f>
        <v>4</v>
      </c>
      <c r="AL21" s="57">
        <v>4</v>
      </c>
      <c r="AM21" s="57">
        <v>0</v>
      </c>
      <c r="AN21" s="54" t="s">
        <v>347</v>
      </c>
      <c r="AO21" s="54" t="s">
        <v>351</v>
      </c>
      <c r="AQ21" s="57">
        <v>32000</v>
      </c>
      <c r="AR21" s="57">
        <v>4723</v>
      </c>
      <c r="AS21" s="57">
        <v>15000</v>
      </c>
      <c r="AT21" s="57">
        <v>12</v>
      </c>
      <c r="AU21" s="57">
        <v>0</v>
      </c>
      <c r="AV21" s="57">
        <v>0</v>
      </c>
      <c r="AW21" s="57">
        <v>0</v>
      </c>
      <c r="AX21" s="57"/>
      <c r="AY21" s="57">
        <v>0</v>
      </c>
    </row>
    <row r="22" spans="1:51" x14ac:dyDescent="0.2">
      <c r="A22" s="54">
        <v>3065</v>
      </c>
      <c r="B22" s="54">
        <v>2020</v>
      </c>
      <c r="C22" s="91" t="s">
        <v>82</v>
      </c>
      <c r="D22" s="54" t="s">
        <v>7</v>
      </c>
      <c r="E22" s="54" t="s">
        <v>77</v>
      </c>
      <c r="F22" s="54" t="str">
        <f>_xlfn.CONCAT(Table13[[#This Row],[Geographic Scope]],": ",Table13[[#This Row],[Sub-Type/Focus]])</f>
        <v>Local: General</v>
      </c>
      <c r="G22" s="54" t="str">
        <f>_xlfn.CONCAT(Table13[[#This Row],[Geographic Scope]],": ",Table13[[#This Row],[Sub-Type/Focus]],": ",Table13[[#This Row],[Content Type]])</f>
        <v>Local: General: Current News &amp; Events</v>
      </c>
      <c r="H22" s="54" t="str">
        <f>_xlfn.CONCAT(Table13[[#This Row],[Geographic Scope]],": ",Table13[[#This Row],[Content Type]])</f>
        <v>Local: Current News &amp; Events</v>
      </c>
      <c r="I22" s="55">
        <f>Table13[[#This Row],[Total Contributed Income]]+Table13[[#This Row],[Total Earned Income]]</f>
        <v>0</v>
      </c>
      <c r="J22" s="55">
        <f>Table13[[#This Row],[Cont. Income - Foundation]]+Table13[[#This Row],[Cont. Income - Membership]]+Table13[[#This Row],[Cont. Income - Small Donors]]+Table13[[#This Row],[Cont. Income - Med. Donors]]+Table13[[#This Row],[Cont. Income - Major Donors]]+Table13[[#This Row],[Cont. Income - Other]]</f>
        <v>0</v>
      </c>
      <c r="K22" s="55">
        <f>Table13[[#This Row],[Earned Income - Advertising]]+Table13[[#This Row],[Earned Income - Sponsorships/Underwriting]]+Table13[[#This Row],[Earned Income - Events]]+Table13[[#This Row],[Earned Income - Subscriptions]]+Table13[[#This Row],[Earned Income - Syndication]]+Table13[[#This Row],[Earned Income - Other]]</f>
        <v>0</v>
      </c>
      <c r="L22" s="56"/>
      <c r="M22" s="56"/>
      <c r="N22" s="71">
        <f>SUM(Table13[[#This Row],[Cont. Income - Small Donors]:[Cont. Income - Major Donors]])</f>
        <v>0</v>
      </c>
      <c r="O22" s="56"/>
      <c r="P22" s="56"/>
      <c r="Q22" s="56"/>
      <c r="R22" s="56"/>
      <c r="T22" s="56"/>
      <c r="U22" s="56"/>
      <c r="V22" s="56"/>
      <c r="W22" s="56"/>
      <c r="X22" s="56"/>
      <c r="Y22" s="56"/>
      <c r="AA22" s="55">
        <f>Table13[[#This Row],[Expenses - Editorial]]+Table13[[#This Row],[Expenses - Revenue Generation]]+Table13[[#This Row],[Expenses - Tech]]+Table13[[#This Row],[Expenses - Admin]]</f>
        <v>0</v>
      </c>
      <c r="AB22" s="57"/>
      <c r="AC22" s="71">
        <f>SUM(Table13[[#This Row],[Expenses - Revenue Generation]:[Expenses - Admin]])</f>
        <v>0</v>
      </c>
      <c r="AD22" s="57"/>
      <c r="AE22" s="57"/>
      <c r="AF22" s="57"/>
      <c r="AG22" s="59">
        <f>Table13[[#This Row],[Total FTE - Editorial]]+Table13[[#This Row],[Total FTE - Non-Editorial]]</f>
        <v>2</v>
      </c>
      <c r="AH22" s="59">
        <f>Table13[[#This Row],[FTE Salaried - Editorial]]+Table13[[#This Row],[FTE Contractors - Editorial]]</f>
        <v>1</v>
      </c>
      <c r="AI22" s="57">
        <v>0</v>
      </c>
      <c r="AJ22" s="57">
        <v>1</v>
      </c>
      <c r="AK22" s="60">
        <f>Table13[[#This Row],[FTE Salaried - Non-Editorial]]+Table13[[#This Row],[FTE Contractors - Non-Editorial]]</f>
        <v>1</v>
      </c>
      <c r="AL22" s="57">
        <v>0</v>
      </c>
      <c r="AM22" s="57">
        <v>1</v>
      </c>
      <c r="AN22" s="54" t="s">
        <v>347</v>
      </c>
      <c r="AO22" s="54" t="s">
        <v>348</v>
      </c>
      <c r="AP22" s="54" t="s">
        <v>377</v>
      </c>
      <c r="AQ22" s="57">
        <v>1000</v>
      </c>
      <c r="AR22" s="57">
        <v>1339</v>
      </c>
      <c r="AS22" s="57">
        <v>3000</v>
      </c>
      <c r="AT22" s="57">
        <v>1</v>
      </c>
      <c r="AU22" s="57">
        <v>0</v>
      </c>
      <c r="AV22" s="57">
        <v>0</v>
      </c>
      <c r="AW22" s="57">
        <v>0</v>
      </c>
      <c r="AX22" s="57">
        <v>0</v>
      </c>
      <c r="AY22" s="57">
        <v>0</v>
      </c>
    </row>
    <row r="23" spans="1:51" x14ac:dyDescent="0.2">
      <c r="A23" s="54">
        <v>6802</v>
      </c>
      <c r="B23" s="54">
        <v>1994</v>
      </c>
      <c r="C23" s="91" t="s">
        <v>82</v>
      </c>
      <c r="D23" s="54" t="s">
        <v>7</v>
      </c>
      <c r="E23" s="54" t="s">
        <v>77</v>
      </c>
      <c r="F23" s="54" t="str">
        <f>_xlfn.CONCAT(Table13[[#This Row],[Geographic Scope]],": ",Table13[[#This Row],[Sub-Type/Focus]])</f>
        <v>Local: General</v>
      </c>
      <c r="G23" s="54" t="str">
        <f>_xlfn.CONCAT(Table13[[#This Row],[Geographic Scope]],": ",Table13[[#This Row],[Sub-Type/Focus]],": ",Table13[[#This Row],[Content Type]])</f>
        <v>Local: General: Current News &amp; Events</v>
      </c>
      <c r="H23" s="54" t="str">
        <f>_xlfn.CONCAT(Table13[[#This Row],[Geographic Scope]],": ",Table13[[#This Row],[Content Type]])</f>
        <v>Local: Current News &amp; Events</v>
      </c>
      <c r="I23" s="55">
        <f>Table13[[#This Row],[Total Contributed Income]]+Table13[[#This Row],[Total Earned Income]]</f>
        <v>56190</v>
      </c>
      <c r="J23" s="55">
        <f>Table13[[#This Row],[Cont. Income - Foundation]]+Table13[[#This Row],[Cont. Income - Membership]]+Table13[[#This Row],[Cont. Income - Small Donors]]+Table13[[#This Row],[Cont. Income - Med. Donors]]+Table13[[#This Row],[Cont. Income - Major Donors]]+Table13[[#This Row],[Cont. Income - Other]]</f>
        <v>36445</v>
      </c>
      <c r="K23" s="55">
        <f>Table13[[#This Row],[Earned Income - Advertising]]+Table13[[#This Row],[Earned Income - Sponsorships/Underwriting]]+Table13[[#This Row],[Earned Income - Events]]+Table13[[#This Row],[Earned Income - Subscriptions]]+Table13[[#This Row],[Earned Income - Syndication]]+Table13[[#This Row],[Earned Income - Other]]</f>
        <v>19745</v>
      </c>
      <c r="L23" s="56">
        <v>1800</v>
      </c>
      <c r="M23" s="56">
        <v>0</v>
      </c>
      <c r="N23" s="71">
        <f>SUM(Table13[[#This Row],[Cont. Income - Small Donors]:[Cont. Income - Major Donors]])</f>
        <v>34600</v>
      </c>
      <c r="O23" s="56">
        <v>25600</v>
      </c>
      <c r="P23" s="56">
        <v>9000</v>
      </c>
      <c r="Q23" s="56">
        <v>0</v>
      </c>
      <c r="R23" s="56">
        <v>45</v>
      </c>
      <c r="S23" s="55" t="s">
        <v>378</v>
      </c>
      <c r="T23" s="56">
        <v>17300</v>
      </c>
      <c r="U23" s="56">
        <v>0</v>
      </c>
      <c r="V23" s="56">
        <v>45</v>
      </c>
      <c r="W23" s="56">
        <v>950</v>
      </c>
      <c r="X23" s="56">
        <v>0</v>
      </c>
      <c r="Y23" s="56">
        <v>1450</v>
      </c>
      <c r="Z23" s="54" t="s">
        <v>379</v>
      </c>
      <c r="AA23" s="55">
        <f>Table13[[#This Row],[Expenses - Editorial]]+Table13[[#This Row],[Expenses - Revenue Generation]]+Table13[[#This Row],[Expenses - Tech]]+Table13[[#This Row],[Expenses - Admin]]</f>
        <v>51075</v>
      </c>
      <c r="AB23" s="56">
        <v>37095</v>
      </c>
      <c r="AC23" s="71">
        <f>SUM(Table13[[#This Row],[Expenses - Revenue Generation]:[Expenses - Admin]])</f>
        <v>13980</v>
      </c>
      <c r="AD23" s="56">
        <v>11200</v>
      </c>
      <c r="AE23" s="56">
        <v>380</v>
      </c>
      <c r="AF23" s="56">
        <v>2400</v>
      </c>
      <c r="AG23" s="59">
        <f>Table13[[#This Row],[Total FTE - Editorial]]+Table13[[#This Row],[Total FTE - Non-Editorial]]</f>
        <v>3</v>
      </c>
      <c r="AH23" s="59">
        <f>Table13[[#This Row],[FTE Salaried - Editorial]]+Table13[[#This Row],[FTE Contractors - Editorial]]</f>
        <v>1</v>
      </c>
      <c r="AI23" s="57">
        <v>0</v>
      </c>
      <c r="AJ23" s="57">
        <v>1</v>
      </c>
      <c r="AK23" s="60">
        <f>Table13[[#This Row],[FTE Salaried - Non-Editorial]]+Table13[[#This Row],[FTE Contractors - Non-Editorial]]</f>
        <v>2</v>
      </c>
      <c r="AL23" s="57">
        <v>0</v>
      </c>
      <c r="AM23" s="57">
        <v>2</v>
      </c>
      <c r="AN23" s="54" t="s">
        <v>347</v>
      </c>
      <c r="AO23" s="54" t="s">
        <v>351</v>
      </c>
      <c r="AQ23" s="57">
        <v>1387</v>
      </c>
      <c r="AR23" s="57">
        <v>0</v>
      </c>
      <c r="AS23" s="57">
        <v>13100</v>
      </c>
      <c r="AT23" s="57">
        <v>4</v>
      </c>
      <c r="AU23" s="57">
        <v>0</v>
      </c>
      <c r="AV23" s="57">
        <v>0</v>
      </c>
      <c r="AW23" s="57">
        <v>0</v>
      </c>
      <c r="AX23" s="57"/>
      <c r="AY23" s="57">
        <v>0</v>
      </c>
    </row>
    <row r="24" spans="1:51" x14ac:dyDescent="0.2">
      <c r="A24" s="54">
        <v>6807</v>
      </c>
      <c r="B24" s="54">
        <v>1993</v>
      </c>
      <c r="C24" s="91" t="s">
        <v>82</v>
      </c>
      <c r="D24" s="54" t="s">
        <v>7</v>
      </c>
      <c r="E24" s="54" t="s">
        <v>77</v>
      </c>
      <c r="F24" s="54" t="str">
        <f>_xlfn.CONCAT(Table13[[#This Row],[Geographic Scope]],": ",Table13[[#This Row],[Sub-Type/Focus]])</f>
        <v>Local: General</v>
      </c>
      <c r="G24" s="54" t="str">
        <f>_xlfn.CONCAT(Table13[[#This Row],[Geographic Scope]],": ",Table13[[#This Row],[Sub-Type/Focus]],": ",Table13[[#This Row],[Content Type]])</f>
        <v>Local: General: Current News &amp; Events</v>
      </c>
      <c r="H24" s="54" t="str">
        <f>_xlfn.CONCAT(Table13[[#This Row],[Geographic Scope]],": ",Table13[[#This Row],[Content Type]])</f>
        <v>Local: Current News &amp; Events</v>
      </c>
      <c r="I24" s="55">
        <f>Table13[[#This Row],[Total Contributed Income]]+Table13[[#This Row],[Total Earned Income]]</f>
        <v>0</v>
      </c>
      <c r="J24" s="55">
        <f>Table13[[#This Row],[Cont. Income - Foundation]]+Table13[[#This Row],[Cont. Income - Membership]]+Table13[[#This Row],[Cont. Income - Small Donors]]+Table13[[#This Row],[Cont. Income - Med. Donors]]+Table13[[#This Row],[Cont. Income - Major Donors]]+Table13[[#This Row],[Cont. Income - Other]]</f>
        <v>0</v>
      </c>
      <c r="K24" s="55">
        <f>Table13[[#This Row],[Earned Income - Advertising]]+Table13[[#This Row],[Earned Income - Sponsorships/Underwriting]]+Table13[[#This Row],[Earned Income - Events]]+Table13[[#This Row],[Earned Income - Subscriptions]]+Table13[[#This Row],[Earned Income - Syndication]]+Table13[[#This Row],[Earned Income - Other]]</f>
        <v>0</v>
      </c>
      <c r="L24" s="56"/>
      <c r="M24" s="56"/>
      <c r="N24" s="71">
        <f>SUM(Table13[[#This Row],[Cont. Income - Small Donors]:[Cont. Income - Major Donors]])</f>
        <v>0</v>
      </c>
      <c r="O24" s="56"/>
      <c r="P24" s="56"/>
      <c r="Q24" s="56"/>
      <c r="R24" s="56"/>
      <c r="T24" s="56"/>
      <c r="U24" s="56"/>
      <c r="V24" s="56"/>
      <c r="W24" s="56"/>
      <c r="X24" s="56"/>
      <c r="Y24" s="56"/>
      <c r="AA24" s="55">
        <f>Table13[[#This Row],[Expenses - Editorial]]+Table13[[#This Row],[Expenses - Revenue Generation]]+Table13[[#This Row],[Expenses - Tech]]+Table13[[#This Row],[Expenses - Admin]]</f>
        <v>7267097.5700000003</v>
      </c>
      <c r="AB24" s="56">
        <v>3554818.46</v>
      </c>
      <c r="AC24" s="71">
        <f>SUM(Table13[[#This Row],[Expenses - Revenue Generation]:[Expenses - Admin]])</f>
        <v>3712279.1100000003</v>
      </c>
      <c r="AD24" s="56">
        <v>1942741.87</v>
      </c>
      <c r="AE24" s="56">
        <v>400196.18</v>
      </c>
      <c r="AF24" s="56">
        <v>1369341.06</v>
      </c>
      <c r="AG24" s="59">
        <f>Table13[[#This Row],[Total FTE - Editorial]]+Table13[[#This Row],[Total FTE - Non-Editorial]]</f>
        <v>52.2</v>
      </c>
      <c r="AH24" s="59">
        <f>Table13[[#This Row],[FTE Salaried - Editorial]]+Table13[[#This Row],[FTE Contractors - Editorial]]</f>
        <v>32.9</v>
      </c>
      <c r="AI24" s="57">
        <v>32.9</v>
      </c>
      <c r="AJ24" s="57">
        <v>0</v>
      </c>
      <c r="AK24" s="60">
        <f>Table13[[#This Row],[FTE Salaried - Non-Editorial]]+Table13[[#This Row],[FTE Contractors - Non-Editorial]]</f>
        <v>19.3</v>
      </c>
      <c r="AL24" s="57">
        <v>13</v>
      </c>
      <c r="AM24" s="57">
        <v>6.3</v>
      </c>
      <c r="AN24" s="54" t="s">
        <v>352</v>
      </c>
      <c r="AO24" s="54" t="s">
        <v>380</v>
      </c>
      <c r="AQ24" s="57">
        <v>368491</v>
      </c>
      <c r="AR24" s="57">
        <v>37159</v>
      </c>
      <c r="AS24" s="57">
        <v>0</v>
      </c>
      <c r="AT24" s="57">
        <v>0</v>
      </c>
      <c r="AU24" s="57">
        <v>161433</v>
      </c>
      <c r="AV24" s="57" t="s">
        <v>381</v>
      </c>
      <c r="AW24" s="57">
        <v>0</v>
      </c>
      <c r="AX24" s="57"/>
      <c r="AY24" s="57">
        <v>64842</v>
      </c>
    </row>
    <row r="25" spans="1:51" x14ac:dyDescent="0.2">
      <c r="A25" s="54">
        <v>6809</v>
      </c>
      <c r="B25" s="54">
        <v>2018</v>
      </c>
      <c r="C25" s="91" t="s">
        <v>82</v>
      </c>
      <c r="D25" s="54" t="s">
        <v>7</v>
      </c>
      <c r="E25" s="54" t="s">
        <v>77</v>
      </c>
      <c r="F25" s="54" t="str">
        <f>_xlfn.CONCAT(Table13[[#This Row],[Geographic Scope]],": ",Table13[[#This Row],[Sub-Type/Focus]])</f>
        <v>Local: General</v>
      </c>
      <c r="G25" s="54" t="str">
        <f>_xlfn.CONCAT(Table13[[#This Row],[Geographic Scope]],": ",Table13[[#This Row],[Sub-Type/Focus]],": ",Table13[[#This Row],[Content Type]])</f>
        <v>Local: General: Current News &amp; Events</v>
      </c>
      <c r="H25" s="54" t="str">
        <f>_xlfn.CONCAT(Table13[[#This Row],[Geographic Scope]],": ",Table13[[#This Row],[Content Type]])</f>
        <v>Local: Current News &amp; Events</v>
      </c>
      <c r="I25" s="55">
        <f>Table13[[#This Row],[Total Contributed Income]]+Table13[[#This Row],[Total Earned Income]]</f>
        <v>242361</v>
      </c>
      <c r="J25" s="55">
        <f>Table13[[#This Row],[Cont. Income - Foundation]]+Table13[[#This Row],[Cont. Income - Membership]]+Table13[[#This Row],[Cont. Income - Small Donors]]+Table13[[#This Row],[Cont. Income - Med. Donors]]+Table13[[#This Row],[Cont. Income - Major Donors]]+Table13[[#This Row],[Cont. Income - Other]]</f>
        <v>242361</v>
      </c>
      <c r="K25" s="55">
        <f>Table13[[#This Row],[Earned Income - Advertising]]+Table13[[#This Row],[Earned Income - Sponsorships/Underwriting]]+Table13[[#This Row],[Earned Income - Events]]+Table13[[#This Row],[Earned Income - Subscriptions]]+Table13[[#This Row],[Earned Income - Syndication]]+Table13[[#This Row],[Earned Income - Other]]</f>
        <v>0</v>
      </c>
      <c r="L25" s="56">
        <v>221000</v>
      </c>
      <c r="M25" s="56">
        <v>0</v>
      </c>
      <c r="N25" s="71">
        <f>SUM(Table13[[#This Row],[Cont. Income - Small Donors]:[Cont. Income - Major Donors]])</f>
        <v>21361</v>
      </c>
      <c r="O25" s="56">
        <v>16361</v>
      </c>
      <c r="P25" s="56">
        <v>0</v>
      </c>
      <c r="Q25" s="56">
        <v>5000</v>
      </c>
      <c r="R25" s="56">
        <v>0</v>
      </c>
      <c r="T25" s="56">
        <v>0</v>
      </c>
      <c r="U25" s="56">
        <v>0</v>
      </c>
      <c r="V25" s="56">
        <v>0</v>
      </c>
      <c r="W25" s="56">
        <v>0</v>
      </c>
      <c r="X25" s="56">
        <v>0</v>
      </c>
      <c r="Y25" s="56">
        <v>0</v>
      </c>
      <c r="AA25" s="55">
        <f>Table13[[#This Row],[Expenses - Editorial]]+Table13[[#This Row],[Expenses - Revenue Generation]]+Table13[[#This Row],[Expenses - Tech]]+Table13[[#This Row],[Expenses - Admin]]</f>
        <v>381279.87</v>
      </c>
      <c r="AB25" s="56">
        <v>30143.95</v>
      </c>
      <c r="AC25" s="71">
        <f>SUM(Table13[[#This Row],[Expenses - Revenue Generation]:[Expenses - Admin]])</f>
        <v>351135.92000000004</v>
      </c>
      <c r="AD25" s="56">
        <v>226038.92</v>
      </c>
      <c r="AE25" s="56">
        <v>11918</v>
      </c>
      <c r="AF25" s="56">
        <v>113179</v>
      </c>
      <c r="AG25" s="59">
        <f>Table13[[#This Row],[Total FTE - Editorial]]+Table13[[#This Row],[Total FTE - Non-Editorial]]</f>
        <v>7</v>
      </c>
      <c r="AH25" s="59">
        <f>Table13[[#This Row],[FTE Salaried - Editorial]]+Table13[[#This Row],[FTE Contractors - Editorial]]</f>
        <v>5</v>
      </c>
      <c r="AI25" s="57">
        <v>3</v>
      </c>
      <c r="AJ25" s="57">
        <v>2</v>
      </c>
      <c r="AK25" s="60">
        <f>Table13[[#This Row],[FTE Salaried - Non-Editorial]]+Table13[[#This Row],[FTE Contractors - Non-Editorial]]</f>
        <v>2</v>
      </c>
      <c r="AL25" s="57">
        <v>2</v>
      </c>
      <c r="AM25" s="57">
        <v>0</v>
      </c>
      <c r="AN25" s="54" t="s">
        <v>352</v>
      </c>
      <c r="AO25" s="54" t="s">
        <v>382</v>
      </c>
      <c r="AQ25" s="57">
        <v>3138</v>
      </c>
      <c r="AR25" s="57">
        <v>0</v>
      </c>
      <c r="AS25" s="57">
        <v>1</v>
      </c>
      <c r="AT25" s="57">
        <v>1</v>
      </c>
      <c r="AU25" s="57">
        <v>0</v>
      </c>
      <c r="AV25" s="57">
        <v>0</v>
      </c>
      <c r="AW25" s="57">
        <v>0</v>
      </c>
      <c r="AX25" s="57">
        <v>0</v>
      </c>
      <c r="AY25" s="57">
        <v>10</v>
      </c>
    </row>
    <row r="26" spans="1:51" x14ac:dyDescent="0.2">
      <c r="A26" s="54">
        <v>6814</v>
      </c>
      <c r="B26" s="54">
        <v>2019</v>
      </c>
      <c r="C26" s="91" t="s">
        <v>82</v>
      </c>
      <c r="D26" s="54" t="s">
        <v>7</v>
      </c>
      <c r="E26" s="54" t="s">
        <v>77</v>
      </c>
      <c r="F26" s="54" t="str">
        <f>_xlfn.CONCAT(Table13[[#This Row],[Geographic Scope]],": ",Table13[[#This Row],[Sub-Type/Focus]])</f>
        <v>Local: General</v>
      </c>
      <c r="G26" s="54" t="str">
        <f>_xlfn.CONCAT(Table13[[#This Row],[Geographic Scope]],": ",Table13[[#This Row],[Sub-Type/Focus]],": ",Table13[[#This Row],[Content Type]])</f>
        <v>Local: General: Current News &amp; Events</v>
      </c>
      <c r="H26" s="54" t="str">
        <f>_xlfn.CONCAT(Table13[[#This Row],[Geographic Scope]],": ",Table13[[#This Row],[Content Type]])</f>
        <v>Local: Current News &amp; Events</v>
      </c>
      <c r="I26" s="55">
        <f>Table13[[#This Row],[Total Contributed Income]]+Table13[[#This Row],[Total Earned Income]]</f>
        <v>1567142</v>
      </c>
      <c r="J26" s="55">
        <f>Table13[[#This Row],[Cont. Income - Foundation]]+Table13[[#This Row],[Cont. Income - Membership]]+Table13[[#This Row],[Cont. Income - Small Donors]]+Table13[[#This Row],[Cont. Income - Med. Donors]]+Table13[[#This Row],[Cont. Income - Major Donors]]+Table13[[#This Row],[Cont. Income - Other]]</f>
        <v>373842</v>
      </c>
      <c r="K26" s="55">
        <f>Table13[[#This Row],[Earned Income - Advertising]]+Table13[[#This Row],[Earned Income - Sponsorships/Underwriting]]+Table13[[#This Row],[Earned Income - Events]]+Table13[[#This Row],[Earned Income - Subscriptions]]+Table13[[#This Row],[Earned Income - Syndication]]+Table13[[#This Row],[Earned Income - Other]]</f>
        <v>1193300</v>
      </c>
      <c r="L26" s="56">
        <v>18100</v>
      </c>
      <c r="M26" s="56">
        <v>0</v>
      </c>
      <c r="N26" s="71">
        <f>SUM(Table13[[#This Row],[Cont. Income - Small Donors]:[Cont. Income - Major Donors]])</f>
        <v>355742</v>
      </c>
      <c r="O26" s="56">
        <v>125192</v>
      </c>
      <c r="P26" s="56">
        <v>34350</v>
      </c>
      <c r="Q26" s="56">
        <v>196200</v>
      </c>
      <c r="R26" s="56">
        <v>0</v>
      </c>
      <c r="T26" s="56">
        <v>1025000</v>
      </c>
      <c r="U26" s="56">
        <v>0</v>
      </c>
      <c r="V26" s="56">
        <v>6150</v>
      </c>
      <c r="W26" s="56">
        <v>155150</v>
      </c>
      <c r="X26" s="56">
        <v>0</v>
      </c>
      <c r="Y26" s="56">
        <v>7000</v>
      </c>
      <c r="Z26" s="54" t="s">
        <v>383</v>
      </c>
      <c r="AA26" s="55">
        <f>Table13[[#This Row],[Expenses - Editorial]]+Table13[[#This Row],[Expenses - Revenue Generation]]+Table13[[#This Row],[Expenses - Tech]]+Table13[[#This Row],[Expenses - Admin]]</f>
        <v>1571192</v>
      </c>
      <c r="AB26" s="56">
        <v>791713</v>
      </c>
      <c r="AC26" s="71">
        <f>SUM(Table13[[#This Row],[Expenses - Revenue Generation]:[Expenses - Admin]])</f>
        <v>779479</v>
      </c>
      <c r="AD26" s="56">
        <v>324751</v>
      </c>
      <c r="AE26" s="56">
        <v>60580</v>
      </c>
      <c r="AF26" s="56">
        <v>394148</v>
      </c>
      <c r="AG26" s="59">
        <f>Table13[[#This Row],[Total FTE - Editorial]]+Table13[[#This Row],[Total FTE - Non-Editorial]]</f>
        <v>15</v>
      </c>
      <c r="AH26" s="59">
        <f>Table13[[#This Row],[FTE Salaried - Editorial]]+Table13[[#This Row],[FTE Contractors - Editorial]]</f>
        <v>8.5</v>
      </c>
      <c r="AI26" s="57">
        <v>6.5</v>
      </c>
      <c r="AJ26" s="57">
        <v>2</v>
      </c>
      <c r="AK26" s="60">
        <f>Table13[[#This Row],[FTE Salaried - Non-Editorial]]+Table13[[#This Row],[FTE Contractors - Non-Editorial]]</f>
        <v>6.5</v>
      </c>
      <c r="AL26" s="57">
        <v>6</v>
      </c>
      <c r="AM26" s="57">
        <v>0.5</v>
      </c>
      <c r="AN26" s="54" t="s">
        <v>347</v>
      </c>
      <c r="AO26" s="54" t="s">
        <v>351</v>
      </c>
      <c r="AQ26" s="57">
        <v>199120</v>
      </c>
      <c r="AR26" s="57">
        <v>14232</v>
      </c>
      <c r="AS26" s="57">
        <v>9500</v>
      </c>
      <c r="AT26" s="57">
        <v>212</v>
      </c>
      <c r="AU26" s="57">
        <v>0</v>
      </c>
      <c r="AV26" s="57">
        <v>0</v>
      </c>
      <c r="AW26" s="57">
        <v>0</v>
      </c>
      <c r="AX26" s="57"/>
      <c r="AY26" s="57">
        <v>0</v>
      </c>
    </row>
    <row r="27" spans="1:51" x14ac:dyDescent="0.2">
      <c r="A27" s="54">
        <v>6820</v>
      </c>
      <c r="B27" s="54">
        <v>2011</v>
      </c>
      <c r="C27" s="91" t="s">
        <v>82</v>
      </c>
      <c r="D27" s="54" t="s">
        <v>7</v>
      </c>
      <c r="E27" s="54" t="s">
        <v>77</v>
      </c>
      <c r="F27" s="54" t="str">
        <f>_xlfn.CONCAT(Table13[[#This Row],[Geographic Scope]],": ",Table13[[#This Row],[Sub-Type/Focus]])</f>
        <v>Local: General</v>
      </c>
      <c r="G27" s="54" t="str">
        <f>_xlfn.CONCAT(Table13[[#This Row],[Geographic Scope]],": ",Table13[[#This Row],[Sub-Type/Focus]],": ",Table13[[#This Row],[Content Type]])</f>
        <v>Local: General: Current News &amp; Events</v>
      </c>
      <c r="H27" s="54" t="str">
        <f>_xlfn.CONCAT(Table13[[#This Row],[Geographic Scope]],": ",Table13[[#This Row],[Content Type]])</f>
        <v>Local: Current News &amp; Events</v>
      </c>
      <c r="I27" s="55">
        <f>Table13[[#This Row],[Total Contributed Income]]+Table13[[#This Row],[Total Earned Income]]</f>
        <v>65979.739999999991</v>
      </c>
      <c r="J27" s="55">
        <f>Table13[[#This Row],[Cont. Income - Foundation]]+Table13[[#This Row],[Cont. Income - Membership]]+Table13[[#This Row],[Cont. Income - Small Donors]]+Table13[[#This Row],[Cont. Income - Med. Donors]]+Table13[[#This Row],[Cont. Income - Major Donors]]+Table13[[#This Row],[Cont. Income - Other]]</f>
        <v>54849.74</v>
      </c>
      <c r="K27" s="55">
        <f>Table13[[#This Row],[Earned Income - Advertising]]+Table13[[#This Row],[Earned Income - Sponsorships/Underwriting]]+Table13[[#This Row],[Earned Income - Events]]+Table13[[#This Row],[Earned Income - Subscriptions]]+Table13[[#This Row],[Earned Income - Syndication]]+Table13[[#This Row],[Earned Income - Other]]</f>
        <v>11130</v>
      </c>
      <c r="L27" s="56">
        <v>11800</v>
      </c>
      <c r="M27" s="56">
        <v>0</v>
      </c>
      <c r="N27" s="71">
        <f>SUM(Table13[[#This Row],[Cont. Income - Small Donors]:[Cont. Income - Major Donors]])</f>
        <v>3499.74</v>
      </c>
      <c r="O27" s="56">
        <v>3499.74</v>
      </c>
      <c r="P27" s="56">
        <v>0</v>
      </c>
      <c r="Q27" s="56">
        <v>0</v>
      </c>
      <c r="R27" s="56">
        <v>39550</v>
      </c>
      <c r="S27" s="55" t="s">
        <v>384</v>
      </c>
      <c r="T27" s="56">
        <v>11130</v>
      </c>
      <c r="U27" s="56">
        <v>0</v>
      </c>
      <c r="V27" s="56">
        <v>0</v>
      </c>
      <c r="W27" s="56">
        <v>0</v>
      </c>
      <c r="X27" s="56">
        <v>0</v>
      </c>
      <c r="Y27" s="56">
        <v>0</v>
      </c>
      <c r="AA27" s="55">
        <f>Table13[[#This Row],[Expenses - Editorial]]+Table13[[#This Row],[Expenses - Revenue Generation]]+Table13[[#This Row],[Expenses - Tech]]+Table13[[#This Row],[Expenses - Admin]]</f>
        <v>54192.17</v>
      </c>
      <c r="AB27" s="56">
        <v>49561.43</v>
      </c>
      <c r="AC27" s="71">
        <f>SUM(Table13[[#This Row],[Expenses - Revenue Generation]:[Expenses - Admin]])</f>
        <v>4630.74</v>
      </c>
      <c r="AD27" s="56">
        <v>0</v>
      </c>
      <c r="AE27" s="56">
        <v>875.99</v>
      </c>
      <c r="AF27" s="56">
        <v>3754.75</v>
      </c>
      <c r="AG27" s="59">
        <f>Table13[[#This Row],[Total FTE - Editorial]]+Table13[[#This Row],[Total FTE - Non-Editorial]]</f>
        <v>0</v>
      </c>
      <c r="AH27" s="59">
        <f>Table13[[#This Row],[FTE Salaried - Editorial]]+Table13[[#This Row],[FTE Contractors - Editorial]]</f>
        <v>0</v>
      </c>
      <c r="AI27" s="57">
        <v>0</v>
      </c>
      <c r="AJ27" s="57">
        <v>0</v>
      </c>
      <c r="AK27" s="60">
        <f>Table13[[#This Row],[FTE Salaried - Non-Editorial]]+Table13[[#This Row],[FTE Contractors - Non-Editorial]]</f>
        <v>0</v>
      </c>
      <c r="AL27" s="57">
        <v>0</v>
      </c>
      <c r="AM27" s="57">
        <v>0</v>
      </c>
      <c r="AN27" s="54" t="s">
        <v>347</v>
      </c>
      <c r="AO27" s="54" t="s">
        <v>351</v>
      </c>
      <c r="AQ27" s="57">
        <v>350</v>
      </c>
      <c r="AR27" s="57">
        <v>300</v>
      </c>
      <c r="AS27" s="57">
        <v>24000</v>
      </c>
      <c r="AT27" s="57">
        <v>4</v>
      </c>
      <c r="AU27" s="57">
        <v>0</v>
      </c>
      <c r="AV27" s="57">
        <v>0</v>
      </c>
      <c r="AW27" s="57">
        <v>0</v>
      </c>
      <c r="AX27" s="57"/>
      <c r="AY27" s="57">
        <v>0</v>
      </c>
    </row>
    <row r="28" spans="1:51" x14ac:dyDescent="0.2">
      <c r="A28" s="54">
        <v>6826</v>
      </c>
      <c r="B28" s="54">
        <v>2019</v>
      </c>
      <c r="C28" s="91" t="s">
        <v>82</v>
      </c>
      <c r="D28" s="54" t="s">
        <v>7</v>
      </c>
      <c r="E28" s="54" t="s">
        <v>77</v>
      </c>
      <c r="F28" s="54" t="str">
        <f>_xlfn.CONCAT(Table13[[#This Row],[Geographic Scope]],": ",Table13[[#This Row],[Sub-Type/Focus]])</f>
        <v>Local: General</v>
      </c>
      <c r="G28" s="54" t="str">
        <f>_xlfn.CONCAT(Table13[[#This Row],[Geographic Scope]],": ",Table13[[#This Row],[Sub-Type/Focus]],": ",Table13[[#This Row],[Content Type]])</f>
        <v>Local: General: Current News &amp; Events</v>
      </c>
      <c r="H28" s="54" t="str">
        <f>_xlfn.CONCAT(Table13[[#This Row],[Geographic Scope]],": ",Table13[[#This Row],[Content Type]])</f>
        <v>Local: Current News &amp; Events</v>
      </c>
      <c r="I28" s="55">
        <f>Table13[[#This Row],[Total Contributed Income]]+Table13[[#This Row],[Total Earned Income]]</f>
        <v>0</v>
      </c>
      <c r="J28" s="55">
        <f>Table13[[#This Row],[Cont. Income - Foundation]]+Table13[[#This Row],[Cont. Income - Membership]]+Table13[[#This Row],[Cont. Income - Small Donors]]+Table13[[#This Row],[Cont. Income - Med. Donors]]+Table13[[#This Row],[Cont. Income - Major Donors]]+Table13[[#This Row],[Cont. Income - Other]]</f>
        <v>0</v>
      </c>
      <c r="K28" s="55">
        <f>Table13[[#This Row],[Earned Income - Advertising]]+Table13[[#This Row],[Earned Income - Sponsorships/Underwriting]]+Table13[[#This Row],[Earned Income - Events]]+Table13[[#This Row],[Earned Income - Subscriptions]]+Table13[[#This Row],[Earned Income - Syndication]]+Table13[[#This Row],[Earned Income - Other]]</f>
        <v>0</v>
      </c>
      <c r="L28" s="56"/>
      <c r="M28" s="56"/>
      <c r="N28" s="71">
        <f>SUM(Table13[[#This Row],[Cont. Income - Small Donors]:[Cont. Income - Major Donors]])</f>
        <v>0</v>
      </c>
      <c r="O28" s="56"/>
      <c r="P28" s="56"/>
      <c r="Q28" s="56"/>
      <c r="R28" s="56"/>
      <c r="T28" s="56"/>
      <c r="U28" s="56"/>
      <c r="V28" s="56"/>
      <c r="W28" s="56"/>
      <c r="X28" s="56"/>
      <c r="Y28" s="56"/>
      <c r="AA28" s="55">
        <f>Table13[[#This Row],[Expenses - Editorial]]+Table13[[#This Row],[Expenses - Revenue Generation]]+Table13[[#This Row],[Expenses - Tech]]+Table13[[#This Row],[Expenses - Admin]]</f>
        <v>0</v>
      </c>
      <c r="AB28" s="56"/>
      <c r="AC28" s="71">
        <f>SUM(Table13[[#This Row],[Expenses - Revenue Generation]:[Expenses - Admin]])</f>
        <v>0</v>
      </c>
      <c r="AD28" s="56"/>
      <c r="AE28" s="56"/>
      <c r="AF28" s="56"/>
      <c r="AG28" s="59">
        <f>Table13[[#This Row],[Total FTE - Editorial]]+Table13[[#This Row],[Total FTE - Non-Editorial]]</f>
        <v>1</v>
      </c>
      <c r="AH28" s="59">
        <f>Table13[[#This Row],[FTE Salaried - Editorial]]+Table13[[#This Row],[FTE Contractors - Editorial]]</f>
        <v>1</v>
      </c>
      <c r="AI28" s="57">
        <v>1</v>
      </c>
      <c r="AJ28" s="57">
        <v>0</v>
      </c>
      <c r="AK28" s="60">
        <f>Table13[[#This Row],[FTE Salaried - Non-Editorial]]+Table13[[#This Row],[FTE Contractors - Non-Editorial]]</f>
        <v>0</v>
      </c>
      <c r="AL28" s="57">
        <v>0</v>
      </c>
      <c r="AM28" s="57">
        <v>0</v>
      </c>
      <c r="AN28" s="54" t="s">
        <v>351</v>
      </c>
      <c r="AQ28" s="57">
        <v>900</v>
      </c>
      <c r="AR28" s="57">
        <v>415</v>
      </c>
      <c r="AS28" s="57">
        <v>0</v>
      </c>
      <c r="AT28" s="57">
        <v>0</v>
      </c>
      <c r="AU28" s="57">
        <v>0</v>
      </c>
      <c r="AV28" s="57">
        <v>0</v>
      </c>
      <c r="AW28" s="57">
        <v>0</v>
      </c>
      <c r="AX28" s="57"/>
      <c r="AY28" s="57">
        <v>0</v>
      </c>
    </row>
    <row r="29" spans="1:51" x14ac:dyDescent="0.2">
      <c r="A29" s="54">
        <v>6831</v>
      </c>
      <c r="B29" s="54">
        <v>2020</v>
      </c>
      <c r="C29" s="91" t="s">
        <v>82</v>
      </c>
      <c r="D29" s="54" t="s">
        <v>7</v>
      </c>
      <c r="E29" s="54" t="s">
        <v>77</v>
      </c>
      <c r="F29" s="54" t="str">
        <f>_xlfn.CONCAT(Table13[[#This Row],[Geographic Scope]],": ",Table13[[#This Row],[Sub-Type/Focus]])</f>
        <v>Local: General</v>
      </c>
      <c r="G29" s="54" t="str">
        <f>_xlfn.CONCAT(Table13[[#This Row],[Geographic Scope]],": ",Table13[[#This Row],[Sub-Type/Focus]],": ",Table13[[#This Row],[Content Type]])</f>
        <v>Local: General: Current News &amp; Events</v>
      </c>
      <c r="H29" s="54" t="str">
        <f>_xlfn.CONCAT(Table13[[#This Row],[Geographic Scope]],": ",Table13[[#This Row],[Content Type]])</f>
        <v>Local: Current News &amp; Events</v>
      </c>
      <c r="I29" s="55">
        <f>Table13[[#This Row],[Total Contributed Income]]+Table13[[#This Row],[Total Earned Income]]</f>
        <v>0</v>
      </c>
      <c r="J29" s="55">
        <f>Table13[[#This Row],[Cont. Income - Foundation]]+Table13[[#This Row],[Cont. Income - Membership]]+Table13[[#This Row],[Cont. Income - Small Donors]]+Table13[[#This Row],[Cont. Income - Med. Donors]]+Table13[[#This Row],[Cont. Income - Major Donors]]+Table13[[#This Row],[Cont. Income - Other]]</f>
        <v>0</v>
      </c>
      <c r="K29" s="55">
        <f>Table13[[#This Row],[Earned Income - Advertising]]+Table13[[#This Row],[Earned Income - Sponsorships/Underwriting]]+Table13[[#This Row],[Earned Income - Events]]+Table13[[#This Row],[Earned Income - Subscriptions]]+Table13[[#This Row],[Earned Income - Syndication]]+Table13[[#This Row],[Earned Income - Other]]</f>
        <v>0</v>
      </c>
      <c r="L29" s="56"/>
      <c r="M29" s="56"/>
      <c r="N29" s="71">
        <f>SUM(Table13[[#This Row],[Cont. Income - Small Donors]:[Cont. Income - Major Donors]])</f>
        <v>0</v>
      </c>
      <c r="O29" s="56"/>
      <c r="P29" s="56"/>
      <c r="Q29" s="56"/>
      <c r="R29" s="56"/>
      <c r="T29" s="56"/>
      <c r="U29" s="56"/>
      <c r="V29" s="56"/>
      <c r="W29" s="56"/>
      <c r="X29" s="56"/>
      <c r="Y29" s="56"/>
      <c r="AA29" s="55">
        <f>Table13[[#This Row],[Expenses - Editorial]]+Table13[[#This Row],[Expenses - Revenue Generation]]+Table13[[#This Row],[Expenses - Tech]]+Table13[[#This Row],[Expenses - Admin]]</f>
        <v>0</v>
      </c>
      <c r="AB29" s="57"/>
      <c r="AC29" s="71">
        <f>SUM(Table13[[#This Row],[Expenses - Revenue Generation]:[Expenses - Admin]])</f>
        <v>0</v>
      </c>
      <c r="AD29" s="57"/>
      <c r="AE29" s="57"/>
      <c r="AF29" s="57"/>
      <c r="AG29" s="59">
        <f>Table13[[#This Row],[Total FTE - Editorial]]+Table13[[#This Row],[Total FTE - Non-Editorial]]</f>
        <v>1</v>
      </c>
      <c r="AH29" s="59">
        <f>Table13[[#This Row],[FTE Salaried - Editorial]]+Table13[[#This Row],[FTE Contractors - Editorial]]</f>
        <v>1</v>
      </c>
      <c r="AI29" s="57">
        <v>0</v>
      </c>
      <c r="AJ29" s="57">
        <v>1</v>
      </c>
      <c r="AK29" s="60">
        <f>Table13[[#This Row],[FTE Salaried - Non-Editorial]]+Table13[[#This Row],[FTE Contractors - Non-Editorial]]</f>
        <v>0</v>
      </c>
      <c r="AL29" s="57">
        <v>0</v>
      </c>
      <c r="AM29" s="57">
        <v>0</v>
      </c>
      <c r="AN29" s="54" t="s">
        <v>351</v>
      </c>
      <c r="AQ29" s="57">
        <v>850</v>
      </c>
      <c r="AR29" s="57">
        <v>380</v>
      </c>
      <c r="AS29" s="57">
        <v>0</v>
      </c>
      <c r="AT29" s="57">
        <v>0</v>
      </c>
      <c r="AU29" s="57">
        <v>0</v>
      </c>
      <c r="AV29" s="57">
        <v>0</v>
      </c>
      <c r="AW29" s="57">
        <v>0</v>
      </c>
      <c r="AX29" s="57"/>
      <c r="AY29" s="57">
        <v>0</v>
      </c>
    </row>
    <row r="30" spans="1:51" x14ac:dyDescent="0.2">
      <c r="A30" s="54">
        <v>6832</v>
      </c>
      <c r="B30" s="54">
        <v>2020</v>
      </c>
      <c r="C30" s="91" t="s">
        <v>82</v>
      </c>
      <c r="D30" s="54" t="s">
        <v>7</v>
      </c>
      <c r="E30" s="54" t="s">
        <v>77</v>
      </c>
      <c r="F30" s="54" t="str">
        <f>_xlfn.CONCAT(Table13[[#This Row],[Geographic Scope]],": ",Table13[[#This Row],[Sub-Type/Focus]])</f>
        <v>Local: General</v>
      </c>
      <c r="G30" s="54" t="str">
        <f>_xlfn.CONCAT(Table13[[#This Row],[Geographic Scope]],": ",Table13[[#This Row],[Sub-Type/Focus]],": ",Table13[[#This Row],[Content Type]])</f>
        <v>Local: General: Current News &amp; Events</v>
      </c>
      <c r="H30" s="54" t="str">
        <f>_xlfn.CONCAT(Table13[[#This Row],[Geographic Scope]],": ",Table13[[#This Row],[Content Type]])</f>
        <v>Local: Current News &amp; Events</v>
      </c>
      <c r="I30" s="55">
        <f>Table13[[#This Row],[Total Contributed Income]]+Table13[[#This Row],[Total Earned Income]]</f>
        <v>0</v>
      </c>
      <c r="J30" s="55">
        <f>Table13[[#This Row],[Cont. Income - Foundation]]+Table13[[#This Row],[Cont. Income - Membership]]+Table13[[#This Row],[Cont. Income - Small Donors]]+Table13[[#This Row],[Cont. Income - Med. Donors]]+Table13[[#This Row],[Cont. Income - Major Donors]]+Table13[[#This Row],[Cont. Income - Other]]</f>
        <v>0</v>
      </c>
      <c r="K30" s="55">
        <f>Table13[[#This Row],[Earned Income - Advertising]]+Table13[[#This Row],[Earned Income - Sponsorships/Underwriting]]+Table13[[#This Row],[Earned Income - Events]]+Table13[[#This Row],[Earned Income - Subscriptions]]+Table13[[#This Row],[Earned Income - Syndication]]+Table13[[#This Row],[Earned Income - Other]]</f>
        <v>0</v>
      </c>
      <c r="L30" s="56"/>
      <c r="M30" s="56"/>
      <c r="N30" s="71">
        <f>SUM(Table13[[#This Row],[Cont. Income - Small Donors]:[Cont. Income - Major Donors]])</f>
        <v>0</v>
      </c>
      <c r="O30" s="56"/>
      <c r="P30" s="56"/>
      <c r="Q30" s="56"/>
      <c r="R30" s="56"/>
      <c r="T30" s="56"/>
      <c r="U30" s="56"/>
      <c r="V30" s="56"/>
      <c r="W30" s="56"/>
      <c r="X30" s="56"/>
      <c r="Y30" s="56"/>
      <c r="AA30" s="55">
        <f>Table13[[#This Row],[Expenses - Editorial]]+Table13[[#This Row],[Expenses - Revenue Generation]]+Table13[[#This Row],[Expenses - Tech]]+Table13[[#This Row],[Expenses - Admin]]</f>
        <v>0</v>
      </c>
      <c r="AB30" s="57"/>
      <c r="AC30" s="71">
        <f>SUM(Table13[[#This Row],[Expenses - Revenue Generation]:[Expenses - Admin]])</f>
        <v>0</v>
      </c>
      <c r="AD30" s="57"/>
      <c r="AE30" s="57"/>
      <c r="AF30" s="57"/>
      <c r="AG30" s="59">
        <f>Table13[[#This Row],[Total FTE - Editorial]]+Table13[[#This Row],[Total FTE - Non-Editorial]]</f>
        <v>4</v>
      </c>
      <c r="AH30" s="59">
        <f>Table13[[#This Row],[FTE Salaried - Editorial]]+Table13[[#This Row],[FTE Contractors - Editorial]]</f>
        <v>4</v>
      </c>
      <c r="AI30" s="57">
        <v>3</v>
      </c>
      <c r="AJ30" s="57">
        <v>1</v>
      </c>
      <c r="AK30" s="60">
        <f>Table13[[#This Row],[FTE Salaried - Non-Editorial]]+Table13[[#This Row],[FTE Contractors - Non-Editorial]]</f>
        <v>0</v>
      </c>
      <c r="AL30" s="57">
        <v>0</v>
      </c>
      <c r="AM30" s="57">
        <v>0</v>
      </c>
      <c r="AN30" s="54" t="s">
        <v>351</v>
      </c>
      <c r="AO30" s="54" t="s">
        <v>366</v>
      </c>
      <c r="AP30" s="54" t="s">
        <v>385</v>
      </c>
      <c r="AQ30" s="57">
        <v>8000</v>
      </c>
      <c r="AR30" s="57">
        <v>1800</v>
      </c>
      <c r="AS30" s="57">
        <v>0</v>
      </c>
      <c r="AT30" s="57">
        <v>0</v>
      </c>
      <c r="AU30" s="57">
        <v>0</v>
      </c>
      <c r="AV30" s="57">
        <v>0</v>
      </c>
      <c r="AW30" s="57">
        <v>0</v>
      </c>
      <c r="AX30" s="57"/>
      <c r="AY30" s="57">
        <v>160</v>
      </c>
    </row>
    <row r="31" spans="1:51" x14ac:dyDescent="0.2">
      <c r="A31" s="54">
        <v>6833</v>
      </c>
      <c r="B31" s="54">
        <v>1958</v>
      </c>
      <c r="C31" s="91" t="s">
        <v>82</v>
      </c>
      <c r="D31" s="54" t="s">
        <v>7</v>
      </c>
      <c r="E31" s="54" t="s">
        <v>77</v>
      </c>
      <c r="F31" s="54" t="str">
        <f>_xlfn.CONCAT(Table13[[#This Row],[Geographic Scope]],": ",Table13[[#This Row],[Sub-Type/Focus]])</f>
        <v>Local: General</v>
      </c>
      <c r="G31" s="54" t="str">
        <f>_xlfn.CONCAT(Table13[[#This Row],[Geographic Scope]],": ",Table13[[#This Row],[Sub-Type/Focus]],": ",Table13[[#This Row],[Content Type]])</f>
        <v>Local: General: Current News &amp; Events</v>
      </c>
      <c r="H31" s="54" t="str">
        <f>_xlfn.CONCAT(Table13[[#This Row],[Geographic Scope]],": ",Table13[[#This Row],[Content Type]])</f>
        <v>Local: Current News &amp; Events</v>
      </c>
      <c r="I31" s="55">
        <f>Table13[[#This Row],[Total Contributed Income]]+Table13[[#This Row],[Total Earned Income]]</f>
        <v>71000</v>
      </c>
      <c r="J31" s="55">
        <f>Table13[[#This Row],[Cont. Income - Foundation]]+Table13[[#This Row],[Cont. Income - Membership]]+Table13[[#This Row],[Cont. Income - Small Donors]]+Table13[[#This Row],[Cont. Income - Med. Donors]]+Table13[[#This Row],[Cont. Income - Major Donors]]+Table13[[#This Row],[Cont. Income - Other]]</f>
        <v>0</v>
      </c>
      <c r="K31" s="55">
        <f>Table13[[#This Row],[Earned Income - Advertising]]+Table13[[#This Row],[Earned Income - Sponsorships/Underwriting]]+Table13[[#This Row],[Earned Income - Events]]+Table13[[#This Row],[Earned Income - Subscriptions]]+Table13[[#This Row],[Earned Income - Syndication]]+Table13[[#This Row],[Earned Income - Other]]</f>
        <v>71000</v>
      </c>
      <c r="L31" s="56">
        <v>0</v>
      </c>
      <c r="M31" s="56">
        <v>0</v>
      </c>
      <c r="N31" s="71">
        <f>SUM(Table13[[#This Row],[Cont. Income - Small Donors]:[Cont. Income - Major Donors]])</f>
        <v>0</v>
      </c>
      <c r="O31" s="56">
        <v>0</v>
      </c>
      <c r="P31" s="56">
        <v>0</v>
      </c>
      <c r="Q31" s="56">
        <v>0</v>
      </c>
      <c r="R31" s="56">
        <v>0</v>
      </c>
      <c r="T31" s="56">
        <v>68000</v>
      </c>
      <c r="U31" s="56">
        <v>0</v>
      </c>
      <c r="V31" s="56">
        <v>0</v>
      </c>
      <c r="W31" s="56">
        <v>3000</v>
      </c>
      <c r="X31" s="56">
        <v>0</v>
      </c>
      <c r="Y31" s="56">
        <v>0</v>
      </c>
      <c r="AA31" s="55">
        <f>Table13[[#This Row],[Expenses - Editorial]]+Table13[[#This Row],[Expenses - Revenue Generation]]+Table13[[#This Row],[Expenses - Tech]]+Table13[[#This Row],[Expenses - Admin]]</f>
        <v>52000</v>
      </c>
      <c r="AB31" s="56">
        <v>33000</v>
      </c>
      <c r="AC31" s="71">
        <f>SUM(Table13[[#This Row],[Expenses - Revenue Generation]:[Expenses - Admin]])</f>
        <v>19000</v>
      </c>
      <c r="AD31" s="56">
        <v>10000</v>
      </c>
      <c r="AE31" s="56">
        <v>3000</v>
      </c>
      <c r="AF31" s="56">
        <v>6000</v>
      </c>
      <c r="AG31" s="59">
        <f>Table13[[#This Row],[Total FTE - Editorial]]+Table13[[#This Row],[Total FTE - Non-Editorial]]</f>
        <v>0.75</v>
      </c>
      <c r="AH31" s="59">
        <f>Table13[[#This Row],[FTE Salaried - Editorial]]+Table13[[#This Row],[FTE Contractors - Editorial]]</f>
        <v>0.5</v>
      </c>
      <c r="AI31" s="57">
        <v>0.5</v>
      </c>
      <c r="AJ31" s="57">
        <v>0</v>
      </c>
      <c r="AK31" s="60">
        <f>Table13[[#This Row],[FTE Salaried - Non-Editorial]]+Table13[[#This Row],[FTE Contractors - Non-Editorial]]</f>
        <v>0.25</v>
      </c>
      <c r="AL31" s="57">
        <v>0.25</v>
      </c>
      <c r="AM31" s="57">
        <v>0</v>
      </c>
      <c r="AN31" s="54" t="s">
        <v>347</v>
      </c>
      <c r="AO31" s="54" t="s">
        <v>351</v>
      </c>
      <c r="AQ31" s="57">
        <v>8011</v>
      </c>
      <c r="AR31" s="57">
        <v>823</v>
      </c>
      <c r="AS31" s="57">
        <v>2000</v>
      </c>
      <c r="AT31" s="57">
        <v>25</v>
      </c>
      <c r="AU31" s="57">
        <v>0</v>
      </c>
      <c r="AV31" s="57">
        <v>0</v>
      </c>
      <c r="AW31" s="57">
        <v>0</v>
      </c>
      <c r="AX31" s="57"/>
      <c r="AY31" s="57">
        <v>0</v>
      </c>
    </row>
    <row r="32" spans="1:51" x14ac:dyDescent="0.2">
      <c r="A32" s="54">
        <v>6835</v>
      </c>
      <c r="B32" s="54">
        <v>2019</v>
      </c>
      <c r="C32" s="91" t="s">
        <v>82</v>
      </c>
      <c r="D32" s="54" t="s">
        <v>7</v>
      </c>
      <c r="E32" s="54" t="s">
        <v>77</v>
      </c>
      <c r="F32" s="54" t="str">
        <f>_xlfn.CONCAT(Table13[[#This Row],[Geographic Scope]],": ",Table13[[#This Row],[Sub-Type/Focus]])</f>
        <v>Local: General</v>
      </c>
      <c r="G32" s="54" t="str">
        <f>_xlfn.CONCAT(Table13[[#This Row],[Geographic Scope]],": ",Table13[[#This Row],[Sub-Type/Focus]],": ",Table13[[#This Row],[Content Type]])</f>
        <v>Local: General: Current News &amp; Events</v>
      </c>
      <c r="H32" s="54" t="str">
        <f>_xlfn.CONCAT(Table13[[#This Row],[Geographic Scope]],": ",Table13[[#This Row],[Content Type]])</f>
        <v>Local: Current News &amp; Events</v>
      </c>
      <c r="I32" s="55">
        <f>Table13[[#This Row],[Total Contributed Income]]+Table13[[#This Row],[Total Earned Income]]</f>
        <v>269799</v>
      </c>
      <c r="J32" s="55">
        <f>Table13[[#This Row],[Cont. Income - Foundation]]+Table13[[#This Row],[Cont. Income - Membership]]+Table13[[#This Row],[Cont. Income - Small Donors]]+Table13[[#This Row],[Cont. Income - Med. Donors]]+Table13[[#This Row],[Cont. Income - Major Donors]]+Table13[[#This Row],[Cont. Income - Other]]</f>
        <v>107690</v>
      </c>
      <c r="K32" s="55">
        <f>Table13[[#This Row],[Earned Income - Advertising]]+Table13[[#This Row],[Earned Income - Sponsorships/Underwriting]]+Table13[[#This Row],[Earned Income - Events]]+Table13[[#This Row],[Earned Income - Subscriptions]]+Table13[[#This Row],[Earned Income - Syndication]]+Table13[[#This Row],[Earned Income - Other]]</f>
        <v>162109</v>
      </c>
      <c r="L32" s="56">
        <v>0</v>
      </c>
      <c r="M32" s="56">
        <v>0</v>
      </c>
      <c r="N32" s="71">
        <f>SUM(Table13[[#This Row],[Cont. Income - Small Donors]:[Cont. Income - Major Donors]])</f>
        <v>101690</v>
      </c>
      <c r="O32" s="56">
        <v>60739</v>
      </c>
      <c r="P32" s="56">
        <v>10950</v>
      </c>
      <c r="Q32" s="56">
        <v>30001</v>
      </c>
      <c r="R32" s="56">
        <v>6000</v>
      </c>
      <c r="S32" s="55" t="s">
        <v>386</v>
      </c>
      <c r="T32" s="56">
        <v>162012</v>
      </c>
      <c r="U32" s="56">
        <v>0</v>
      </c>
      <c r="V32" s="56">
        <v>0</v>
      </c>
      <c r="W32" s="56">
        <v>0</v>
      </c>
      <c r="X32" s="56">
        <v>0</v>
      </c>
      <c r="Y32" s="56">
        <v>97</v>
      </c>
      <c r="Z32" s="54" t="s">
        <v>387</v>
      </c>
      <c r="AA32" s="55">
        <f>Table13[[#This Row],[Expenses - Editorial]]+Table13[[#This Row],[Expenses - Revenue Generation]]+Table13[[#This Row],[Expenses - Tech]]+Table13[[#This Row],[Expenses - Admin]]</f>
        <v>206304</v>
      </c>
      <c r="AB32" s="56">
        <v>34890</v>
      </c>
      <c r="AC32" s="71">
        <f>SUM(Table13[[#This Row],[Expenses - Revenue Generation]:[Expenses - Admin]])</f>
        <v>171414</v>
      </c>
      <c r="AD32" s="56">
        <v>139343</v>
      </c>
      <c r="AE32" s="56">
        <v>1205</v>
      </c>
      <c r="AF32" s="56">
        <v>30866</v>
      </c>
      <c r="AG32" s="59">
        <f>Table13[[#This Row],[Total FTE - Editorial]]+Table13[[#This Row],[Total FTE - Non-Editorial]]</f>
        <v>4.5</v>
      </c>
      <c r="AH32" s="59">
        <f>Table13[[#This Row],[FTE Salaried - Editorial]]+Table13[[#This Row],[FTE Contractors - Editorial]]</f>
        <v>2.5</v>
      </c>
      <c r="AI32" s="57">
        <v>1.5</v>
      </c>
      <c r="AJ32" s="57">
        <v>1</v>
      </c>
      <c r="AK32" s="60">
        <f>Table13[[#This Row],[FTE Salaried - Non-Editorial]]+Table13[[#This Row],[FTE Contractors - Non-Editorial]]</f>
        <v>2</v>
      </c>
      <c r="AL32" s="57">
        <v>2</v>
      </c>
      <c r="AM32" s="57">
        <v>0</v>
      </c>
      <c r="AN32" s="54" t="s">
        <v>347</v>
      </c>
      <c r="AO32" s="54" t="s">
        <v>351</v>
      </c>
      <c r="AQ32" s="57">
        <v>43339</v>
      </c>
      <c r="AR32" s="57">
        <v>200</v>
      </c>
      <c r="AS32" s="57">
        <v>6600</v>
      </c>
      <c r="AT32" s="57">
        <v>52</v>
      </c>
      <c r="AU32" s="57">
        <v>0</v>
      </c>
      <c r="AV32" s="57">
        <v>0</v>
      </c>
      <c r="AW32" s="57">
        <v>0</v>
      </c>
      <c r="AX32" s="57"/>
      <c r="AY32" s="57">
        <v>0</v>
      </c>
    </row>
    <row r="33" spans="1:51" x14ac:dyDescent="0.2">
      <c r="A33" s="54">
        <v>6839</v>
      </c>
      <c r="B33" s="54">
        <v>2019</v>
      </c>
      <c r="C33" s="91" t="s">
        <v>82</v>
      </c>
      <c r="D33" s="54" t="s">
        <v>7</v>
      </c>
      <c r="E33" s="54" t="s">
        <v>77</v>
      </c>
      <c r="F33" s="54" t="str">
        <f>_xlfn.CONCAT(Table13[[#This Row],[Geographic Scope]],": ",Table13[[#This Row],[Sub-Type/Focus]])</f>
        <v>Local: General</v>
      </c>
      <c r="G33" s="54" t="str">
        <f>_xlfn.CONCAT(Table13[[#This Row],[Geographic Scope]],": ",Table13[[#This Row],[Sub-Type/Focus]],": ",Table13[[#This Row],[Content Type]])</f>
        <v>Local: General: Current News &amp; Events</v>
      </c>
      <c r="H33" s="54" t="str">
        <f>_xlfn.CONCAT(Table13[[#This Row],[Geographic Scope]],": ",Table13[[#This Row],[Content Type]])</f>
        <v>Local: Current News &amp; Events</v>
      </c>
      <c r="I33" s="55">
        <f>Table13[[#This Row],[Total Contributed Income]]+Table13[[#This Row],[Total Earned Income]]</f>
        <v>82876</v>
      </c>
      <c r="J33" s="55">
        <f>Table13[[#This Row],[Cont. Income - Foundation]]+Table13[[#This Row],[Cont. Income - Membership]]+Table13[[#This Row],[Cont. Income - Small Donors]]+Table13[[#This Row],[Cont. Income - Med. Donors]]+Table13[[#This Row],[Cont. Income - Major Donors]]+Table13[[#This Row],[Cont. Income - Other]]</f>
        <v>80276</v>
      </c>
      <c r="K33" s="55">
        <f>Table13[[#This Row],[Earned Income - Advertising]]+Table13[[#This Row],[Earned Income - Sponsorships/Underwriting]]+Table13[[#This Row],[Earned Income - Events]]+Table13[[#This Row],[Earned Income - Subscriptions]]+Table13[[#This Row],[Earned Income - Syndication]]+Table13[[#This Row],[Earned Income - Other]]</f>
        <v>2600</v>
      </c>
      <c r="L33" s="56">
        <v>61966</v>
      </c>
      <c r="M33" s="56">
        <v>0</v>
      </c>
      <c r="N33" s="71">
        <f>SUM(Table13[[#This Row],[Cont. Income - Small Donors]:[Cont. Income - Major Donors]])</f>
        <v>18310</v>
      </c>
      <c r="O33" s="56">
        <v>13310</v>
      </c>
      <c r="P33" s="56">
        <v>5000</v>
      </c>
      <c r="Q33" s="56">
        <v>0</v>
      </c>
      <c r="R33" s="56">
        <v>0</v>
      </c>
      <c r="T33" s="56">
        <v>300</v>
      </c>
      <c r="U33" s="56">
        <v>300</v>
      </c>
      <c r="V33" s="56">
        <v>0</v>
      </c>
      <c r="W33" s="56">
        <v>0</v>
      </c>
      <c r="X33" s="56">
        <v>0</v>
      </c>
      <c r="Y33" s="56">
        <v>2000</v>
      </c>
      <c r="Z33" s="54" t="s">
        <v>388</v>
      </c>
      <c r="AA33" s="55">
        <f>Table13[[#This Row],[Expenses - Editorial]]+Table13[[#This Row],[Expenses - Revenue Generation]]+Table13[[#This Row],[Expenses - Tech]]+Table13[[#This Row],[Expenses - Admin]]</f>
        <v>80083</v>
      </c>
      <c r="AB33" s="56">
        <v>37942</v>
      </c>
      <c r="AC33" s="71">
        <f>SUM(Table13[[#This Row],[Expenses - Revenue Generation]:[Expenses - Admin]])</f>
        <v>42141</v>
      </c>
      <c r="AD33" s="56">
        <v>13030</v>
      </c>
      <c r="AE33" s="56">
        <v>3811</v>
      </c>
      <c r="AF33" s="56">
        <v>25300</v>
      </c>
      <c r="AG33" s="59">
        <f>Table13[[#This Row],[Total FTE - Editorial]]+Table13[[#This Row],[Total FTE - Non-Editorial]]</f>
        <v>4.5</v>
      </c>
      <c r="AH33" s="59">
        <f>Table13[[#This Row],[FTE Salaried - Editorial]]+Table13[[#This Row],[FTE Contractors - Editorial]]</f>
        <v>2</v>
      </c>
      <c r="AI33" s="57">
        <v>0.5</v>
      </c>
      <c r="AJ33" s="57">
        <v>1.5</v>
      </c>
      <c r="AK33" s="60">
        <f>Table13[[#This Row],[FTE Salaried - Non-Editorial]]+Table13[[#This Row],[FTE Contractors - Non-Editorial]]</f>
        <v>2.5</v>
      </c>
      <c r="AL33" s="57">
        <v>0.5</v>
      </c>
      <c r="AM33" s="57">
        <v>2</v>
      </c>
      <c r="AN33" s="54" t="s">
        <v>351</v>
      </c>
      <c r="AO33" s="54" t="s">
        <v>359</v>
      </c>
      <c r="AQ33" s="57">
        <v>30000</v>
      </c>
      <c r="AR33" s="57">
        <v>15000</v>
      </c>
      <c r="AS33" s="57">
        <v>0</v>
      </c>
      <c r="AT33" s="57">
        <v>0</v>
      </c>
      <c r="AU33" s="57">
        <v>0</v>
      </c>
      <c r="AV33" s="57">
        <v>0</v>
      </c>
      <c r="AW33" s="57">
        <v>0</v>
      </c>
      <c r="AX33" s="57"/>
      <c r="AY33" s="57">
        <v>0</v>
      </c>
    </row>
    <row r="34" spans="1:51" x14ac:dyDescent="0.2">
      <c r="A34" s="54">
        <v>470</v>
      </c>
      <c r="B34" s="54">
        <v>2010</v>
      </c>
      <c r="C34" s="91" t="s">
        <v>82</v>
      </c>
      <c r="D34" s="54" t="s">
        <v>7</v>
      </c>
      <c r="E34" s="54" t="s">
        <v>78</v>
      </c>
      <c r="F34" s="54" t="str">
        <f>_xlfn.CONCAT(Table13[[#This Row],[Geographic Scope]],": ",Table13[[#This Row],[Sub-Type/Focus]])</f>
        <v>Local: Multiple Related Topics</v>
      </c>
      <c r="G34" s="54" t="str">
        <f>_xlfn.CONCAT(Table13[[#This Row],[Geographic Scope]],": ",Table13[[#This Row],[Sub-Type/Focus]],": ",Table13[[#This Row],[Content Type]])</f>
        <v>Local: Multiple Related Topics: Current News &amp; Events</v>
      </c>
      <c r="H34" s="54" t="str">
        <f>_xlfn.CONCAT(Table13[[#This Row],[Geographic Scope]],": ",Table13[[#This Row],[Content Type]])</f>
        <v>Local: Current News &amp; Events</v>
      </c>
      <c r="I34" s="55">
        <f>Table13[[#This Row],[Total Contributed Income]]+Table13[[#This Row],[Total Earned Income]]</f>
        <v>57057</v>
      </c>
      <c r="J34" s="55">
        <f>Table13[[#This Row],[Cont. Income - Foundation]]+Table13[[#This Row],[Cont. Income - Membership]]+Table13[[#This Row],[Cont. Income - Small Donors]]+Table13[[#This Row],[Cont. Income - Med. Donors]]+Table13[[#This Row],[Cont. Income - Major Donors]]+Table13[[#This Row],[Cont. Income - Other]]</f>
        <v>57057</v>
      </c>
      <c r="K34" s="55">
        <f>Table13[[#This Row],[Earned Income - Advertising]]+Table13[[#This Row],[Earned Income - Sponsorships/Underwriting]]+Table13[[#This Row],[Earned Income - Events]]+Table13[[#This Row],[Earned Income - Subscriptions]]+Table13[[#This Row],[Earned Income - Syndication]]+Table13[[#This Row],[Earned Income - Other]]</f>
        <v>0</v>
      </c>
      <c r="L34" s="56">
        <v>15609</v>
      </c>
      <c r="M34" s="56">
        <v>0</v>
      </c>
      <c r="N34" s="71">
        <f>SUM(Table13[[#This Row],[Cont. Income - Small Donors]:[Cont. Income - Major Donors]])</f>
        <v>41448</v>
      </c>
      <c r="O34" s="56">
        <v>10539</v>
      </c>
      <c r="P34" s="56">
        <v>4000</v>
      </c>
      <c r="Q34" s="56">
        <v>26909</v>
      </c>
      <c r="R34" s="56">
        <v>0</v>
      </c>
      <c r="T34" s="56">
        <v>0</v>
      </c>
      <c r="U34" s="56">
        <v>0</v>
      </c>
      <c r="V34" s="56">
        <v>0</v>
      </c>
      <c r="W34" s="56">
        <v>0</v>
      </c>
      <c r="X34" s="56">
        <v>0</v>
      </c>
      <c r="Y34" s="56">
        <v>0</v>
      </c>
      <c r="AA34" s="55">
        <f>Table13[[#This Row],[Expenses - Editorial]]+Table13[[#This Row],[Expenses - Revenue Generation]]+Table13[[#This Row],[Expenses - Tech]]+Table13[[#This Row],[Expenses - Admin]]</f>
        <v>45000</v>
      </c>
      <c r="AB34" s="56">
        <v>39500</v>
      </c>
      <c r="AC34" s="71">
        <f>SUM(Table13[[#This Row],[Expenses - Revenue Generation]:[Expenses - Admin]])</f>
        <v>5500</v>
      </c>
      <c r="AD34" s="56">
        <v>0</v>
      </c>
      <c r="AE34" s="56">
        <v>5500</v>
      </c>
      <c r="AF34" s="56">
        <v>0</v>
      </c>
      <c r="AG34" s="59">
        <f>Table13[[#This Row],[Total FTE - Editorial]]+Table13[[#This Row],[Total FTE - Non-Editorial]]</f>
        <v>1.5</v>
      </c>
      <c r="AH34" s="59">
        <f>Table13[[#This Row],[FTE Salaried - Editorial]]+Table13[[#This Row],[FTE Contractors - Editorial]]</f>
        <v>1.5</v>
      </c>
      <c r="AI34" s="57">
        <v>0</v>
      </c>
      <c r="AJ34" s="57">
        <v>1.5</v>
      </c>
      <c r="AK34" s="60">
        <f>Table13[[#This Row],[FTE Salaried - Non-Editorial]]+Table13[[#This Row],[FTE Contractors - Non-Editorial]]</f>
        <v>0</v>
      </c>
      <c r="AL34" s="57">
        <v>0</v>
      </c>
      <c r="AM34" s="57">
        <v>0</v>
      </c>
      <c r="AN34" s="54" t="s">
        <v>351</v>
      </c>
      <c r="AO34" s="54" t="s">
        <v>356</v>
      </c>
      <c r="AP34" s="54" t="s">
        <v>389</v>
      </c>
      <c r="AQ34" s="57">
        <v>0</v>
      </c>
      <c r="AR34" s="57">
        <v>1400</v>
      </c>
      <c r="AS34" s="57">
        <v>0</v>
      </c>
      <c r="AT34" s="57">
        <v>0</v>
      </c>
      <c r="AU34" s="57">
        <v>0</v>
      </c>
      <c r="AV34" s="57">
        <v>0</v>
      </c>
      <c r="AW34" s="57">
        <v>0</v>
      </c>
      <c r="AX34" s="57"/>
      <c r="AY34" s="57">
        <v>0</v>
      </c>
    </row>
    <row r="35" spans="1:51" x14ac:dyDescent="0.2">
      <c r="A35" s="54">
        <v>503</v>
      </c>
      <c r="B35" s="54">
        <v>2005</v>
      </c>
      <c r="C35" s="91" t="s">
        <v>82</v>
      </c>
      <c r="D35" s="54" t="s">
        <v>7</v>
      </c>
      <c r="E35" s="54" t="s">
        <v>78</v>
      </c>
      <c r="F35" s="54" t="str">
        <f>_xlfn.CONCAT(Table13[[#This Row],[Geographic Scope]],": ",Table13[[#This Row],[Sub-Type/Focus]])</f>
        <v>Local: Multiple Related Topics</v>
      </c>
      <c r="G35" s="54" t="str">
        <f>_xlfn.CONCAT(Table13[[#This Row],[Geographic Scope]],": ",Table13[[#This Row],[Sub-Type/Focus]],": ",Table13[[#This Row],[Content Type]])</f>
        <v>Local: Multiple Related Topics: Current News &amp; Events</v>
      </c>
      <c r="H35" s="54" t="str">
        <f>_xlfn.CONCAT(Table13[[#This Row],[Geographic Scope]],": ",Table13[[#This Row],[Content Type]])</f>
        <v>Local: Current News &amp; Events</v>
      </c>
      <c r="I35" s="55">
        <f>Table13[[#This Row],[Total Contributed Income]]+Table13[[#This Row],[Total Earned Income]]</f>
        <v>2455475</v>
      </c>
      <c r="J35" s="55">
        <f>Table13[[#This Row],[Cont. Income - Foundation]]+Table13[[#This Row],[Cont. Income - Membership]]+Table13[[#This Row],[Cont. Income - Small Donors]]+Table13[[#This Row],[Cont. Income - Med. Donors]]+Table13[[#This Row],[Cont. Income - Major Donors]]+Table13[[#This Row],[Cont. Income - Other]]</f>
        <v>1983487</v>
      </c>
      <c r="K35" s="55">
        <f>Table13[[#This Row],[Earned Income - Advertising]]+Table13[[#This Row],[Earned Income - Sponsorships/Underwriting]]+Table13[[#This Row],[Earned Income - Events]]+Table13[[#This Row],[Earned Income - Subscriptions]]+Table13[[#This Row],[Earned Income - Syndication]]+Table13[[#This Row],[Earned Income - Other]]</f>
        <v>471988</v>
      </c>
      <c r="L35" s="56">
        <v>568575</v>
      </c>
      <c r="M35" s="56">
        <v>342803</v>
      </c>
      <c r="N35" s="71">
        <f>SUM(Table13[[#This Row],[Cont. Income - Small Donors]:[Cont. Income - Major Donors]])</f>
        <v>1072109</v>
      </c>
      <c r="O35" s="56">
        <v>75062</v>
      </c>
      <c r="P35" s="56">
        <v>152032</v>
      </c>
      <c r="Q35" s="56">
        <v>845015</v>
      </c>
      <c r="R35" s="56">
        <v>0</v>
      </c>
      <c r="T35" s="56">
        <v>4550</v>
      </c>
      <c r="U35" s="56">
        <v>155721</v>
      </c>
      <c r="V35" s="56">
        <v>24750</v>
      </c>
      <c r="W35" s="56">
        <v>0</v>
      </c>
      <c r="X35" s="56">
        <v>31067</v>
      </c>
      <c r="Y35" s="56">
        <v>255900</v>
      </c>
      <c r="Z35" s="54" t="s">
        <v>390</v>
      </c>
      <c r="AA35" s="55">
        <f>Table13[[#This Row],[Expenses - Editorial]]+Table13[[#This Row],[Expenses - Revenue Generation]]+Table13[[#This Row],[Expenses - Tech]]+Table13[[#This Row],[Expenses - Admin]]</f>
        <v>2104029</v>
      </c>
      <c r="AB35" s="56">
        <v>1183162</v>
      </c>
      <c r="AC35" s="71">
        <f>SUM(Table13[[#This Row],[Expenses - Revenue Generation]:[Expenses - Admin]])</f>
        <v>920867</v>
      </c>
      <c r="AD35" s="56">
        <v>286941</v>
      </c>
      <c r="AE35" s="56">
        <v>135627</v>
      </c>
      <c r="AF35" s="56">
        <v>498299</v>
      </c>
      <c r="AG35" s="59">
        <f>Table13[[#This Row],[Total FTE - Editorial]]+Table13[[#This Row],[Total FTE - Non-Editorial]]</f>
        <v>16.5</v>
      </c>
      <c r="AH35" s="59">
        <f>Table13[[#This Row],[FTE Salaried - Editorial]]+Table13[[#This Row],[FTE Contractors - Editorial]]</f>
        <v>11.5</v>
      </c>
      <c r="AI35" s="57">
        <v>11.5</v>
      </c>
      <c r="AJ35" s="57">
        <v>0</v>
      </c>
      <c r="AK35" s="60">
        <f>Table13[[#This Row],[FTE Salaried - Non-Editorial]]+Table13[[#This Row],[FTE Contractors - Non-Editorial]]</f>
        <v>5</v>
      </c>
      <c r="AL35" s="57">
        <v>5</v>
      </c>
      <c r="AM35" s="57">
        <v>0</v>
      </c>
      <c r="AN35" s="54" t="s">
        <v>352</v>
      </c>
      <c r="AO35" s="54" t="s">
        <v>391</v>
      </c>
      <c r="AP35" s="54" t="s">
        <v>392</v>
      </c>
      <c r="AQ35" s="57">
        <v>225000</v>
      </c>
      <c r="AR35" s="57">
        <v>26596</v>
      </c>
      <c r="AS35" s="57">
        <v>50000</v>
      </c>
      <c r="AT35" s="57">
        <v>1</v>
      </c>
      <c r="AU35" s="57">
        <v>0</v>
      </c>
      <c r="AV35" s="57">
        <v>0</v>
      </c>
      <c r="AW35" s="57">
        <v>0</v>
      </c>
      <c r="AX35" s="57"/>
      <c r="AY35" s="57">
        <v>16540</v>
      </c>
    </row>
    <row r="36" spans="1:51" x14ac:dyDescent="0.2">
      <c r="A36" s="54">
        <v>3066</v>
      </c>
      <c r="B36" s="54">
        <v>2007</v>
      </c>
      <c r="C36" s="91" t="s">
        <v>82</v>
      </c>
      <c r="D36" s="54" t="s">
        <v>7</v>
      </c>
      <c r="E36" s="54" t="s">
        <v>78</v>
      </c>
      <c r="F36" s="54" t="str">
        <f>_xlfn.CONCAT(Table13[[#This Row],[Geographic Scope]],": ",Table13[[#This Row],[Sub-Type/Focus]])</f>
        <v>Local: Multiple Related Topics</v>
      </c>
      <c r="G36" s="54" t="str">
        <f>_xlfn.CONCAT(Table13[[#This Row],[Geographic Scope]],": ",Table13[[#This Row],[Sub-Type/Focus]],": ",Table13[[#This Row],[Content Type]])</f>
        <v>Local: Multiple Related Topics: Current News &amp; Events</v>
      </c>
      <c r="H36" s="54" t="str">
        <f>_xlfn.CONCAT(Table13[[#This Row],[Geographic Scope]],": ",Table13[[#This Row],[Content Type]])</f>
        <v>Local: Current News &amp; Events</v>
      </c>
      <c r="I36" s="55">
        <f>Table13[[#This Row],[Total Contributed Income]]+Table13[[#This Row],[Total Earned Income]]</f>
        <v>53568</v>
      </c>
      <c r="J36" s="55">
        <f>Table13[[#This Row],[Cont. Income - Foundation]]+Table13[[#This Row],[Cont. Income - Membership]]+Table13[[#This Row],[Cont. Income - Small Donors]]+Table13[[#This Row],[Cont. Income - Med. Donors]]+Table13[[#This Row],[Cont. Income - Major Donors]]+Table13[[#This Row],[Cont. Income - Other]]</f>
        <v>38568</v>
      </c>
      <c r="K36" s="55">
        <f>Table13[[#This Row],[Earned Income - Advertising]]+Table13[[#This Row],[Earned Income - Sponsorships/Underwriting]]+Table13[[#This Row],[Earned Income - Events]]+Table13[[#This Row],[Earned Income - Subscriptions]]+Table13[[#This Row],[Earned Income - Syndication]]+Table13[[#This Row],[Earned Income - Other]]</f>
        <v>15000</v>
      </c>
      <c r="L36" s="56">
        <v>22500</v>
      </c>
      <c r="M36" s="56">
        <v>0</v>
      </c>
      <c r="N36" s="71">
        <f>SUM(Table13[[#This Row],[Cont. Income - Small Donors]:[Cont. Income - Major Donors]])</f>
        <v>16068</v>
      </c>
      <c r="O36" s="56">
        <v>10068</v>
      </c>
      <c r="P36" s="56">
        <v>1000</v>
      </c>
      <c r="Q36" s="56">
        <v>5000</v>
      </c>
      <c r="R36" s="56">
        <v>0</v>
      </c>
      <c r="T36" s="56">
        <v>0</v>
      </c>
      <c r="U36" s="56">
        <v>15000</v>
      </c>
      <c r="V36" s="56">
        <v>0</v>
      </c>
      <c r="W36" s="56">
        <v>0</v>
      </c>
      <c r="X36" s="56">
        <v>0</v>
      </c>
      <c r="Y36" s="56">
        <v>0</v>
      </c>
      <c r="AA36" s="55">
        <f>Table13[[#This Row],[Expenses - Editorial]]+Table13[[#This Row],[Expenses - Revenue Generation]]+Table13[[#This Row],[Expenses - Tech]]+Table13[[#This Row],[Expenses - Admin]]</f>
        <v>82574</v>
      </c>
      <c r="AB36" s="56">
        <v>51074</v>
      </c>
      <c r="AC36" s="71">
        <f>SUM(Table13[[#This Row],[Expenses - Revenue Generation]:[Expenses - Admin]])</f>
        <v>31500</v>
      </c>
      <c r="AD36" s="56">
        <v>9000</v>
      </c>
      <c r="AE36" s="56">
        <v>15000</v>
      </c>
      <c r="AF36" s="56">
        <v>7500</v>
      </c>
      <c r="AG36" s="59">
        <f>Table13[[#This Row],[Total FTE - Editorial]]+Table13[[#This Row],[Total FTE - Non-Editorial]]</f>
        <v>2.5</v>
      </c>
      <c r="AH36" s="59">
        <f>Table13[[#This Row],[FTE Salaried - Editorial]]+Table13[[#This Row],[FTE Contractors - Editorial]]</f>
        <v>2.5</v>
      </c>
      <c r="AI36" s="57">
        <v>0.5</v>
      </c>
      <c r="AJ36" s="57">
        <v>2</v>
      </c>
      <c r="AK36" s="60">
        <f>Table13[[#This Row],[FTE Salaried - Non-Editorial]]+Table13[[#This Row],[FTE Contractors - Non-Editorial]]</f>
        <v>0</v>
      </c>
      <c r="AL36" s="57">
        <v>0</v>
      </c>
      <c r="AM36" s="57">
        <v>0</v>
      </c>
      <c r="AN36" s="54" t="s">
        <v>352</v>
      </c>
      <c r="AO36" s="54" t="s">
        <v>393</v>
      </c>
      <c r="AQ36" s="57">
        <v>2000</v>
      </c>
      <c r="AR36" s="57">
        <v>5000</v>
      </c>
      <c r="AS36" s="57">
        <v>0</v>
      </c>
      <c r="AT36" s="57">
        <v>0</v>
      </c>
      <c r="AU36" s="57">
        <v>0</v>
      </c>
      <c r="AV36" s="57">
        <v>0</v>
      </c>
      <c r="AW36" s="57">
        <v>0</v>
      </c>
      <c r="AX36" s="57">
        <v>0</v>
      </c>
      <c r="AY36" s="57">
        <v>0</v>
      </c>
    </row>
    <row r="37" spans="1:51" x14ac:dyDescent="0.2">
      <c r="A37" s="54">
        <v>6817</v>
      </c>
      <c r="B37" s="54">
        <v>2018</v>
      </c>
      <c r="C37" s="91" t="s">
        <v>82</v>
      </c>
      <c r="D37" s="54" t="s">
        <v>7</v>
      </c>
      <c r="E37" s="54" t="s">
        <v>78</v>
      </c>
      <c r="F37" s="54" t="str">
        <f>_xlfn.CONCAT(Table13[[#This Row],[Geographic Scope]],": ",Table13[[#This Row],[Sub-Type/Focus]])</f>
        <v>Local: Multiple Related Topics</v>
      </c>
      <c r="G37" s="54" t="str">
        <f>_xlfn.CONCAT(Table13[[#This Row],[Geographic Scope]],": ",Table13[[#This Row],[Sub-Type/Focus]],": ",Table13[[#This Row],[Content Type]])</f>
        <v>Local: Multiple Related Topics: Current News &amp; Events</v>
      </c>
      <c r="H37" s="54" t="str">
        <f>_xlfn.CONCAT(Table13[[#This Row],[Geographic Scope]],": ",Table13[[#This Row],[Content Type]])</f>
        <v>Local: Current News &amp; Events</v>
      </c>
      <c r="I37" s="55">
        <f>Table13[[#This Row],[Total Contributed Income]]+Table13[[#This Row],[Total Earned Income]]</f>
        <v>2157860</v>
      </c>
      <c r="J37" s="55">
        <f>Table13[[#This Row],[Cont. Income - Foundation]]+Table13[[#This Row],[Cont. Income - Membership]]+Table13[[#This Row],[Cont. Income - Small Donors]]+Table13[[#This Row],[Cont. Income - Med. Donors]]+Table13[[#This Row],[Cont. Income - Major Donors]]+Table13[[#This Row],[Cont. Income - Other]]</f>
        <v>2113360</v>
      </c>
      <c r="K37" s="55">
        <f>Table13[[#This Row],[Earned Income - Advertising]]+Table13[[#This Row],[Earned Income - Sponsorships/Underwriting]]+Table13[[#This Row],[Earned Income - Events]]+Table13[[#This Row],[Earned Income - Subscriptions]]+Table13[[#This Row],[Earned Income - Syndication]]+Table13[[#This Row],[Earned Income - Other]]</f>
        <v>44500</v>
      </c>
      <c r="L37" s="56">
        <v>2113360</v>
      </c>
      <c r="M37" s="56">
        <v>0</v>
      </c>
      <c r="N37" s="71">
        <f>SUM(Table13[[#This Row],[Cont. Income - Small Donors]:[Cont. Income - Major Donors]])</f>
        <v>0</v>
      </c>
      <c r="O37" s="56">
        <v>0</v>
      </c>
      <c r="P37" s="56">
        <v>0</v>
      </c>
      <c r="Q37" s="56">
        <v>0</v>
      </c>
      <c r="R37" s="56">
        <v>0</v>
      </c>
      <c r="T37" s="56">
        <v>0</v>
      </c>
      <c r="U37" s="56">
        <v>0</v>
      </c>
      <c r="V37" s="56">
        <v>0</v>
      </c>
      <c r="W37" s="56">
        <v>0</v>
      </c>
      <c r="X37" s="56">
        <v>0</v>
      </c>
      <c r="Y37" s="56">
        <v>44500</v>
      </c>
      <c r="Z37" s="54" t="s">
        <v>394</v>
      </c>
      <c r="AA37" s="55">
        <f>Table13[[#This Row],[Expenses - Editorial]]+Table13[[#This Row],[Expenses - Revenue Generation]]+Table13[[#This Row],[Expenses - Tech]]+Table13[[#This Row],[Expenses - Admin]]</f>
        <v>1938500</v>
      </c>
      <c r="AB37" s="56">
        <v>585000</v>
      </c>
      <c r="AC37" s="71">
        <f>SUM(Table13[[#This Row],[Expenses - Revenue Generation]:[Expenses - Admin]])</f>
        <v>1353500</v>
      </c>
      <c r="AD37" s="56">
        <v>0</v>
      </c>
      <c r="AE37" s="56">
        <v>155000</v>
      </c>
      <c r="AF37" s="56">
        <v>1198500</v>
      </c>
      <c r="AG37" s="59">
        <f>Table13[[#This Row],[Total FTE - Editorial]]+Table13[[#This Row],[Total FTE - Non-Editorial]]</f>
        <v>13</v>
      </c>
      <c r="AH37" s="59">
        <f>Table13[[#This Row],[FTE Salaried - Editorial]]+Table13[[#This Row],[FTE Contractors - Editorial]]</f>
        <v>8</v>
      </c>
      <c r="AI37" s="57">
        <v>8</v>
      </c>
      <c r="AJ37" s="57">
        <v>0</v>
      </c>
      <c r="AK37" s="60">
        <f>Table13[[#This Row],[FTE Salaried - Non-Editorial]]+Table13[[#This Row],[FTE Contractors - Non-Editorial]]</f>
        <v>5</v>
      </c>
      <c r="AL37" s="57">
        <v>5</v>
      </c>
      <c r="AM37" s="57">
        <v>0</v>
      </c>
      <c r="AN37" s="54" t="s">
        <v>347</v>
      </c>
      <c r="AO37" s="54" t="s">
        <v>395</v>
      </c>
      <c r="AP37" s="54" t="s">
        <v>396</v>
      </c>
      <c r="AQ37" s="57">
        <v>1300</v>
      </c>
      <c r="AR37" s="57">
        <v>0</v>
      </c>
      <c r="AS37" s="57">
        <v>120000</v>
      </c>
      <c r="AT37" s="57">
        <v>2</v>
      </c>
      <c r="AU37" s="57">
        <v>0</v>
      </c>
      <c r="AV37" s="57">
        <v>0</v>
      </c>
      <c r="AW37" s="57">
        <v>0</v>
      </c>
      <c r="AX37" s="57"/>
      <c r="AY37" s="57">
        <v>0</v>
      </c>
    </row>
    <row r="38" spans="1:51" x14ac:dyDescent="0.2">
      <c r="A38" s="54">
        <v>6836</v>
      </c>
      <c r="B38" s="54">
        <v>2020</v>
      </c>
      <c r="C38" s="91" t="s">
        <v>82</v>
      </c>
      <c r="D38" s="54" t="s">
        <v>7</v>
      </c>
      <c r="E38" s="54" t="s">
        <v>78</v>
      </c>
      <c r="F38" s="54" t="str">
        <f>_xlfn.CONCAT(Table13[[#This Row],[Geographic Scope]],": ",Table13[[#This Row],[Sub-Type/Focus]])</f>
        <v>Local: Multiple Related Topics</v>
      </c>
      <c r="G38" s="54" t="str">
        <f>_xlfn.CONCAT(Table13[[#This Row],[Geographic Scope]],": ",Table13[[#This Row],[Sub-Type/Focus]],": ",Table13[[#This Row],[Content Type]])</f>
        <v>Local: Multiple Related Topics: Current News &amp; Events</v>
      </c>
      <c r="H38" s="54" t="str">
        <f>_xlfn.CONCAT(Table13[[#This Row],[Geographic Scope]],": ",Table13[[#This Row],[Content Type]])</f>
        <v>Local: Current News &amp; Events</v>
      </c>
      <c r="I38" s="55">
        <f>Table13[[#This Row],[Total Contributed Income]]+Table13[[#This Row],[Total Earned Income]]</f>
        <v>0</v>
      </c>
      <c r="J38" s="55">
        <f>Table13[[#This Row],[Cont. Income - Foundation]]+Table13[[#This Row],[Cont. Income - Membership]]+Table13[[#This Row],[Cont. Income - Small Donors]]+Table13[[#This Row],[Cont. Income - Med. Donors]]+Table13[[#This Row],[Cont. Income - Major Donors]]+Table13[[#This Row],[Cont. Income - Other]]</f>
        <v>0</v>
      </c>
      <c r="K38" s="55">
        <f>Table13[[#This Row],[Earned Income - Advertising]]+Table13[[#This Row],[Earned Income - Sponsorships/Underwriting]]+Table13[[#This Row],[Earned Income - Events]]+Table13[[#This Row],[Earned Income - Subscriptions]]+Table13[[#This Row],[Earned Income - Syndication]]+Table13[[#This Row],[Earned Income - Other]]</f>
        <v>0</v>
      </c>
      <c r="L38" s="56"/>
      <c r="M38" s="56"/>
      <c r="N38" s="71">
        <f>SUM(Table13[[#This Row],[Cont. Income - Small Donors]:[Cont. Income - Major Donors]])</f>
        <v>0</v>
      </c>
      <c r="O38" s="56"/>
      <c r="P38" s="56"/>
      <c r="Q38" s="56"/>
      <c r="R38" s="56"/>
      <c r="T38" s="56"/>
      <c r="U38" s="56"/>
      <c r="V38" s="56"/>
      <c r="W38" s="56"/>
      <c r="X38" s="56"/>
      <c r="Y38" s="56"/>
      <c r="AA38" s="55">
        <f>Table13[[#This Row],[Expenses - Editorial]]+Table13[[#This Row],[Expenses - Revenue Generation]]+Table13[[#This Row],[Expenses - Tech]]+Table13[[#This Row],[Expenses - Admin]]</f>
        <v>0</v>
      </c>
      <c r="AB38" s="57"/>
      <c r="AC38" s="71">
        <f>SUM(Table13[[#This Row],[Expenses - Revenue Generation]:[Expenses - Admin]])</f>
        <v>0</v>
      </c>
      <c r="AD38" s="57"/>
      <c r="AE38" s="57"/>
      <c r="AF38" s="57"/>
      <c r="AG38" s="59">
        <f>Table13[[#This Row],[Total FTE - Editorial]]+Table13[[#This Row],[Total FTE - Non-Editorial]]</f>
        <v>1</v>
      </c>
      <c r="AH38" s="59">
        <f>Table13[[#This Row],[FTE Salaried - Editorial]]+Table13[[#This Row],[FTE Contractors - Editorial]]</f>
        <v>0.5</v>
      </c>
      <c r="AI38" s="57">
        <v>0.5</v>
      </c>
      <c r="AJ38" s="57">
        <v>0</v>
      </c>
      <c r="AK38" s="60">
        <f>Table13[[#This Row],[FTE Salaried - Non-Editorial]]+Table13[[#This Row],[FTE Contractors - Non-Editorial]]</f>
        <v>0.5</v>
      </c>
      <c r="AL38" s="57">
        <v>0</v>
      </c>
      <c r="AM38" s="57">
        <v>0.5</v>
      </c>
      <c r="AN38" s="54" t="s">
        <v>351</v>
      </c>
      <c r="AQ38" s="57">
        <v>11346</v>
      </c>
      <c r="AR38" s="57">
        <v>7300</v>
      </c>
      <c r="AS38" s="57">
        <v>0</v>
      </c>
      <c r="AT38" s="57">
        <v>0</v>
      </c>
      <c r="AU38" s="57">
        <v>0</v>
      </c>
      <c r="AV38" s="57">
        <v>0</v>
      </c>
      <c r="AW38" s="57">
        <v>0</v>
      </c>
      <c r="AX38" s="57"/>
      <c r="AY38" s="57">
        <v>0</v>
      </c>
    </row>
    <row r="39" spans="1:51" x14ac:dyDescent="0.2">
      <c r="A39" s="54">
        <v>6850</v>
      </c>
      <c r="B39" s="54">
        <v>2020</v>
      </c>
      <c r="C39" s="91" t="s">
        <v>82</v>
      </c>
      <c r="D39" s="54" t="s">
        <v>7</v>
      </c>
      <c r="E39" s="54" t="s">
        <v>78</v>
      </c>
      <c r="F39" s="54" t="str">
        <f>_xlfn.CONCAT(Table13[[#This Row],[Geographic Scope]],": ",Table13[[#This Row],[Sub-Type/Focus]])</f>
        <v>Local: Multiple Related Topics</v>
      </c>
      <c r="G39" s="54" t="str">
        <f>_xlfn.CONCAT(Table13[[#This Row],[Geographic Scope]],": ",Table13[[#This Row],[Sub-Type/Focus]],": ",Table13[[#This Row],[Content Type]])</f>
        <v>Local: Multiple Related Topics: Current News &amp; Events</v>
      </c>
      <c r="H39" s="54" t="str">
        <f>_xlfn.CONCAT(Table13[[#This Row],[Geographic Scope]],": ",Table13[[#This Row],[Content Type]])</f>
        <v>Local: Current News &amp; Events</v>
      </c>
      <c r="I39" s="55">
        <f>Table13[[#This Row],[Total Contributed Income]]+Table13[[#This Row],[Total Earned Income]]</f>
        <v>0</v>
      </c>
      <c r="J39" s="55">
        <f>Table13[[#This Row],[Cont. Income - Foundation]]+Table13[[#This Row],[Cont. Income - Membership]]+Table13[[#This Row],[Cont. Income - Small Donors]]+Table13[[#This Row],[Cont. Income - Med. Donors]]+Table13[[#This Row],[Cont. Income - Major Donors]]+Table13[[#This Row],[Cont. Income - Other]]</f>
        <v>0</v>
      </c>
      <c r="K39" s="55">
        <f>Table13[[#This Row],[Earned Income - Advertising]]+Table13[[#This Row],[Earned Income - Sponsorships/Underwriting]]+Table13[[#This Row],[Earned Income - Events]]+Table13[[#This Row],[Earned Income - Subscriptions]]+Table13[[#This Row],[Earned Income - Syndication]]+Table13[[#This Row],[Earned Income - Other]]</f>
        <v>0</v>
      </c>
      <c r="L39" s="56"/>
      <c r="M39" s="56"/>
      <c r="N39" s="71">
        <f>SUM(Table13[[#This Row],[Cont. Income - Small Donors]:[Cont. Income - Major Donors]])</f>
        <v>0</v>
      </c>
      <c r="O39" s="56"/>
      <c r="P39" s="56"/>
      <c r="Q39" s="56"/>
      <c r="R39" s="56"/>
      <c r="T39" s="56"/>
      <c r="U39" s="56"/>
      <c r="V39" s="56"/>
      <c r="W39" s="56"/>
      <c r="X39" s="56"/>
      <c r="Y39" s="56"/>
      <c r="AA39" s="55">
        <f>Table13[[#This Row],[Expenses - Editorial]]+Table13[[#This Row],[Expenses - Revenue Generation]]+Table13[[#This Row],[Expenses - Tech]]+Table13[[#This Row],[Expenses - Admin]]</f>
        <v>0</v>
      </c>
      <c r="AB39" s="57"/>
      <c r="AC39" s="71">
        <f>SUM(Table13[[#This Row],[Expenses - Revenue Generation]:[Expenses - Admin]])</f>
        <v>0</v>
      </c>
      <c r="AD39" s="57"/>
      <c r="AE39" s="57"/>
      <c r="AF39" s="57"/>
      <c r="AG39" s="59">
        <f>Table13[[#This Row],[Total FTE - Editorial]]+Table13[[#This Row],[Total FTE - Non-Editorial]]</f>
        <v>4.2</v>
      </c>
      <c r="AH39" s="59">
        <f>Table13[[#This Row],[FTE Salaried - Editorial]]+Table13[[#This Row],[FTE Contractors - Editorial]]</f>
        <v>4.2</v>
      </c>
      <c r="AI39" s="57">
        <v>0</v>
      </c>
      <c r="AJ39" s="57">
        <v>4.2</v>
      </c>
      <c r="AK39" s="60">
        <f>Table13[[#This Row],[FTE Salaried - Non-Editorial]]+Table13[[#This Row],[FTE Contractors - Non-Editorial]]</f>
        <v>0</v>
      </c>
      <c r="AL39" s="57">
        <v>0</v>
      </c>
      <c r="AM39" s="57">
        <v>0</v>
      </c>
      <c r="AN39" s="54" t="s">
        <v>351</v>
      </c>
      <c r="AO39" s="54" t="s">
        <v>356</v>
      </c>
      <c r="AP39" s="54" t="s">
        <v>397</v>
      </c>
      <c r="AQ39" s="57">
        <v>200</v>
      </c>
      <c r="AR39" s="57">
        <v>350</v>
      </c>
      <c r="AS39" s="57">
        <v>0</v>
      </c>
      <c r="AT39" s="57">
        <v>0</v>
      </c>
      <c r="AU39" s="57">
        <v>0</v>
      </c>
      <c r="AV39" s="57">
        <v>0</v>
      </c>
      <c r="AW39" s="57">
        <v>0</v>
      </c>
      <c r="AX39" s="57"/>
      <c r="AY39" s="57">
        <v>0</v>
      </c>
    </row>
    <row r="40" spans="1:51" x14ac:dyDescent="0.2">
      <c r="A40" s="54">
        <v>361</v>
      </c>
      <c r="B40" s="54">
        <v>2018</v>
      </c>
      <c r="C40" s="91" t="s">
        <v>82</v>
      </c>
      <c r="D40" s="54" t="s">
        <v>7</v>
      </c>
      <c r="E40" s="54" t="s">
        <v>79</v>
      </c>
      <c r="F40" s="54" t="str">
        <f>_xlfn.CONCAT(Table13[[#This Row],[Geographic Scope]],": ",Table13[[#This Row],[Sub-Type/Focus]])</f>
        <v>Local: Single-Topic</v>
      </c>
      <c r="G40" s="54" t="str">
        <f>_xlfn.CONCAT(Table13[[#This Row],[Geographic Scope]],": ",Table13[[#This Row],[Sub-Type/Focus]],": ",Table13[[#This Row],[Content Type]])</f>
        <v>Local: Single-Topic: Current News &amp; Events</v>
      </c>
      <c r="H40" s="54" t="str">
        <f>_xlfn.CONCAT(Table13[[#This Row],[Geographic Scope]],": ",Table13[[#This Row],[Content Type]])</f>
        <v>Local: Current News &amp; Events</v>
      </c>
      <c r="I40" s="55">
        <f>Table13[[#This Row],[Total Contributed Income]]+Table13[[#This Row],[Total Earned Income]]</f>
        <v>490749.74</v>
      </c>
      <c r="J40" s="55">
        <f>Table13[[#This Row],[Cont. Income - Foundation]]+Table13[[#This Row],[Cont. Income - Membership]]+Table13[[#This Row],[Cont. Income - Small Donors]]+Table13[[#This Row],[Cont. Income - Med. Donors]]+Table13[[#This Row],[Cont. Income - Major Donors]]+Table13[[#This Row],[Cont. Income - Other]]</f>
        <v>477740</v>
      </c>
      <c r="K40" s="55">
        <f>Table13[[#This Row],[Earned Income - Advertising]]+Table13[[#This Row],[Earned Income - Sponsorships/Underwriting]]+Table13[[#This Row],[Earned Income - Events]]+Table13[[#This Row],[Earned Income - Subscriptions]]+Table13[[#This Row],[Earned Income - Syndication]]+Table13[[#This Row],[Earned Income - Other]]</f>
        <v>13009.74</v>
      </c>
      <c r="L40" s="56">
        <v>452367</v>
      </c>
      <c r="M40" s="56">
        <v>5200</v>
      </c>
      <c r="N40" s="71">
        <f>SUM(Table13[[#This Row],[Cont. Income - Small Donors]:[Cont. Income - Major Donors]])</f>
        <v>20173</v>
      </c>
      <c r="O40" s="56">
        <v>11673</v>
      </c>
      <c r="P40" s="56">
        <v>1000</v>
      </c>
      <c r="Q40" s="56">
        <v>7500</v>
      </c>
      <c r="R40" s="56">
        <v>0</v>
      </c>
      <c r="T40" s="56">
        <v>0</v>
      </c>
      <c r="U40" s="56">
        <v>0</v>
      </c>
      <c r="V40" s="56">
        <v>0</v>
      </c>
      <c r="W40" s="56">
        <v>0</v>
      </c>
      <c r="X40" s="56">
        <v>9009.74</v>
      </c>
      <c r="Y40" s="56">
        <v>4000</v>
      </c>
      <c r="Z40" s="54" t="s">
        <v>398</v>
      </c>
      <c r="AA40" s="55">
        <f>Table13[[#This Row],[Expenses - Editorial]]+Table13[[#This Row],[Expenses - Revenue Generation]]+Table13[[#This Row],[Expenses - Tech]]+Table13[[#This Row],[Expenses - Admin]]</f>
        <v>247578</v>
      </c>
      <c r="AB40" s="56">
        <v>213359</v>
      </c>
      <c r="AC40" s="71">
        <f>SUM(Table13[[#This Row],[Expenses - Revenue Generation]:[Expenses - Admin]])</f>
        <v>34219</v>
      </c>
      <c r="AD40" s="56">
        <v>10552</v>
      </c>
      <c r="AE40" s="56">
        <v>11537</v>
      </c>
      <c r="AF40" s="56">
        <v>12130</v>
      </c>
      <c r="AG40" s="59">
        <f>Table13[[#This Row],[Total FTE - Editorial]]+Table13[[#This Row],[Total FTE - Non-Editorial]]</f>
        <v>3</v>
      </c>
      <c r="AH40" s="59">
        <f>Table13[[#This Row],[FTE Salaried - Editorial]]+Table13[[#This Row],[FTE Contractors - Editorial]]</f>
        <v>3</v>
      </c>
      <c r="AI40" s="57">
        <v>3</v>
      </c>
      <c r="AJ40" s="57">
        <v>0</v>
      </c>
      <c r="AK40" s="60">
        <f>Table13[[#This Row],[FTE Salaried - Non-Editorial]]+Table13[[#This Row],[FTE Contractors - Non-Editorial]]</f>
        <v>0</v>
      </c>
      <c r="AL40" s="57">
        <v>0</v>
      </c>
      <c r="AM40" s="57">
        <v>0</v>
      </c>
      <c r="AN40" s="54" t="s">
        <v>351</v>
      </c>
      <c r="AO40" s="54" t="s">
        <v>356</v>
      </c>
      <c r="AP40" s="54" t="s">
        <v>399</v>
      </c>
      <c r="AQ40" s="57">
        <v>41166</v>
      </c>
      <c r="AR40" s="57">
        <v>9523</v>
      </c>
      <c r="AS40" s="57">
        <v>0</v>
      </c>
      <c r="AT40" s="57">
        <v>0</v>
      </c>
      <c r="AU40" s="57">
        <v>0</v>
      </c>
      <c r="AV40" s="57">
        <v>0</v>
      </c>
      <c r="AW40" s="57">
        <v>0</v>
      </c>
      <c r="AX40" s="57"/>
      <c r="AY40" s="57">
        <v>0</v>
      </c>
    </row>
    <row r="41" spans="1:51" x14ac:dyDescent="0.2">
      <c r="A41" s="54">
        <v>493</v>
      </c>
      <c r="B41" s="54">
        <v>2018</v>
      </c>
      <c r="C41" s="91" t="s">
        <v>80</v>
      </c>
      <c r="D41" s="54" t="s">
        <v>7</v>
      </c>
      <c r="E41" s="54" t="s">
        <v>77</v>
      </c>
      <c r="F41" s="54" t="str">
        <f>_xlfn.CONCAT(Table13[[#This Row],[Geographic Scope]],": ",Table13[[#This Row],[Sub-Type/Focus]])</f>
        <v>Local: General</v>
      </c>
      <c r="G41" s="54" t="str">
        <f>_xlfn.CONCAT(Table13[[#This Row],[Geographic Scope]],": ",Table13[[#This Row],[Sub-Type/Focus]],": ",Table13[[#This Row],[Content Type]])</f>
        <v>Local: General: Explanatory &amp; Analysis</v>
      </c>
      <c r="H41" s="54" t="str">
        <f>_xlfn.CONCAT(Table13[[#This Row],[Geographic Scope]],": ",Table13[[#This Row],[Content Type]])</f>
        <v>Local: Explanatory &amp; Analysis</v>
      </c>
      <c r="I41" s="55">
        <f>Table13[[#This Row],[Total Contributed Income]]+Table13[[#This Row],[Total Earned Income]]</f>
        <v>64245</v>
      </c>
      <c r="J41" s="55">
        <f>Table13[[#This Row],[Cont. Income - Foundation]]+Table13[[#This Row],[Cont. Income - Membership]]+Table13[[#This Row],[Cont. Income - Small Donors]]+Table13[[#This Row],[Cont. Income - Med. Donors]]+Table13[[#This Row],[Cont. Income - Major Donors]]+Table13[[#This Row],[Cont. Income - Other]]</f>
        <v>48495</v>
      </c>
      <c r="K41" s="55">
        <f>Table13[[#This Row],[Earned Income - Advertising]]+Table13[[#This Row],[Earned Income - Sponsorships/Underwriting]]+Table13[[#This Row],[Earned Income - Events]]+Table13[[#This Row],[Earned Income - Subscriptions]]+Table13[[#This Row],[Earned Income - Syndication]]+Table13[[#This Row],[Earned Income - Other]]</f>
        <v>15750</v>
      </c>
      <c r="L41" s="56">
        <v>23500</v>
      </c>
      <c r="M41" s="56">
        <v>0</v>
      </c>
      <c r="N41" s="71">
        <f>SUM(Table13[[#This Row],[Cont. Income - Small Donors]:[Cont. Income - Major Donors]])</f>
        <v>24995</v>
      </c>
      <c r="O41" s="56">
        <v>15995</v>
      </c>
      <c r="P41" s="56">
        <v>9000</v>
      </c>
      <c r="Q41" s="56">
        <v>0</v>
      </c>
      <c r="R41" s="56">
        <v>0</v>
      </c>
      <c r="S41" s="55" t="s">
        <v>400</v>
      </c>
      <c r="T41" s="56">
        <v>12000</v>
      </c>
      <c r="U41" s="56">
        <v>0</v>
      </c>
      <c r="V41" s="56">
        <v>3750</v>
      </c>
      <c r="W41" s="56">
        <v>0</v>
      </c>
      <c r="X41" s="56">
        <v>0</v>
      </c>
      <c r="Y41" s="56">
        <v>0</v>
      </c>
      <c r="AA41" s="55">
        <f>Table13[[#This Row],[Expenses - Editorial]]+Table13[[#This Row],[Expenses - Revenue Generation]]+Table13[[#This Row],[Expenses - Tech]]+Table13[[#This Row],[Expenses - Admin]]</f>
        <v>37947</v>
      </c>
      <c r="AB41" s="56">
        <v>29163</v>
      </c>
      <c r="AC41" s="71">
        <f>SUM(Table13[[#This Row],[Expenses - Revenue Generation]:[Expenses - Admin]])</f>
        <v>8784</v>
      </c>
      <c r="AD41" s="56">
        <v>0</v>
      </c>
      <c r="AE41" s="56">
        <v>4426</v>
      </c>
      <c r="AF41" s="56">
        <v>4358</v>
      </c>
      <c r="AG41" s="59">
        <f>Table13[[#This Row],[Total FTE - Editorial]]+Table13[[#This Row],[Total FTE - Non-Editorial]]</f>
        <v>2</v>
      </c>
      <c r="AH41" s="59">
        <f>Table13[[#This Row],[FTE Salaried - Editorial]]+Table13[[#This Row],[FTE Contractors - Editorial]]</f>
        <v>2</v>
      </c>
      <c r="AI41" s="57">
        <v>0</v>
      </c>
      <c r="AJ41" s="57">
        <v>2</v>
      </c>
      <c r="AK41" s="60">
        <f>Table13[[#This Row],[FTE Salaried - Non-Editorial]]+Table13[[#This Row],[FTE Contractors - Non-Editorial]]</f>
        <v>0</v>
      </c>
      <c r="AL41" s="57">
        <v>0</v>
      </c>
      <c r="AM41" s="57">
        <v>0</v>
      </c>
      <c r="AN41" s="54" t="s">
        <v>351</v>
      </c>
      <c r="AQ41" s="57">
        <v>14665</v>
      </c>
      <c r="AR41" s="57">
        <v>3020</v>
      </c>
      <c r="AS41" s="57">
        <v>0</v>
      </c>
      <c r="AT41" s="57">
        <v>0</v>
      </c>
      <c r="AU41" s="57">
        <v>0</v>
      </c>
      <c r="AV41" s="57">
        <v>0</v>
      </c>
      <c r="AW41" s="57">
        <v>0</v>
      </c>
      <c r="AX41" s="57"/>
      <c r="AY41" s="57">
        <v>0</v>
      </c>
    </row>
    <row r="42" spans="1:51" x14ac:dyDescent="0.2">
      <c r="A42" s="54">
        <v>507</v>
      </c>
      <c r="B42" s="54">
        <v>2017</v>
      </c>
      <c r="C42" s="91" t="s">
        <v>80</v>
      </c>
      <c r="D42" s="54" t="s">
        <v>7</v>
      </c>
      <c r="E42" s="54" t="s">
        <v>77</v>
      </c>
      <c r="F42" s="54" t="str">
        <f>_xlfn.CONCAT(Table13[[#This Row],[Geographic Scope]],": ",Table13[[#This Row],[Sub-Type/Focus]])</f>
        <v>Local: General</v>
      </c>
      <c r="G42" s="54" t="str">
        <f>_xlfn.CONCAT(Table13[[#This Row],[Geographic Scope]],": ",Table13[[#This Row],[Sub-Type/Focus]],": ",Table13[[#This Row],[Content Type]])</f>
        <v>Local: General: Explanatory &amp; Analysis</v>
      </c>
      <c r="H42" s="54" t="str">
        <f>_xlfn.CONCAT(Table13[[#This Row],[Geographic Scope]],": ",Table13[[#This Row],[Content Type]])</f>
        <v>Local: Explanatory &amp; Analysis</v>
      </c>
      <c r="I42" s="55">
        <f>Table13[[#This Row],[Total Contributed Income]]+Table13[[#This Row],[Total Earned Income]]</f>
        <v>257536.49</v>
      </c>
      <c r="J42" s="55">
        <f>Table13[[#This Row],[Cont. Income - Foundation]]+Table13[[#This Row],[Cont. Income - Membership]]+Table13[[#This Row],[Cont. Income - Small Donors]]+Table13[[#This Row],[Cont. Income - Med. Donors]]+Table13[[#This Row],[Cont. Income - Major Donors]]+Table13[[#This Row],[Cont. Income - Other]]</f>
        <v>187329</v>
      </c>
      <c r="K42" s="55">
        <f>Table13[[#This Row],[Earned Income - Advertising]]+Table13[[#This Row],[Earned Income - Sponsorships/Underwriting]]+Table13[[#This Row],[Earned Income - Events]]+Table13[[#This Row],[Earned Income - Subscriptions]]+Table13[[#This Row],[Earned Income - Syndication]]+Table13[[#This Row],[Earned Income - Other]]</f>
        <v>70207.490000000005</v>
      </c>
      <c r="L42" s="56">
        <v>133000</v>
      </c>
      <c r="M42" s="56">
        <v>0</v>
      </c>
      <c r="N42" s="71">
        <f>SUM(Table13[[#This Row],[Cont. Income - Small Donors]:[Cont. Income - Major Donors]])</f>
        <v>54329</v>
      </c>
      <c r="O42" s="56">
        <v>25329</v>
      </c>
      <c r="P42" s="56">
        <v>4000</v>
      </c>
      <c r="Q42" s="56">
        <v>25000</v>
      </c>
      <c r="R42" s="56">
        <v>0</v>
      </c>
      <c r="T42" s="56">
        <v>70207.490000000005</v>
      </c>
      <c r="U42" s="56">
        <v>0</v>
      </c>
      <c r="V42" s="56">
        <v>0</v>
      </c>
      <c r="W42" s="56">
        <v>0</v>
      </c>
      <c r="X42" s="56">
        <v>0</v>
      </c>
      <c r="Y42" s="56">
        <v>0</v>
      </c>
      <c r="AA42" s="55">
        <f>Table13[[#This Row],[Expenses - Editorial]]+Table13[[#This Row],[Expenses - Revenue Generation]]+Table13[[#This Row],[Expenses - Tech]]+Table13[[#This Row],[Expenses - Admin]]</f>
        <v>215000</v>
      </c>
      <c r="AB42" s="56">
        <v>70000</v>
      </c>
      <c r="AC42" s="71">
        <f>SUM(Table13[[#This Row],[Expenses - Revenue Generation]:[Expenses - Admin]])</f>
        <v>145000</v>
      </c>
      <c r="AD42" s="56">
        <v>30000</v>
      </c>
      <c r="AE42" s="56">
        <v>25000</v>
      </c>
      <c r="AF42" s="56">
        <v>90000</v>
      </c>
      <c r="AG42" s="59">
        <f>Table13[[#This Row],[Total FTE - Editorial]]+Table13[[#This Row],[Total FTE - Non-Editorial]]</f>
        <v>4</v>
      </c>
      <c r="AH42" s="59">
        <f>Table13[[#This Row],[FTE Salaried - Editorial]]+Table13[[#This Row],[FTE Contractors - Editorial]]</f>
        <v>3</v>
      </c>
      <c r="AI42" s="57">
        <v>1</v>
      </c>
      <c r="AJ42" s="57">
        <v>2</v>
      </c>
      <c r="AK42" s="60">
        <f>Table13[[#This Row],[FTE Salaried - Non-Editorial]]+Table13[[#This Row],[FTE Contractors - Non-Editorial]]</f>
        <v>1</v>
      </c>
      <c r="AL42" s="57">
        <v>1</v>
      </c>
      <c r="AM42" s="57">
        <v>0</v>
      </c>
      <c r="AN42" s="54" t="s">
        <v>351</v>
      </c>
      <c r="AO42" s="54" t="s">
        <v>401</v>
      </c>
      <c r="AP42" s="54" t="s">
        <v>385</v>
      </c>
      <c r="AQ42" s="57">
        <v>189000</v>
      </c>
      <c r="AR42" s="57">
        <v>8285</v>
      </c>
      <c r="AS42" s="57">
        <v>0</v>
      </c>
      <c r="AT42" s="57">
        <v>0</v>
      </c>
      <c r="AU42" s="57">
        <v>0</v>
      </c>
      <c r="AV42" s="57">
        <v>0</v>
      </c>
      <c r="AW42" s="57">
        <v>0</v>
      </c>
      <c r="AX42" s="57"/>
      <c r="AY42" s="57">
        <v>0</v>
      </c>
    </row>
    <row r="43" spans="1:51" x14ac:dyDescent="0.2">
      <c r="A43" s="54">
        <v>640</v>
      </c>
      <c r="B43" s="54">
        <v>2020</v>
      </c>
      <c r="C43" s="91" t="s">
        <v>80</v>
      </c>
      <c r="D43" s="54" t="s">
        <v>7</v>
      </c>
      <c r="E43" s="54" t="s">
        <v>77</v>
      </c>
      <c r="F43" s="54" t="str">
        <f>_xlfn.CONCAT(Table13[[#This Row],[Geographic Scope]],": ",Table13[[#This Row],[Sub-Type/Focus]])</f>
        <v>Local: General</v>
      </c>
      <c r="G43" s="54" t="str">
        <f>_xlfn.CONCAT(Table13[[#This Row],[Geographic Scope]],": ",Table13[[#This Row],[Sub-Type/Focus]],": ",Table13[[#This Row],[Content Type]])</f>
        <v>Local: General: Explanatory &amp; Analysis</v>
      </c>
      <c r="H43" s="54" t="str">
        <f>_xlfn.CONCAT(Table13[[#This Row],[Geographic Scope]],": ",Table13[[#This Row],[Content Type]])</f>
        <v>Local: Explanatory &amp; Analysis</v>
      </c>
      <c r="I43" s="55">
        <f>Table13[[#This Row],[Total Contributed Income]]+Table13[[#This Row],[Total Earned Income]]</f>
        <v>0</v>
      </c>
      <c r="J43" s="55">
        <f>Table13[[#This Row],[Cont. Income - Foundation]]+Table13[[#This Row],[Cont. Income - Membership]]+Table13[[#This Row],[Cont. Income - Small Donors]]+Table13[[#This Row],[Cont. Income - Med. Donors]]+Table13[[#This Row],[Cont. Income - Major Donors]]+Table13[[#This Row],[Cont. Income - Other]]</f>
        <v>0</v>
      </c>
      <c r="K43" s="55">
        <f>Table13[[#This Row],[Earned Income - Advertising]]+Table13[[#This Row],[Earned Income - Sponsorships/Underwriting]]+Table13[[#This Row],[Earned Income - Events]]+Table13[[#This Row],[Earned Income - Subscriptions]]+Table13[[#This Row],[Earned Income - Syndication]]+Table13[[#This Row],[Earned Income - Other]]</f>
        <v>0</v>
      </c>
      <c r="L43" s="56"/>
      <c r="M43" s="56"/>
      <c r="N43" s="71">
        <f>SUM(Table13[[#This Row],[Cont. Income - Small Donors]:[Cont. Income - Major Donors]])</f>
        <v>0</v>
      </c>
      <c r="O43" s="56"/>
      <c r="P43" s="56"/>
      <c r="Q43" s="56"/>
      <c r="R43" s="56"/>
      <c r="T43" s="56"/>
      <c r="U43" s="56"/>
      <c r="V43" s="56"/>
      <c r="W43" s="56"/>
      <c r="X43" s="56"/>
      <c r="Y43" s="56"/>
      <c r="AA43" s="55">
        <f>Table13[[#This Row],[Expenses - Editorial]]+Table13[[#This Row],[Expenses - Revenue Generation]]+Table13[[#This Row],[Expenses - Tech]]+Table13[[#This Row],[Expenses - Admin]]</f>
        <v>0</v>
      </c>
      <c r="AB43" s="57"/>
      <c r="AC43" s="71">
        <f>SUM(Table13[[#This Row],[Expenses - Revenue Generation]:[Expenses - Admin]])</f>
        <v>0</v>
      </c>
      <c r="AD43" s="57"/>
      <c r="AE43" s="57"/>
      <c r="AF43" s="57"/>
      <c r="AG43" s="59">
        <f>Table13[[#This Row],[Total FTE - Editorial]]+Table13[[#This Row],[Total FTE - Non-Editorial]]</f>
        <v>8</v>
      </c>
      <c r="AH43" s="59">
        <f>Table13[[#This Row],[FTE Salaried - Editorial]]+Table13[[#This Row],[FTE Contractors - Editorial]]</f>
        <v>5</v>
      </c>
      <c r="AI43" s="57">
        <v>5</v>
      </c>
      <c r="AJ43" s="57">
        <v>0</v>
      </c>
      <c r="AK43" s="60">
        <f>Table13[[#This Row],[FTE Salaried - Non-Editorial]]+Table13[[#This Row],[FTE Contractors - Non-Editorial]]</f>
        <v>3</v>
      </c>
      <c r="AL43" s="57">
        <v>1</v>
      </c>
      <c r="AM43" s="57">
        <v>2</v>
      </c>
      <c r="AN43" s="54" t="s">
        <v>351</v>
      </c>
      <c r="AO43" s="54" t="s">
        <v>359</v>
      </c>
      <c r="AQ43" s="57">
        <v>12136</v>
      </c>
      <c r="AR43" s="57">
        <v>4992</v>
      </c>
      <c r="AS43" s="57">
        <v>0</v>
      </c>
      <c r="AT43" s="57">
        <v>0</v>
      </c>
      <c r="AU43" s="57">
        <v>0</v>
      </c>
      <c r="AV43" s="57">
        <v>0</v>
      </c>
      <c r="AW43" s="57">
        <v>0</v>
      </c>
      <c r="AX43" s="57"/>
      <c r="AY43" s="57">
        <v>0</v>
      </c>
    </row>
    <row r="44" spans="1:51" x14ac:dyDescent="0.2">
      <c r="A44" s="54">
        <v>2500</v>
      </c>
      <c r="B44" s="54">
        <v>2016</v>
      </c>
      <c r="C44" s="91" t="s">
        <v>80</v>
      </c>
      <c r="D44" s="54" t="s">
        <v>7</v>
      </c>
      <c r="E44" s="54" t="s">
        <v>77</v>
      </c>
      <c r="F44" s="54" t="str">
        <f>_xlfn.CONCAT(Table13[[#This Row],[Geographic Scope]],": ",Table13[[#This Row],[Sub-Type/Focus]])</f>
        <v>Local: General</v>
      </c>
      <c r="G44" s="54" t="str">
        <f>_xlfn.CONCAT(Table13[[#This Row],[Geographic Scope]],": ",Table13[[#This Row],[Sub-Type/Focus]],": ",Table13[[#This Row],[Content Type]])</f>
        <v>Local: General: Explanatory &amp; Analysis</v>
      </c>
      <c r="H44" s="54" t="str">
        <f>_xlfn.CONCAT(Table13[[#This Row],[Geographic Scope]],": ",Table13[[#This Row],[Content Type]])</f>
        <v>Local: Explanatory &amp; Analysis</v>
      </c>
      <c r="I44" s="55">
        <f>Table13[[#This Row],[Total Contributed Income]]+Table13[[#This Row],[Total Earned Income]]</f>
        <v>141659</v>
      </c>
      <c r="J44" s="55">
        <f>Table13[[#This Row],[Cont. Income - Foundation]]+Table13[[#This Row],[Cont. Income - Membership]]+Table13[[#This Row],[Cont. Income - Small Donors]]+Table13[[#This Row],[Cont. Income - Med. Donors]]+Table13[[#This Row],[Cont. Income - Major Donors]]+Table13[[#This Row],[Cont. Income - Other]]</f>
        <v>141659</v>
      </c>
      <c r="K44" s="55">
        <f>Table13[[#This Row],[Earned Income - Advertising]]+Table13[[#This Row],[Earned Income - Sponsorships/Underwriting]]+Table13[[#This Row],[Earned Income - Events]]+Table13[[#This Row],[Earned Income - Subscriptions]]+Table13[[#This Row],[Earned Income - Syndication]]+Table13[[#This Row],[Earned Income - Other]]</f>
        <v>0</v>
      </c>
      <c r="L44" s="56">
        <v>40600</v>
      </c>
      <c r="M44" s="56">
        <v>0</v>
      </c>
      <c r="N44" s="71">
        <f>SUM(Table13[[#This Row],[Cont. Income - Small Donors]:[Cont. Income - Major Donors]])</f>
        <v>101059</v>
      </c>
      <c r="O44" s="56">
        <v>16940</v>
      </c>
      <c r="P44" s="56">
        <v>26619</v>
      </c>
      <c r="Q44" s="56">
        <v>57500</v>
      </c>
      <c r="R44" s="56">
        <v>0</v>
      </c>
      <c r="T44" s="56">
        <v>0</v>
      </c>
      <c r="U44" s="56">
        <v>0</v>
      </c>
      <c r="V44" s="56">
        <v>0</v>
      </c>
      <c r="W44" s="56">
        <v>0</v>
      </c>
      <c r="X44" s="56">
        <v>0</v>
      </c>
      <c r="Y44" s="56">
        <v>0</v>
      </c>
      <c r="AA44" s="55">
        <f>Table13[[#This Row],[Expenses - Editorial]]+Table13[[#This Row],[Expenses - Revenue Generation]]+Table13[[#This Row],[Expenses - Tech]]+Table13[[#This Row],[Expenses - Admin]]</f>
        <v>136000</v>
      </c>
      <c r="AB44" s="56">
        <v>96000</v>
      </c>
      <c r="AC44" s="71">
        <f>SUM(Table13[[#This Row],[Expenses - Revenue Generation]:[Expenses - Admin]])</f>
        <v>40000</v>
      </c>
      <c r="AD44" s="56">
        <v>6000</v>
      </c>
      <c r="AE44" s="56">
        <v>3000</v>
      </c>
      <c r="AF44" s="56">
        <v>31000</v>
      </c>
      <c r="AG44" s="59">
        <f>Table13[[#This Row],[Total FTE - Editorial]]+Table13[[#This Row],[Total FTE - Non-Editorial]]</f>
        <v>1.25</v>
      </c>
      <c r="AH44" s="59">
        <f>Table13[[#This Row],[FTE Salaried - Editorial]]+Table13[[#This Row],[FTE Contractors - Editorial]]</f>
        <v>0</v>
      </c>
      <c r="AI44" s="57">
        <v>0</v>
      </c>
      <c r="AJ44" s="57">
        <v>0</v>
      </c>
      <c r="AK44" s="60">
        <f>Table13[[#This Row],[FTE Salaried - Non-Editorial]]+Table13[[#This Row],[FTE Contractors - Non-Editorial]]</f>
        <v>1.25</v>
      </c>
      <c r="AL44" s="57">
        <v>0.5</v>
      </c>
      <c r="AM44" s="57">
        <v>0.75</v>
      </c>
      <c r="AN44" s="54" t="s">
        <v>347</v>
      </c>
      <c r="AO44" s="54" t="s">
        <v>402</v>
      </c>
      <c r="AQ44" s="57">
        <v>6000</v>
      </c>
      <c r="AR44" s="57">
        <v>405</v>
      </c>
      <c r="AS44" s="57">
        <v>0</v>
      </c>
      <c r="AT44" s="57">
        <v>0</v>
      </c>
      <c r="AU44" s="57">
        <v>0</v>
      </c>
      <c r="AV44" s="57">
        <v>0</v>
      </c>
      <c r="AW44" s="57">
        <v>0</v>
      </c>
      <c r="AX44" s="57"/>
      <c r="AY44" s="57">
        <v>0</v>
      </c>
    </row>
    <row r="45" spans="1:51" x14ac:dyDescent="0.2">
      <c r="A45" s="54">
        <v>2910</v>
      </c>
      <c r="B45" s="54">
        <v>1974</v>
      </c>
      <c r="C45" s="91" t="s">
        <v>80</v>
      </c>
      <c r="D45" s="54" t="s">
        <v>7</v>
      </c>
      <c r="E45" s="54" t="s">
        <v>77</v>
      </c>
      <c r="F45" s="54" t="str">
        <f>_xlfn.CONCAT(Table13[[#This Row],[Geographic Scope]],": ",Table13[[#This Row],[Sub-Type/Focus]])</f>
        <v>Local: General</v>
      </c>
      <c r="G45" s="54" t="str">
        <f>_xlfn.CONCAT(Table13[[#This Row],[Geographic Scope]],": ",Table13[[#This Row],[Sub-Type/Focus]],": ",Table13[[#This Row],[Content Type]])</f>
        <v>Local: General: Explanatory &amp; Analysis</v>
      </c>
      <c r="H45" s="54" t="str">
        <f>_xlfn.CONCAT(Table13[[#This Row],[Geographic Scope]],": ",Table13[[#This Row],[Content Type]])</f>
        <v>Local: Explanatory &amp; Analysis</v>
      </c>
      <c r="I45" s="55">
        <f>Table13[[#This Row],[Total Contributed Income]]+Table13[[#This Row],[Total Earned Income]]</f>
        <v>197734</v>
      </c>
      <c r="J45" s="55">
        <f>Table13[[#This Row],[Cont. Income - Foundation]]+Table13[[#This Row],[Cont. Income - Membership]]+Table13[[#This Row],[Cont. Income - Small Donors]]+Table13[[#This Row],[Cont. Income - Med. Donors]]+Table13[[#This Row],[Cont. Income - Major Donors]]+Table13[[#This Row],[Cont. Income - Other]]</f>
        <v>82734</v>
      </c>
      <c r="K45" s="55">
        <f>Table13[[#This Row],[Earned Income - Advertising]]+Table13[[#This Row],[Earned Income - Sponsorships/Underwriting]]+Table13[[#This Row],[Earned Income - Events]]+Table13[[#This Row],[Earned Income - Subscriptions]]+Table13[[#This Row],[Earned Income - Syndication]]+Table13[[#This Row],[Earned Income - Other]]</f>
        <v>115000</v>
      </c>
      <c r="L45" s="56">
        <v>35000</v>
      </c>
      <c r="M45" s="56">
        <v>0</v>
      </c>
      <c r="N45" s="71">
        <f>SUM(Table13[[#This Row],[Cont. Income - Small Donors]:[Cont. Income - Major Donors]])</f>
        <v>47734</v>
      </c>
      <c r="O45" s="56">
        <v>40734</v>
      </c>
      <c r="P45" s="56">
        <v>7000</v>
      </c>
      <c r="Q45" s="56">
        <v>0</v>
      </c>
      <c r="R45" s="56">
        <v>0</v>
      </c>
      <c r="T45" s="56">
        <v>104895</v>
      </c>
      <c r="U45" s="56">
        <v>8500</v>
      </c>
      <c r="V45" s="56">
        <v>0</v>
      </c>
      <c r="W45" s="56">
        <v>1605</v>
      </c>
      <c r="X45" s="56">
        <v>0</v>
      </c>
      <c r="Y45" s="56">
        <v>0</v>
      </c>
      <c r="AA45" s="55">
        <f>Table13[[#This Row],[Expenses - Editorial]]+Table13[[#This Row],[Expenses - Revenue Generation]]+Table13[[#This Row],[Expenses - Tech]]+Table13[[#This Row],[Expenses - Admin]]</f>
        <v>146213</v>
      </c>
      <c r="AB45" s="56">
        <v>71000</v>
      </c>
      <c r="AC45" s="71">
        <f>SUM(Table13[[#This Row],[Expenses - Revenue Generation]:[Expenses - Admin]])</f>
        <v>75213</v>
      </c>
      <c r="AD45" s="56">
        <v>25475</v>
      </c>
      <c r="AE45" s="56">
        <v>44597</v>
      </c>
      <c r="AF45" s="56">
        <v>5141</v>
      </c>
      <c r="AG45" s="59">
        <f>Table13[[#This Row],[Total FTE - Editorial]]+Table13[[#This Row],[Total FTE - Non-Editorial]]</f>
        <v>6</v>
      </c>
      <c r="AH45" s="59">
        <f>Table13[[#This Row],[FTE Salaried - Editorial]]+Table13[[#This Row],[FTE Contractors - Editorial]]</f>
        <v>2</v>
      </c>
      <c r="AI45" s="57">
        <v>0</v>
      </c>
      <c r="AJ45" s="57">
        <v>2</v>
      </c>
      <c r="AK45" s="60">
        <f>Table13[[#This Row],[FTE Salaried - Non-Editorial]]+Table13[[#This Row],[FTE Contractors - Non-Editorial]]</f>
        <v>4</v>
      </c>
      <c r="AL45" s="57">
        <v>0</v>
      </c>
      <c r="AM45" s="57">
        <v>4</v>
      </c>
      <c r="AN45" s="54" t="s">
        <v>347</v>
      </c>
      <c r="AO45" s="54" t="s">
        <v>351</v>
      </c>
      <c r="AQ45" s="57">
        <v>7500</v>
      </c>
      <c r="AR45" s="57">
        <v>160</v>
      </c>
      <c r="AS45" s="57">
        <v>120000</v>
      </c>
      <c r="AT45" s="57">
        <v>12</v>
      </c>
      <c r="AU45" s="57">
        <v>0</v>
      </c>
      <c r="AV45" s="57">
        <v>0</v>
      </c>
      <c r="AW45" s="57">
        <v>0</v>
      </c>
      <c r="AX45" s="57" t="s">
        <v>403</v>
      </c>
      <c r="AY45" s="57">
        <v>0</v>
      </c>
    </row>
    <row r="46" spans="1:51" x14ac:dyDescent="0.2">
      <c r="A46" s="54">
        <v>2940</v>
      </c>
      <c r="B46" s="54">
        <v>2018</v>
      </c>
      <c r="C46" s="91" t="s">
        <v>80</v>
      </c>
      <c r="D46" s="54" t="s">
        <v>7</v>
      </c>
      <c r="E46" s="54" t="s">
        <v>77</v>
      </c>
      <c r="F46" s="54" t="str">
        <f>_xlfn.CONCAT(Table13[[#This Row],[Geographic Scope]],": ",Table13[[#This Row],[Sub-Type/Focus]])</f>
        <v>Local: General</v>
      </c>
      <c r="G46" s="54" t="str">
        <f>_xlfn.CONCAT(Table13[[#This Row],[Geographic Scope]],": ",Table13[[#This Row],[Sub-Type/Focus]],": ",Table13[[#This Row],[Content Type]])</f>
        <v>Local: General: Explanatory &amp; Analysis</v>
      </c>
      <c r="H46" s="54" t="str">
        <f>_xlfn.CONCAT(Table13[[#This Row],[Geographic Scope]],": ",Table13[[#This Row],[Content Type]])</f>
        <v>Local: Explanatory &amp; Analysis</v>
      </c>
      <c r="I46" s="55">
        <f>Table13[[#This Row],[Total Contributed Income]]+Table13[[#This Row],[Total Earned Income]]</f>
        <v>46930</v>
      </c>
      <c r="J46" s="55">
        <f>Table13[[#This Row],[Cont. Income - Foundation]]+Table13[[#This Row],[Cont. Income - Membership]]+Table13[[#This Row],[Cont. Income - Small Donors]]+Table13[[#This Row],[Cont. Income - Med. Donors]]+Table13[[#This Row],[Cont. Income - Major Donors]]+Table13[[#This Row],[Cont. Income - Other]]</f>
        <v>46930</v>
      </c>
      <c r="K46" s="55">
        <f>Table13[[#This Row],[Earned Income - Advertising]]+Table13[[#This Row],[Earned Income - Sponsorships/Underwriting]]+Table13[[#This Row],[Earned Income - Events]]+Table13[[#This Row],[Earned Income - Subscriptions]]+Table13[[#This Row],[Earned Income - Syndication]]+Table13[[#This Row],[Earned Income - Other]]</f>
        <v>0</v>
      </c>
      <c r="L46" s="56">
        <v>10672</v>
      </c>
      <c r="M46" s="56">
        <v>0</v>
      </c>
      <c r="N46" s="71">
        <f>SUM(Table13[[#This Row],[Cont. Income - Small Donors]:[Cont. Income - Major Donors]])</f>
        <v>36258</v>
      </c>
      <c r="O46" s="56">
        <v>11758</v>
      </c>
      <c r="P46" s="56">
        <v>1000</v>
      </c>
      <c r="Q46" s="56">
        <v>23500</v>
      </c>
      <c r="R46" s="56">
        <v>0</v>
      </c>
      <c r="T46" s="56">
        <v>0</v>
      </c>
      <c r="U46" s="56">
        <v>0</v>
      </c>
      <c r="V46" s="56">
        <v>0</v>
      </c>
      <c r="W46" s="56">
        <v>0</v>
      </c>
      <c r="X46" s="56">
        <v>0</v>
      </c>
      <c r="Y46" s="56">
        <v>0</v>
      </c>
      <c r="AA46" s="55">
        <f>Table13[[#This Row],[Expenses - Editorial]]+Table13[[#This Row],[Expenses - Revenue Generation]]+Table13[[#This Row],[Expenses - Tech]]+Table13[[#This Row],[Expenses - Admin]]</f>
        <v>43714</v>
      </c>
      <c r="AB46" s="56">
        <v>41936</v>
      </c>
      <c r="AC46" s="71">
        <f>SUM(Table13[[#This Row],[Expenses - Revenue Generation]:[Expenses - Admin]])</f>
        <v>1778</v>
      </c>
      <c r="AD46" s="56">
        <v>0</v>
      </c>
      <c r="AE46" s="56">
        <v>598</v>
      </c>
      <c r="AF46" s="56">
        <v>1180</v>
      </c>
      <c r="AG46" s="59">
        <f>Table13[[#This Row],[Total FTE - Editorial]]+Table13[[#This Row],[Total FTE - Non-Editorial]]</f>
        <v>0.75</v>
      </c>
      <c r="AH46" s="59">
        <f>Table13[[#This Row],[FTE Salaried - Editorial]]+Table13[[#This Row],[FTE Contractors - Editorial]]</f>
        <v>0.75</v>
      </c>
      <c r="AI46" s="57">
        <v>0</v>
      </c>
      <c r="AJ46" s="57">
        <v>0.75</v>
      </c>
      <c r="AK46" s="60">
        <f>Table13[[#This Row],[FTE Salaried - Non-Editorial]]+Table13[[#This Row],[FTE Contractors - Non-Editorial]]</f>
        <v>0</v>
      </c>
      <c r="AL46" s="57">
        <v>0</v>
      </c>
      <c r="AM46" s="57">
        <v>0</v>
      </c>
      <c r="AN46" s="54" t="s">
        <v>351</v>
      </c>
      <c r="AQ46" s="57">
        <v>36139</v>
      </c>
      <c r="AR46" s="57">
        <v>2482</v>
      </c>
      <c r="AS46" s="57">
        <v>0</v>
      </c>
      <c r="AT46" s="57">
        <v>0</v>
      </c>
      <c r="AU46" s="57">
        <v>0</v>
      </c>
      <c r="AV46" s="57">
        <v>0</v>
      </c>
      <c r="AW46" s="57">
        <v>0</v>
      </c>
      <c r="AX46" s="57"/>
      <c r="AY46" s="57">
        <v>0</v>
      </c>
    </row>
    <row r="47" spans="1:51" x14ac:dyDescent="0.2">
      <c r="A47" s="54">
        <v>2943</v>
      </c>
      <c r="B47" s="54">
        <v>2014</v>
      </c>
      <c r="C47" s="91" t="s">
        <v>80</v>
      </c>
      <c r="D47" s="54" t="s">
        <v>7</v>
      </c>
      <c r="E47" s="54" t="s">
        <v>77</v>
      </c>
      <c r="F47" s="54" t="str">
        <f>_xlfn.CONCAT(Table13[[#This Row],[Geographic Scope]],": ",Table13[[#This Row],[Sub-Type/Focus]])</f>
        <v>Local: General</v>
      </c>
      <c r="G47" s="54" t="str">
        <f>_xlfn.CONCAT(Table13[[#This Row],[Geographic Scope]],": ",Table13[[#This Row],[Sub-Type/Focus]],": ",Table13[[#This Row],[Content Type]])</f>
        <v>Local: General: Explanatory &amp; Analysis</v>
      </c>
      <c r="H47" s="54" t="str">
        <f>_xlfn.CONCAT(Table13[[#This Row],[Geographic Scope]],": ",Table13[[#This Row],[Content Type]])</f>
        <v>Local: Explanatory &amp; Analysis</v>
      </c>
      <c r="I47" s="55">
        <f>Table13[[#This Row],[Total Contributed Income]]+Table13[[#This Row],[Total Earned Income]]</f>
        <v>266400</v>
      </c>
      <c r="J47" s="55">
        <f>Table13[[#This Row],[Cont. Income - Foundation]]+Table13[[#This Row],[Cont. Income - Membership]]+Table13[[#This Row],[Cont. Income - Small Donors]]+Table13[[#This Row],[Cont. Income - Med. Donors]]+Table13[[#This Row],[Cont. Income - Major Donors]]+Table13[[#This Row],[Cont. Income - Other]]</f>
        <v>132400</v>
      </c>
      <c r="K47" s="55">
        <f>Table13[[#This Row],[Earned Income - Advertising]]+Table13[[#This Row],[Earned Income - Sponsorships/Underwriting]]+Table13[[#This Row],[Earned Income - Events]]+Table13[[#This Row],[Earned Income - Subscriptions]]+Table13[[#This Row],[Earned Income - Syndication]]+Table13[[#This Row],[Earned Income - Other]]</f>
        <v>134000</v>
      </c>
      <c r="L47" s="56">
        <v>77400</v>
      </c>
      <c r="M47" s="56">
        <v>0</v>
      </c>
      <c r="N47" s="71">
        <f>SUM(Table13[[#This Row],[Cont. Income - Small Donors]:[Cont. Income - Major Donors]])</f>
        <v>55000</v>
      </c>
      <c r="O47" s="56">
        <v>50000</v>
      </c>
      <c r="P47" s="56">
        <v>5000</v>
      </c>
      <c r="Q47" s="56">
        <v>0</v>
      </c>
      <c r="R47" s="56">
        <v>0</v>
      </c>
      <c r="T47" s="56">
        <v>38000</v>
      </c>
      <c r="U47" s="56">
        <v>96000</v>
      </c>
      <c r="V47" s="56">
        <v>0</v>
      </c>
      <c r="W47" s="56">
        <v>0</v>
      </c>
      <c r="X47" s="56">
        <v>0</v>
      </c>
      <c r="Y47" s="56">
        <v>0</v>
      </c>
      <c r="AA47" s="55">
        <f>Table13[[#This Row],[Expenses - Editorial]]+Table13[[#This Row],[Expenses - Revenue Generation]]+Table13[[#This Row],[Expenses - Tech]]+Table13[[#This Row],[Expenses - Admin]]</f>
        <v>180000</v>
      </c>
      <c r="AB47" s="56">
        <v>85000</v>
      </c>
      <c r="AC47" s="71">
        <f>SUM(Table13[[#This Row],[Expenses - Revenue Generation]:[Expenses - Admin]])</f>
        <v>95000</v>
      </c>
      <c r="AD47" s="56">
        <v>37000</v>
      </c>
      <c r="AE47" s="56">
        <v>18000</v>
      </c>
      <c r="AF47" s="56">
        <v>40000</v>
      </c>
      <c r="AG47" s="59">
        <f>Table13[[#This Row],[Total FTE - Editorial]]+Table13[[#This Row],[Total FTE - Non-Editorial]]</f>
        <v>3</v>
      </c>
      <c r="AH47" s="59">
        <f>Table13[[#This Row],[FTE Salaried - Editorial]]+Table13[[#This Row],[FTE Contractors - Editorial]]</f>
        <v>2</v>
      </c>
      <c r="AI47" s="57">
        <v>2</v>
      </c>
      <c r="AJ47" s="57">
        <v>0</v>
      </c>
      <c r="AK47" s="60">
        <f>Table13[[#This Row],[FTE Salaried - Non-Editorial]]+Table13[[#This Row],[FTE Contractors - Non-Editorial]]</f>
        <v>1</v>
      </c>
      <c r="AL47" s="57">
        <v>1</v>
      </c>
      <c r="AM47" s="57">
        <v>0</v>
      </c>
      <c r="AN47" s="54" t="s">
        <v>351</v>
      </c>
      <c r="AQ47" s="57">
        <v>150000</v>
      </c>
      <c r="AR47" s="57">
        <v>6500</v>
      </c>
      <c r="AS47" s="57">
        <v>0</v>
      </c>
      <c r="AT47" s="57">
        <v>0</v>
      </c>
      <c r="AU47" s="57">
        <v>0</v>
      </c>
      <c r="AV47" s="57">
        <v>0</v>
      </c>
      <c r="AW47" s="57">
        <v>0</v>
      </c>
      <c r="AX47" s="57"/>
      <c r="AY47" s="57">
        <v>0</v>
      </c>
    </row>
    <row r="48" spans="1:51" x14ac:dyDescent="0.2">
      <c r="A48" s="54">
        <v>3041</v>
      </c>
      <c r="B48" s="54">
        <v>2020</v>
      </c>
      <c r="C48" s="91" t="s">
        <v>80</v>
      </c>
      <c r="D48" s="54" t="s">
        <v>7</v>
      </c>
      <c r="E48" s="54" t="s">
        <v>77</v>
      </c>
      <c r="F48" s="54" t="str">
        <f>_xlfn.CONCAT(Table13[[#This Row],[Geographic Scope]],": ",Table13[[#This Row],[Sub-Type/Focus]])</f>
        <v>Local: General</v>
      </c>
      <c r="G48" s="54" t="str">
        <f>_xlfn.CONCAT(Table13[[#This Row],[Geographic Scope]],": ",Table13[[#This Row],[Sub-Type/Focus]],": ",Table13[[#This Row],[Content Type]])</f>
        <v>Local: General: Explanatory &amp; Analysis</v>
      </c>
      <c r="H48" s="54" t="str">
        <f>_xlfn.CONCAT(Table13[[#This Row],[Geographic Scope]],": ",Table13[[#This Row],[Content Type]])</f>
        <v>Local: Explanatory &amp; Analysis</v>
      </c>
      <c r="I48" s="55">
        <f>Table13[[#This Row],[Total Contributed Income]]+Table13[[#This Row],[Total Earned Income]]</f>
        <v>0</v>
      </c>
      <c r="J48" s="55">
        <f>Table13[[#This Row],[Cont. Income - Foundation]]+Table13[[#This Row],[Cont. Income - Membership]]+Table13[[#This Row],[Cont. Income - Small Donors]]+Table13[[#This Row],[Cont. Income - Med. Donors]]+Table13[[#This Row],[Cont. Income - Major Donors]]+Table13[[#This Row],[Cont. Income - Other]]</f>
        <v>0</v>
      </c>
      <c r="K48" s="55">
        <f>Table13[[#This Row],[Earned Income - Advertising]]+Table13[[#This Row],[Earned Income - Sponsorships/Underwriting]]+Table13[[#This Row],[Earned Income - Events]]+Table13[[#This Row],[Earned Income - Subscriptions]]+Table13[[#This Row],[Earned Income - Syndication]]+Table13[[#This Row],[Earned Income - Other]]</f>
        <v>0</v>
      </c>
      <c r="L48" s="56"/>
      <c r="M48" s="56"/>
      <c r="N48" s="71">
        <f>SUM(Table13[[#This Row],[Cont. Income - Small Donors]:[Cont. Income - Major Donors]])</f>
        <v>0</v>
      </c>
      <c r="O48" s="56"/>
      <c r="P48" s="56"/>
      <c r="Q48" s="56"/>
      <c r="R48" s="56"/>
      <c r="T48" s="56"/>
      <c r="U48" s="56"/>
      <c r="V48" s="56"/>
      <c r="W48" s="56"/>
      <c r="X48" s="56"/>
      <c r="Y48" s="56"/>
      <c r="AA48" s="55">
        <f>Table13[[#This Row],[Expenses - Editorial]]+Table13[[#This Row],[Expenses - Revenue Generation]]+Table13[[#This Row],[Expenses - Tech]]+Table13[[#This Row],[Expenses - Admin]]</f>
        <v>0</v>
      </c>
      <c r="AB48" s="57"/>
      <c r="AC48" s="71">
        <f>SUM(Table13[[#This Row],[Expenses - Revenue Generation]:[Expenses - Admin]])</f>
        <v>0</v>
      </c>
      <c r="AD48" s="57"/>
      <c r="AE48" s="57"/>
      <c r="AF48" s="57"/>
      <c r="AG48" s="59">
        <f>Table13[[#This Row],[Total FTE - Editorial]]+Table13[[#This Row],[Total FTE - Non-Editorial]]</f>
        <v>1</v>
      </c>
      <c r="AH48" s="59">
        <f>Table13[[#This Row],[FTE Salaried - Editorial]]+Table13[[#This Row],[FTE Contractors - Editorial]]</f>
        <v>1</v>
      </c>
      <c r="AI48" s="57">
        <v>1</v>
      </c>
      <c r="AJ48" s="57">
        <v>0</v>
      </c>
      <c r="AK48" s="60">
        <f>Table13[[#This Row],[FTE Salaried - Non-Editorial]]+Table13[[#This Row],[FTE Contractors - Non-Editorial]]</f>
        <v>0</v>
      </c>
      <c r="AL48" s="57">
        <v>0</v>
      </c>
      <c r="AM48" s="57">
        <v>0</v>
      </c>
      <c r="AN48" s="54" t="s">
        <v>351</v>
      </c>
      <c r="AO48" s="54" t="s">
        <v>359</v>
      </c>
      <c r="AQ48" s="57">
        <v>12910</v>
      </c>
      <c r="AR48" s="57">
        <v>687</v>
      </c>
      <c r="AS48" s="57">
        <v>0</v>
      </c>
      <c r="AT48" s="57">
        <v>0</v>
      </c>
      <c r="AU48" s="57">
        <v>0</v>
      </c>
      <c r="AV48" s="57">
        <v>0</v>
      </c>
      <c r="AW48" s="57">
        <v>0</v>
      </c>
      <c r="AX48" s="57"/>
      <c r="AY48" s="57">
        <v>1770</v>
      </c>
    </row>
    <row r="49" spans="1:51" x14ac:dyDescent="0.2">
      <c r="A49" s="54">
        <v>3064</v>
      </c>
      <c r="B49" s="54">
        <v>2017</v>
      </c>
      <c r="C49" s="91" t="s">
        <v>80</v>
      </c>
      <c r="D49" s="54" t="s">
        <v>7</v>
      </c>
      <c r="E49" s="54" t="s">
        <v>77</v>
      </c>
      <c r="F49" s="54" t="str">
        <f>_xlfn.CONCAT(Table13[[#This Row],[Geographic Scope]],": ",Table13[[#This Row],[Sub-Type/Focus]])</f>
        <v>Local: General</v>
      </c>
      <c r="G49" s="54" t="str">
        <f>_xlfn.CONCAT(Table13[[#This Row],[Geographic Scope]],": ",Table13[[#This Row],[Sub-Type/Focus]],": ",Table13[[#This Row],[Content Type]])</f>
        <v>Local: General: Explanatory &amp; Analysis</v>
      </c>
      <c r="H49" s="54" t="str">
        <f>_xlfn.CONCAT(Table13[[#This Row],[Geographic Scope]],": ",Table13[[#This Row],[Content Type]])</f>
        <v>Local: Explanatory &amp; Analysis</v>
      </c>
      <c r="I49" s="55">
        <f>Table13[[#This Row],[Total Contributed Income]]+Table13[[#This Row],[Total Earned Income]]</f>
        <v>83768</v>
      </c>
      <c r="J49" s="55">
        <f>Table13[[#This Row],[Cont. Income - Foundation]]+Table13[[#This Row],[Cont. Income - Membership]]+Table13[[#This Row],[Cont. Income - Small Donors]]+Table13[[#This Row],[Cont. Income - Med. Donors]]+Table13[[#This Row],[Cont. Income - Major Donors]]+Table13[[#This Row],[Cont. Income - Other]]</f>
        <v>51090</v>
      </c>
      <c r="K49" s="55">
        <f>Table13[[#This Row],[Earned Income - Advertising]]+Table13[[#This Row],[Earned Income - Sponsorships/Underwriting]]+Table13[[#This Row],[Earned Income - Events]]+Table13[[#This Row],[Earned Income - Subscriptions]]+Table13[[#This Row],[Earned Income - Syndication]]+Table13[[#This Row],[Earned Income - Other]]</f>
        <v>32678</v>
      </c>
      <c r="L49" s="56">
        <v>10000</v>
      </c>
      <c r="M49" s="56">
        <v>0</v>
      </c>
      <c r="N49" s="71">
        <f>SUM(Table13[[#This Row],[Cont. Income - Small Donors]:[Cont. Income - Major Donors]])</f>
        <v>41090</v>
      </c>
      <c r="O49" s="56">
        <v>41090</v>
      </c>
      <c r="P49" s="56">
        <v>0</v>
      </c>
      <c r="Q49" s="56">
        <v>0</v>
      </c>
      <c r="R49" s="56">
        <v>0</v>
      </c>
      <c r="T49" s="56">
        <v>32678</v>
      </c>
      <c r="U49" s="56">
        <v>0</v>
      </c>
      <c r="V49" s="56">
        <v>0</v>
      </c>
      <c r="W49" s="56">
        <v>0</v>
      </c>
      <c r="X49" s="56">
        <v>0</v>
      </c>
      <c r="Y49" s="56">
        <v>0</v>
      </c>
      <c r="AA49" s="55">
        <f>Table13[[#This Row],[Expenses - Editorial]]+Table13[[#This Row],[Expenses - Revenue Generation]]+Table13[[#This Row],[Expenses - Tech]]+Table13[[#This Row],[Expenses - Admin]]</f>
        <v>60500</v>
      </c>
      <c r="AB49" s="56">
        <v>30000</v>
      </c>
      <c r="AC49" s="71">
        <f>SUM(Table13[[#This Row],[Expenses - Revenue Generation]:[Expenses - Admin]])</f>
        <v>30500</v>
      </c>
      <c r="AD49" s="56">
        <v>16000</v>
      </c>
      <c r="AE49" s="56">
        <v>9500</v>
      </c>
      <c r="AF49" s="56">
        <v>5000</v>
      </c>
      <c r="AG49" s="59">
        <f>Table13[[#This Row],[Total FTE - Editorial]]+Table13[[#This Row],[Total FTE - Non-Editorial]]</f>
        <v>1.5</v>
      </c>
      <c r="AH49" s="59">
        <f>Table13[[#This Row],[FTE Salaried - Editorial]]+Table13[[#This Row],[FTE Contractors - Editorial]]</f>
        <v>1.5</v>
      </c>
      <c r="AI49" s="57">
        <v>1</v>
      </c>
      <c r="AJ49" s="57">
        <v>0.5</v>
      </c>
      <c r="AK49" s="60">
        <f>Table13[[#This Row],[FTE Salaried - Non-Editorial]]+Table13[[#This Row],[FTE Contractors - Non-Editorial]]</f>
        <v>0</v>
      </c>
      <c r="AL49" s="57">
        <v>0</v>
      </c>
      <c r="AM49" s="57">
        <v>0</v>
      </c>
      <c r="AN49" s="54" t="s">
        <v>351</v>
      </c>
      <c r="AQ49" s="57">
        <v>26000</v>
      </c>
      <c r="AR49" s="57">
        <v>1500</v>
      </c>
      <c r="AS49" s="57">
        <v>0</v>
      </c>
      <c r="AT49" s="57">
        <v>0</v>
      </c>
      <c r="AU49" s="57">
        <v>0</v>
      </c>
      <c r="AV49" s="57">
        <v>0</v>
      </c>
      <c r="AW49" s="57">
        <v>0</v>
      </c>
      <c r="AX49" s="57"/>
      <c r="AY49" s="57">
        <v>0</v>
      </c>
    </row>
    <row r="50" spans="1:51" x14ac:dyDescent="0.2">
      <c r="A50" s="54">
        <v>6819</v>
      </c>
      <c r="B50" s="54">
        <v>1991</v>
      </c>
      <c r="C50" s="91" t="s">
        <v>80</v>
      </c>
      <c r="D50" s="54" t="s">
        <v>7</v>
      </c>
      <c r="E50" s="54" t="s">
        <v>77</v>
      </c>
      <c r="F50" s="54" t="str">
        <f>_xlfn.CONCAT(Table13[[#This Row],[Geographic Scope]],": ",Table13[[#This Row],[Sub-Type/Focus]])</f>
        <v>Local: General</v>
      </c>
      <c r="G50" s="54" t="str">
        <f>_xlfn.CONCAT(Table13[[#This Row],[Geographic Scope]],": ",Table13[[#This Row],[Sub-Type/Focus]],": ",Table13[[#This Row],[Content Type]])</f>
        <v>Local: General: Explanatory &amp; Analysis</v>
      </c>
      <c r="H50" s="54" t="str">
        <f>_xlfn.CONCAT(Table13[[#This Row],[Geographic Scope]],": ",Table13[[#This Row],[Content Type]])</f>
        <v>Local: Explanatory &amp; Analysis</v>
      </c>
      <c r="I50" s="55">
        <f>Table13[[#This Row],[Total Contributed Income]]+Table13[[#This Row],[Total Earned Income]]</f>
        <v>1655250</v>
      </c>
      <c r="J50" s="55">
        <f>Table13[[#This Row],[Cont. Income - Foundation]]+Table13[[#This Row],[Cont. Income - Membership]]+Table13[[#This Row],[Cont. Income - Small Donors]]+Table13[[#This Row],[Cont. Income - Med. Donors]]+Table13[[#This Row],[Cont. Income - Major Donors]]+Table13[[#This Row],[Cont. Income - Other]]</f>
        <v>15250</v>
      </c>
      <c r="K50" s="55">
        <f>Table13[[#This Row],[Earned Income - Advertising]]+Table13[[#This Row],[Earned Income - Sponsorships/Underwriting]]+Table13[[#This Row],[Earned Income - Events]]+Table13[[#This Row],[Earned Income - Subscriptions]]+Table13[[#This Row],[Earned Income - Syndication]]+Table13[[#This Row],[Earned Income - Other]]</f>
        <v>1640000</v>
      </c>
      <c r="L50" s="56">
        <v>2500</v>
      </c>
      <c r="M50" s="56">
        <v>0</v>
      </c>
      <c r="N50" s="71">
        <f>SUM(Table13[[#This Row],[Cont. Income - Small Donors]:[Cont. Income - Major Donors]])</f>
        <v>12750</v>
      </c>
      <c r="O50" s="56">
        <v>250</v>
      </c>
      <c r="P50" s="56">
        <v>2500</v>
      </c>
      <c r="Q50" s="56">
        <v>10000</v>
      </c>
      <c r="R50" s="56">
        <v>0</v>
      </c>
      <c r="T50" s="56">
        <v>1640000</v>
      </c>
      <c r="U50" s="56">
        <v>0</v>
      </c>
      <c r="V50" s="56">
        <v>0</v>
      </c>
      <c r="W50" s="56">
        <v>0</v>
      </c>
      <c r="X50" s="56">
        <v>0</v>
      </c>
      <c r="Y50" s="56">
        <v>0</v>
      </c>
      <c r="AA50" s="55">
        <f>Table13[[#This Row],[Expenses - Editorial]]+Table13[[#This Row],[Expenses - Revenue Generation]]+Table13[[#This Row],[Expenses - Tech]]+Table13[[#This Row],[Expenses - Admin]]</f>
        <v>524000</v>
      </c>
      <c r="AB50" s="56">
        <v>206000</v>
      </c>
      <c r="AC50" s="71">
        <f>SUM(Table13[[#This Row],[Expenses - Revenue Generation]:[Expenses - Admin]])</f>
        <v>318000</v>
      </c>
      <c r="AD50" s="56">
        <v>40000</v>
      </c>
      <c r="AE50" s="56">
        <v>60000</v>
      </c>
      <c r="AF50" s="56">
        <v>218000</v>
      </c>
      <c r="AG50" s="59">
        <f>Table13[[#This Row],[Total FTE - Editorial]]+Table13[[#This Row],[Total FTE - Non-Editorial]]</f>
        <v>17</v>
      </c>
      <c r="AH50" s="59">
        <f>Table13[[#This Row],[FTE Salaried - Editorial]]+Table13[[#This Row],[FTE Contractors - Editorial]]</f>
        <v>7</v>
      </c>
      <c r="AI50" s="57">
        <v>6</v>
      </c>
      <c r="AJ50" s="57">
        <v>1</v>
      </c>
      <c r="AK50" s="60">
        <f>Table13[[#This Row],[FTE Salaried - Non-Editorial]]+Table13[[#This Row],[FTE Contractors - Non-Editorial]]</f>
        <v>10</v>
      </c>
      <c r="AL50" s="57">
        <v>9</v>
      </c>
      <c r="AM50" s="57">
        <v>1</v>
      </c>
      <c r="AN50" s="54" t="s">
        <v>347</v>
      </c>
      <c r="AO50" s="54" t="s">
        <v>404</v>
      </c>
      <c r="AP50" s="54" t="s">
        <v>405</v>
      </c>
      <c r="AQ50" s="57">
        <v>191500</v>
      </c>
      <c r="AR50" s="57">
        <v>42000</v>
      </c>
      <c r="AS50" s="57">
        <v>87500</v>
      </c>
      <c r="AT50" s="57">
        <v>48</v>
      </c>
      <c r="AU50" s="57">
        <v>0</v>
      </c>
      <c r="AV50" s="57">
        <v>0</v>
      </c>
      <c r="AW50" s="57">
        <v>0</v>
      </c>
      <c r="AX50" s="57"/>
      <c r="AY50" s="57">
        <v>0</v>
      </c>
    </row>
    <row r="51" spans="1:51" x14ac:dyDescent="0.2">
      <c r="A51" s="54">
        <v>6822</v>
      </c>
      <c r="B51" s="54">
        <v>2018</v>
      </c>
      <c r="C51" s="91" t="s">
        <v>80</v>
      </c>
      <c r="D51" s="54" t="s">
        <v>7</v>
      </c>
      <c r="E51" s="54" t="s">
        <v>77</v>
      </c>
      <c r="F51" s="54" t="str">
        <f>_xlfn.CONCAT(Table13[[#This Row],[Geographic Scope]],": ",Table13[[#This Row],[Sub-Type/Focus]])</f>
        <v>Local: General</v>
      </c>
      <c r="G51" s="54" t="str">
        <f>_xlfn.CONCAT(Table13[[#This Row],[Geographic Scope]],": ",Table13[[#This Row],[Sub-Type/Focus]],": ",Table13[[#This Row],[Content Type]])</f>
        <v>Local: General: Explanatory &amp; Analysis</v>
      </c>
      <c r="H51" s="54" t="str">
        <f>_xlfn.CONCAT(Table13[[#This Row],[Geographic Scope]],": ",Table13[[#This Row],[Content Type]])</f>
        <v>Local: Explanatory &amp; Analysis</v>
      </c>
      <c r="I51" s="55">
        <f>Table13[[#This Row],[Total Contributed Income]]+Table13[[#This Row],[Total Earned Income]]</f>
        <v>233749.7</v>
      </c>
      <c r="J51" s="55">
        <f>Table13[[#This Row],[Cont. Income - Foundation]]+Table13[[#This Row],[Cont. Income - Membership]]+Table13[[#This Row],[Cont. Income - Small Donors]]+Table13[[#This Row],[Cont. Income - Med. Donors]]+Table13[[#This Row],[Cont. Income - Major Donors]]+Table13[[#This Row],[Cont. Income - Other]]</f>
        <v>173252</v>
      </c>
      <c r="K51" s="55">
        <f>Table13[[#This Row],[Earned Income - Advertising]]+Table13[[#This Row],[Earned Income - Sponsorships/Underwriting]]+Table13[[#This Row],[Earned Income - Events]]+Table13[[#This Row],[Earned Income - Subscriptions]]+Table13[[#This Row],[Earned Income - Syndication]]+Table13[[#This Row],[Earned Income - Other]]</f>
        <v>60497.700000000004</v>
      </c>
      <c r="L51" s="56">
        <v>110250</v>
      </c>
      <c r="M51" s="56">
        <v>25972</v>
      </c>
      <c r="N51" s="71">
        <f>SUM(Table13[[#This Row],[Cont. Income - Small Donors]:[Cont. Income - Major Donors]])</f>
        <v>8430</v>
      </c>
      <c r="O51" s="56">
        <v>7430</v>
      </c>
      <c r="P51" s="56">
        <v>1000</v>
      </c>
      <c r="Q51" s="56">
        <v>0</v>
      </c>
      <c r="R51" s="56">
        <v>28600</v>
      </c>
      <c r="S51" s="55" t="s">
        <v>406</v>
      </c>
      <c r="T51" s="56">
        <v>49059.23</v>
      </c>
      <c r="U51" s="56">
        <v>0</v>
      </c>
      <c r="V51" s="56">
        <v>0</v>
      </c>
      <c r="W51" s="56">
        <v>0</v>
      </c>
      <c r="X51" s="56">
        <v>0</v>
      </c>
      <c r="Y51" s="56">
        <v>11438.47</v>
      </c>
      <c r="Z51" s="54" t="s">
        <v>407</v>
      </c>
      <c r="AA51" s="55">
        <f>Table13[[#This Row],[Expenses - Editorial]]+Table13[[#This Row],[Expenses - Revenue Generation]]+Table13[[#This Row],[Expenses - Tech]]+Table13[[#This Row],[Expenses - Admin]]</f>
        <v>173482.43</v>
      </c>
      <c r="AB51" s="56">
        <v>95482.43</v>
      </c>
      <c r="AC51" s="71">
        <f>SUM(Table13[[#This Row],[Expenses - Revenue Generation]:[Expenses - Admin]])</f>
        <v>78000</v>
      </c>
      <c r="AD51" s="56">
        <v>30000</v>
      </c>
      <c r="AE51" s="56">
        <v>46000</v>
      </c>
      <c r="AF51" s="56">
        <v>2000</v>
      </c>
      <c r="AG51" s="59">
        <f>Table13[[#This Row],[Total FTE - Editorial]]+Table13[[#This Row],[Total FTE - Non-Editorial]]</f>
        <v>7</v>
      </c>
      <c r="AH51" s="59">
        <f>Table13[[#This Row],[FTE Salaried - Editorial]]+Table13[[#This Row],[FTE Contractors - Editorial]]</f>
        <v>6</v>
      </c>
      <c r="AI51" s="57">
        <v>2</v>
      </c>
      <c r="AJ51" s="57">
        <v>4</v>
      </c>
      <c r="AK51" s="60">
        <f>Table13[[#This Row],[FTE Salaried - Non-Editorial]]+Table13[[#This Row],[FTE Contractors - Non-Editorial]]</f>
        <v>1</v>
      </c>
      <c r="AL51" s="57">
        <v>0</v>
      </c>
      <c r="AM51" s="57">
        <v>1</v>
      </c>
      <c r="AN51" s="54" t="s">
        <v>351</v>
      </c>
      <c r="AQ51" s="57">
        <v>50000</v>
      </c>
      <c r="AR51" s="57">
        <v>20000</v>
      </c>
      <c r="AS51" s="57">
        <v>0</v>
      </c>
      <c r="AT51" s="57">
        <v>0</v>
      </c>
      <c r="AU51" s="57">
        <v>0</v>
      </c>
      <c r="AV51" s="57">
        <v>0</v>
      </c>
      <c r="AW51" s="57">
        <v>0</v>
      </c>
      <c r="AX51" s="57"/>
      <c r="AY51" s="57">
        <v>0</v>
      </c>
    </row>
    <row r="52" spans="1:51" x14ac:dyDescent="0.2">
      <c r="A52" s="54">
        <v>6842</v>
      </c>
      <c r="B52" s="54">
        <v>2020</v>
      </c>
      <c r="C52" s="91" t="s">
        <v>80</v>
      </c>
      <c r="D52" s="54" t="s">
        <v>7</v>
      </c>
      <c r="E52" s="54" t="s">
        <v>77</v>
      </c>
      <c r="F52" s="54" t="str">
        <f>_xlfn.CONCAT(Table13[[#This Row],[Geographic Scope]],": ",Table13[[#This Row],[Sub-Type/Focus]])</f>
        <v>Local: General</v>
      </c>
      <c r="G52" s="54" t="str">
        <f>_xlfn.CONCAT(Table13[[#This Row],[Geographic Scope]],": ",Table13[[#This Row],[Sub-Type/Focus]],": ",Table13[[#This Row],[Content Type]])</f>
        <v>Local: General: Explanatory &amp; Analysis</v>
      </c>
      <c r="H52" s="54" t="str">
        <f>_xlfn.CONCAT(Table13[[#This Row],[Geographic Scope]],": ",Table13[[#This Row],[Content Type]])</f>
        <v>Local: Explanatory &amp; Analysis</v>
      </c>
      <c r="I52" s="55">
        <f>Table13[[#This Row],[Total Contributed Income]]+Table13[[#This Row],[Total Earned Income]]</f>
        <v>0</v>
      </c>
      <c r="J52" s="55">
        <f>Table13[[#This Row],[Cont. Income - Foundation]]+Table13[[#This Row],[Cont. Income - Membership]]+Table13[[#This Row],[Cont. Income - Small Donors]]+Table13[[#This Row],[Cont. Income - Med. Donors]]+Table13[[#This Row],[Cont. Income - Major Donors]]+Table13[[#This Row],[Cont. Income - Other]]</f>
        <v>0</v>
      </c>
      <c r="K52" s="55">
        <f>Table13[[#This Row],[Earned Income - Advertising]]+Table13[[#This Row],[Earned Income - Sponsorships/Underwriting]]+Table13[[#This Row],[Earned Income - Events]]+Table13[[#This Row],[Earned Income - Subscriptions]]+Table13[[#This Row],[Earned Income - Syndication]]+Table13[[#This Row],[Earned Income - Other]]</f>
        <v>0</v>
      </c>
      <c r="L52" s="56"/>
      <c r="M52" s="56"/>
      <c r="N52" s="71">
        <f>SUM(Table13[[#This Row],[Cont. Income - Small Donors]:[Cont. Income - Major Donors]])</f>
        <v>0</v>
      </c>
      <c r="O52" s="56"/>
      <c r="P52" s="56"/>
      <c r="Q52" s="56"/>
      <c r="R52" s="56"/>
      <c r="T52" s="56"/>
      <c r="U52" s="56"/>
      <c r="V52" s="56"/>
      <c r="W52" s="56"/>
      <c r="X52" s="56"/>
      <c r="Y52" s="56"/>
      <c r="AA52" s="55">
        <f>Table13[[#This Row],[Expenses - Editorial]]+Table13[[#This Row],[Expenses - Revenue Generation]]+Table13[[#This Row],[Expenses - Tech]]+Table13[[#This Row],[Expenses - Admin]]</f>
        <v>0</v>
      </c>
      <c r="AB52" s="57"/>
      <c r="AC52" s="71">
        <f>SUM(Table13[[#This Row],[Expenses - Revenue Generation]:[Expenses - Admin]])</f>
        <v>0</v>
      </c>
      <c r="AD52" s="57"/>
      <c r="AE52" s="57"/>
      <c r="AF52" s="57"/>
      <c r="AG52" s="59">
        <f>Table13[[#This Row],[Total FTE - Editorial]]+Table13[[#This Row],[Total FTE - Non-Editorial]]</f>
        <v>0</v>
      </c>
      <c r="AH52" s="59">
        <f>Table13[[#This Row],[FTE Salaried - Editorial]]+Table13[[#This Row],[FTE Contractors - Editorial]]</f>
        <v>0</v>
      </c>
      <c r="AI52" s="57">
        <v>0</v>
      </c>
      <c r="AJ52" s="57">
        <v>0</v>
      </c>
      <c r="AK52" s="60">
        <f>Table13[[#This Row],[FTE Salaried - Non-Editorial]]+Table13[[#This Row],[FTE Contractors - Non-Editorial]]</f>
        <v>0</v>
      </c>
      <c r="AL52" s="57">
        <v>0</v>
      </c>
      <c r="AM52" s="57">
        <v>0</v>
      </c>
      <c r="AN52" s="54" t="s">
        <v>352</v>
      </c>
      <c r="AO52" s="54" t="s">
        <v>356</v>
      </c>
      <c r="AP52" s="54" t="s">
        <v>408</v>
      </c>
      <c r="AQ52" s="57">
        <v>15000</v>
      </c>
      <c r="AR52" s="57">
        <v>0</v>
      </c>
      <c r="AS52" s="57">
        <v>0</v>
      </c>
      <c r="AT52" s="57">
        <v>0</v>
      </c>
      <c r="AU52" s="57">
        <v>0</v>
      </c>
      <c r="AV52" s="57">
        <v>0</v>
      </c>
      <c r="AW52" s="57">
        <v>0</v>
      </c>
      <c r="AX52" s="57"/>
      <c r="AY52" s="57">
        <v>0</v>
      </c>
    </row>
    <row r="53" spans="1:51" x14ac:dyDescent="0.2">
      <c r="A53" s="54">
        <v>330</v>
      </c>
      <c r="B53" s="54">
        <v>1999</v>
      </c>
      <c r="C53" s="91" t="s">
        <v>80</v>
      </c>
      <c r="D53" s="54" t="s">
        <v>7</v>
      </c>
      <c r="E53" s="54" t="s">
        <v>78</v>
      </c>
      <c r="F53" s="54" t="str">
        <f>_xlfn.CONCAT(Table13[[#This Row],[Geographic Scope]],": ",Table13[[#This Row],[Sub-Type/Focus]])</f>
        <v>Local: Multiple Related Topics</v>
      </c>
      <c r="G53" s="54" t="str">
        <f>_xlfn.CONCAT(Table13[[#This Row],[Geographic Scope]],": ",Table13[[#This Row],[Sub-Type/Focus]],": ",Table13[[#This Row],[Content Type]])</f>
        <v>Local: Multiple Related Topics: Explanatory &amp; Analysis</v>
      </c>
      <c r="H53" s="54" t="str">
        <f>_xlfn.CONCAT(Table13[[#This Row],[Geographic Scope]],": ",Table13[[#This Row],[Content Type]])</f>
        <v>Local: Explanatory &amp; Analysis</v>
      </c>
      <c r="I53" s="55">
        <f>Table13[[#This Row],[Total Contributed Income]]+Table13[[#This Row],[Total Earned Income]]</f>
        <v>329852</v>
      </c>
      <c r="J53" s="55">
        <f>Table13[[#This Row],[Cont. Income - Foundation]]+Table13[[#This Row],[Cont. Income - Membership]]+Table13[[#This Row],[Cont. Income - Small Donors]]+Table13[[#This Row],[Cont. Income - Med. Donors]]+Table13[[#This Row],[Cont. Income - Major Donors]]+Table13[[#This Row],[Cont. Income - Other]]</f>
        <v>117473</v>
      </c>
      <c r="K53" s="55">
        <f>Table13[[#This Row],[Earned Income - Advertising]]+Table13[[#This Row],[Earned Income - Sponsorships/Underwriting]]+Table13[[#This Row],[Earned Income - Events]]+Table13[[#This Row],[Earned Income - Subscriptions]]+Table13[[#This Row],[Earned Income - Syndication]]+Table13[[#This Row],[Earned Income - Other]]</f>
        <v>212379</v>
      </c>
      <c r="L53" s="56">
        <v>16490</v>
      </c>
      <c r="M53" s="56">
        <v>0</v>
      </c>
      <c r="N53" s="71">
        <f>SUM(Table13[[#This Row],[Cont. Income - Small Donors]:[Cont. Income - Major Donors]])</f>
        <v>97983</v>
      </c>
      <c r="O53" s="56">
        <v>3232</v>
      </c>
      <c r="P53" s="56">
        <v>7500</v>
      </c>
      <c r="Q53" s="56">
        <v>87251</v>
      </c>
      <c r="R53" s="56">
        <v>3000</v>
      </c>
      <c r="T53" s="56">
        <v>0</v>
      </c>
      <c r="U53" s="56">
        <v>0</v>
      </c>
      <c r="V53" s="56">
        <v>0</v>
      </c>
      <c r="W53" s="56">
        <v>212379</v>
      </c>
      <c r="X53" s="56">
        <v>0</v>
      </c>
      <c r="Y53" s="56"/>
      <c r="AA53" s="55">
        <f>Table13[[#This Row],[Expenses - Editorial]]+Table13[[#This Row],[Expenses - Revenue Generation]]+Table13[[#This Row],[Expenses - Tech]]+Table13[[#This Row],[Expenses - Admin]]</f>
        <v>322168</v>
      </c>
      <c r="AB53" s="56">
        <v>271442</v>
      </c>
      <c r="AC53" s="71">
        <f>SUM(Table13[[#This Row],[Expenses - Revenue Generation]:[Expenses - Admin]])</f>
        <v>50726</v>
      </c>
      <c r="AD53" s="56">
        <v>4495</v>
      </c>
      <c r="AE53" s="56">
        <v>6019</v>
      </c>
      <c r="AF53" s="56">
        <v>40212</v>
      </c>
      <c r="AG53" s="59">
        <f>Table13[[#This Row],[Total FTE - Editorial]]+Table13[[#This Row],[Total FTE - Non-Editorial]]</f>
        <v>5</v>
      </c>
      <c r="AH53" s="59">
        <f>Table13[[#This Row],[FTE Salaried - Editorial]]+Table13[[#This Row],[FTE Contractors - Editorial]]</f>
        <v>4</v>
      </c>
      <c r="AI53" s="57">
        <v>1</v>
      </c>
      <c r="AJ53" s="57">
        <v>3</v>
      </c>
      <c r="AK53" s="60">
        <f>Table13[[#This Row],[FTE Salaried - Non-Editorial]]+Table13[[#This Row],[FTE Contractors - Non-Editorial]]</f>
        <v>1</v>
      </c>
      <c r="AL53" s="57">
        <v>1</v>
      </c>
      <c r="AM53" s="57">
        <v>0</v>
      </c>
      <c r="AN53" s="54" t="s">
        <v>351</v>
      </c>
      <c r="AQ53" s="57">
        <v>58877</v>
      </c>
      <c r="AR53" s="57">
        <v>1900</v>
      </c>
      <c r="AS53" s="57">
        <v>0</v>
      </c>
      <c r="AT53" s="57">
        <v>0</v>
      </c>
      <c r="AU53" s="57">
        <v>0</v>
      </c>
      <c r="AV53" s="57">
        <v>0</v>
      </c>
      <c r="AW53" s="57">
        <v>0</v>
      </c>
      <c r="AX53" s="57"/>
      <c r="AY53" s="57">
        <v>0</v>
      </c>
    </row>
    <row r="54" spans="1:51" x14ac:dyDescent="0.2">
      <c r="A54" s="54">
        <v>347</v>
      </c>
      <c r="B54" s="54">
        <v>2005</v>
      </c>
      <c r="C54" s="91" t="s">
        <v>80</v>
      </c>
      <c r="D54" s="54" t="s">
        <v>7</v>
      </c>
      <c r="E54" s="54" t="s">
        <v>78</v>
      </c>
      <c r="F54" s="54" t="str">
        <f>_xlfn.CONCAT(Table13[[#This Row],[Geographic Scope]],": ",Table13[[#This Row],[Sub-Type/Focus]])</f>
        <v>Local: Multiple Related Topics</v>
      </c>
      <c r="G54" s="54" t="str">
        <f>_xlfn.CONCAT(Table13[[#This Row],[Geographic Scope]],": ",Table13[[#This Row],[Sub-Type/Focus]],": ",Table13[[#This Row],[Content Type]])</f>
        <v>Local: Multiple Related Topics: Explanatory &amp; Analysis</v>
      </c>
      <c r="H54" s="54" t="str">
        <f>_xlfn.CONCAT(Table13[[#This Row],[Geographic Scope]],": ",Table13[[#This Row],[Content Type]])</f>
        <v>Local: Explanatory &amp; Analysis</v>
      </c>
      <c r="I54" s="55">
        <f>Table13[[#This Row],[Total Contributed Income]]+Table13[[#This Row],[Total Earned Income]]</f>
        <v>705694</v>
      </c>
      <c r="J54" s="55">
        <f>Table13[[#This Row],[Cont. Income - Foundation]]+Table13[[#This Row],[Cont. Income - Membership]]+Table13[[#This Row],[Cont. Income - Small Donors]]+Table13[[#This Row],[Cont. Income - Med. Donors]]+Table13[[#This Row],[Cont. Income - Major Donors]]+Table13[[#This Row],[Cont. Income - Other]]</f>
        <v>674694</v>
      </c>
      <c r="K54" s="55">
        <f>Table13[[#This Row],[Earned Income - Advertising]]+Table13[[#This Row],[Earned Income - Sponsorships/Underwriting]]+Table13[[#This Row],[Earned Income - Events]]+Table13[[#This Row],[Earned Income - Subscriptions]]+Table13[[#This Row],[Earned Income - Syndication]]+Table13[[#This Row],[Earned Income - Other]]</f>
        <v>31000</v>
      </c>
      <c r="L54" s="56">
        <v>356550</v>
      </c>
      <c r="M54" s="56">
        <v>0</v>
      </c>
      <c r="N54" s="71">
        <f>SUM(Table13[[#This Row],[Cont. Income - Small Donors]:[Cont. Income - Major Donors]])</f>
        <v>318144</v>
      </c>
      <c r="O54" s="56">
        <v>55278</v>
      </c>
      <c r="P54" s="56">
        <v>77866</v>
      </c>
      <c r="Q54" s="56">
        <v>185000</v>
      </c>
      <c r="R54" s="56">
        <v>0</v>
      </c>
      <c r="T54" s="56">
        <v>0</v>
      </c>
      <c r="U54" s="56">
        <v>31000</v>
      </c>
      <c r="V54" s="56">
        <v>0</v>
      </c>
      <c r="W54" s="56">
        <v>0</v>
      </c>
      <c r="X54" s="56">
        <v>0</v>
      </c>
      <c r="Y54" s="56">
        <v>0</v>
      </c>
      <c r="AA54" s="55">
        <f>Table13[[#This Row],[Expenses - Editorial]]+Table13[[#This Row],[Expenses - Revenue Generation]]+Table13[[#This Row],[Expenses - Tech]]+Table13[[#This Row],[Expenses - Admin]]</f>
        <v>607804</v>
      </c>
      <c r="AB54" s="56">
        <v>364682</v>
      </c>
      <c r="AC54" s="71">
        <f>SUM(Table13[[#This Row],[Expenses - Revenue Generation]:[Expenses - Admin]])</f>
        <v>243122</v>
      </c>
      <c r="AD54" s="56">
        <v>151952</v>
      </c>
      <c r="AE54" s="56">
        <v>30390</v>
      </c>
      <c r="AF54" s="56">
        <v>60780</v>
      </c>
      <c r="AG54" s="59">
        <f>Table13[[#This Row],[Total FTE - Editorial]]+Table13[[#This Row],[Total FTE - Non-Editorial]]</f>
        <v>7.5</v>
      </c>
      <c r="AH54" s="59">
        <f>Table13[[#This Row],[FTE Salaried - Editorial]]+Table13[[#This Row],[FTE Contractors - Editorial]]</f>
        <v>4.5</v>
      </c>
      <c r="AI54" s="57">
        <v>4</v>
      </c>
      <c r="AJ54" s="57">
        <v>0.5</v>
      </c>
      <c r="AK54" s="60">
        <f>Table13[[#This Row],[FTE Salaried - Non-Editorial]]+Table13[[#This Row],[FTE Contractors - Non-Editorial]]</f>
        <v>3</v>
      </c>
      <c r="AL54" s="57">
        <v>3</v>
      </c>
      <c r="AM54" s="57">
        <v>0</v>
      </c>
      <c r="AN54" s="54" t="s">
        <v>351</v>
      </c>
      <c r="AQ54" s="57">
        <v>33500</v>
      </c>
      <c r="AR54" s="57">
        <v>8700</v>
      </c>
      <c r="AS54" s="57">
        <v>0</v>
      </c>
      <c r="AT54" s="57">
        <v>0</v>
      </c>
      <c r="AU54" s="57">
        <v>0</v>
      </c>
      <c r="AV54" s="57">
        <v>0</v>
      </c>
      <c r="AW54" s="57">
        <v>0</v>
      </c>
      <c r="AX54" s="57"/>
      <c r="AY54" s="57">
        <v>0</v>
      </c>
    </row>
    <row r="55" spans="1:51" x14ac:dyDescent="0.2">
      <c r="A55" s="54">
        <v>351</v>
      </c>
      <c r="B55" s="54">
        <v>2015</v>
      </c>
      <c r="C55" s="91" t="s">
        <v>80</v>
      </c>
      <c r="D55" s="54" t="s">
        <v>7</v>
      </c>
      <c r="E55" s="54" t="s">
        <v>78</v>
      </c>
      <c r="F55" s="54" t="str">
        <f>_xlfn.CONCAT(Table13[[#This Row],[Geographic Scope]],": ",Table13[[#This Row],[Sub-Type/Focus]])</f>
        <v>Local: Multiple Related Topics</v>
      </c>
      <c r="G55" s="54" t="str">
        <f>_xlfn.CONCAT(Table13[[#This Row],[Geographic Scope]],": ",Table13[[#This Row],[Sub-Type/Focus]],": ",Table13[[#This Row],[Content Type]])</f>
        <v>Local: Multiple Related Topics: Explanatory &amp; Analysis</v>
      </c>
      <c r="H55" s="54" t="str">
        <f>_xlfn.CONCAT(Table13[[#This Row],[Geographic Scope]],": ",Table13[[#This Row],[Content Type]])</f>
        <v>Local: Explanatory &amp; Analysis</v>
      </c>
      <c r="I55" s="55">
        <f>Table13[[#This Row],[Total Contributed Income]]+Table13[[#This Row],[Total Earned Income]]</f>
        <v>2466278.29</v>
      </c>
      <c r="J55" s="55">
        <f>Table13[[#This Row],[Cont. Income - Foundation]]+Table13[[#This Row],[Cont. Income - Membership]]+Table13[[#This Row],[Cont. Income - Small Donors]]+Table13[[#This Row],[Cont. Income - Med. Donors]]+Table13[[#This Row],[Cont. Income - Major Donors]]+Table13[[#This Row],[Cont. Income - Other]]</f>
        <v>2391777.83</v>
      </c>
      <c r="K55" s="55">
        <f>Table13[[#This Row],[Earned Income - Advertising]]+Table13[[#This Row],[Earned Income - Sponsorships/Underwriting]]+Table13[[#This Row],[Earned Income - Events]]+Table13[[#This Row],[Earned Income - Subscriptions]]+Table13[[#This Row],[Earned Income - Syndication]]+Table13[[#This Row],[Earned Income - Other]]</f>
        <v>74500.460000000006</v>
      </c>
      <c r="L55" s="56">
        <v>2322253.88</v>
      </c>
      <c r="M55" s="56">
        <v>0</v>
      </c>
      <c r="N55" s="71">
        <f>SUM(Table13[[#This Row],[Cont. Income - Small Donors]:[Cont. Income - Major Donors]])</f>
        <v>69523.95</v>
      </c>
      <c r="O55" s="56">
        <v>59477.95</v>
      </c>
      <c r="P55" s="56">
        <v>10046</v>
      </c>
      <c r="Q55" s="56">
        <v>0</v>
      </c>
      <c r="R55" s="56">
        <v>0</v>
      </c>
      <c r="T55" s="56">
        <v>0</v>
      </c>
      <c r="U55" s="56">
        <v>0</v>
      </c>
      <c r="V55" s="56">
        <v>0</v>
      </c>
      <c r="W55" s="56">
        <v>0</v>
      </c>
      <c r="X55" s="56">
        <v>4438</v>
      </c>
      <c r="Y55" s="56">
        <v>70062.460000000006</v>
      </c>
      <c r="Z55" s="54" t="s">
        <v>409</v>
      </c>
      <c r="AA55" s="55">
        <f>Table13[[#This Row],[Expenses - Editorial]]+Table13[[#This Row],[Expenses - Revenue Generation]]+Table13[[#This Row],[Expenses - Tech]]+Table13[[#This Row],[Expenses - Admin]]</f>
        <v>1372124</v>
      </c>
      <c r="AB55" s="56">
        <v>863973</v>
      </c>
      <c r="AC55" s="71">
        <f>SUM(Table13[[#This Row],[Expenses - Revenue Generation]:[Expenses - Admin]])</f>
        <v>508151</v>
      </c>
      <c r="AD55" s="56">
        <v>145369</v>
      </c>
      <c r="AE55" s="56">
        <v>95997</v>
      </c>
      <c r="AF55" s="56">
        <v>266785</v>
      </c>
      <c r="AG55" s="59">
        <f>Table13[[#This Row],[Total FTE - Editorial]]+Table13[[#This Row],[Total FTE - Non-Editorial]]</f>
        <v>14</v>
      </c>
      <c r="AH55" s="59">
        <f>Table13[[#This Row],[FTE Salaried - Editorial]]+Table13[[#This Row],[FTE Contractors - Editorial]]</f>
        <v>8</v>
      </c>
      <c r="AI55" s="57">
        <v>8</v>
      </c>
      <c r="AJ55" s="57">
        <v>0</v>
      </c>
      <c r="AK55" s="60">
        <f>Table13[[#This Row],[FTE Salaried - Non-Editorial]]+Table13[[#This Row],[FTE Contractors - Non-Editorial]]</f>
        <v>6</v>
      </c>
      <c r="AL55" s="57">
        <v>6</v>
      </c>
      <c r="AM55" s="57">
        <v>0</v>
      </c>
      <c r="AN55" s="54" t="s">
        <v>352</v>
      </c>
      <c r="AO55" s="54" t="s">
        <v>410</v>
      </c>
      <c r="AP55" s="54" t="s">
        <v>411</v>
      </c>
      <c r="AQ55" s="57">
        <v>69395</v>
      </c>
      <c r="AR55" s="57">
        <v>7569</v>
      </c>
      <c r="AS55" s="57">
        <v>0</v>
      </c>
      <c r="AT55" s="57">
        <v>0</v>
      </c>
      <c r="AU55" s="57">
        <v>0</v>
      </c>
      <c r="AV55" s="57">
        <v>0</v>
      </c>
      <c r="AW55" s="57">
        <v>0</v>
      </c>
      <c r="AX55" s="57"/>
      <c r="AY55" s="57">
        <v>0</v>
      </c>
    </row>
    <row r="56" spans="1:51" x14ac:dyDescent="0.2">
      <c r="A56" s="54">
        <v>352</v>
      </c>
      <c r="B56" s="54">
        <v>1976</v>
      </c>
      <c r="C56" s="91" t="s">
        <v>80</v>
      </c>
      <c r="D56" s="54" t="s">
        <v>7</v>
      </c>
      <c r="E56" s="54" t="s">
        <v>78</v>
      </c>
      <c r="F56" s="54" t="str">
        <f>_xlfn.CONCAT(Table13[[#This Row],[Geographic Scope]],": ",Table13[[#This Row],[Sub-Type/Focus]])</f>
        <v>Local: Multiple Related Topics</v>
      </c>
      <c r="G56" s="54" t="str">
        <f>_xlfn.CONCAT(Table13[[#This Row],[Geographic Scope]],": ",Table13[[#This Row],[Sub-Type/Focus]],": ",Table13[[#This Row],[Content Type]])</f>
        <v>Local: Multiple Related Topics: Explanatory &amp; Analysis</v>
      </c>
      <c r="H56" s="54" t="str">
        <f>_xlfn.CONCAT(Table13[[#This Row],[Geographic Scope]],": ",Table13[[#This Row],[Content Type]])</f>
        <v>Local: Explanatory &amp; Analysis</v>
      </c>
      <c r="I56" s="55">
        <f>Table13[[#This Row],[Total Contributed Income]]+Table13[[#This Row],[Total Earned Income]]</f>
        <v>663027</v>
      </c>
      <c r="J56" s="55">
        <f>Table13[[#This Row],[Cont. Income - Foundation]]+Table13[[#This Row],[Cont. Income - Membership]]+Table13[[#This Row],[Cont. Income - Small Donors]]+Table13[[#This Row],[Cont. Income - Med. Donors]]+Table13[[#This Row],[Cont. Income - Major Donors]]+Table13[[#This Row],[Cont. Income - Other]]</f>
        <v>610236</v>
      </c>
      <c r="K56" s="55">
        <f>Table13[[#This Row],[Earned Income - Advertising]]+Table13[[#This Row],[Earned Income - Sponsorships/Underwriting]]+Table13[[#This Row],[Earned Income - Events]]+Table13[[#This Row],[Earned Income - Subscriptions]]+Table13[[#This Row],[Earned Income - Syndication]]+Table13[[#This Row],[Earned Income - Other]]</f>
        <v>52791</v>
      </c>
      <c r="L56" s="56">
        <v>375217</v>
      </c>
      <c r="M56" s="56">
        <v>79130</v>
      </c>
      <c r="N56" s="71">
        <f>SUM(Table13[[#This Row],[Cont. Income - Small Donors]:[Cont. Income - Major Donors]])</f>
        <v>57889</v>
      </c>
      <c r="O56" s="56">
        <v>26074</v>
      </c>
      <c r="P56" s="56">
        <v>11815</v>
      </c>
      <c r="Q56" s="56">
        <v>20000</v>
      </c>
      <c r="R56" s="56">
        <v>98000</v>
      </c>
      <c r="S56" s="55" t="s">
        <v>412</v>
      </c>
      <c r="T56" s="56">
        <v>37710</v>
      </c>
      <c r="U56" s="56">
        <v>0</v>
      </c>
      <c r="V56" s="56">
        <v>1714</v>
      </c>
      <c r="W56" s="56">
        <v>0</v>
      </c>
      <c r="X56" s="56">
        <v>0</v>
      </c>
      <c r="Y56" s="56">
        <v>13367</v>
      </c>
      <c r="Z56" s="54" t="s">
        <v>413</v>
      </c>
      <c r="AA56" s="55">
        <f>Table13[[#This Row],[Expenses - Editorial]]+Table13[[#This Row],[Expenses - Revenue Generation]]+Table13[[#This Row],[Expenses - Tech]]+Table13[[#This Row],[Expenses - Admin]]</f>
        <v>666998</v>
      </c>
      <c r="AB56" s="56">
        <v>551498</v>
      </c>
      <c r="AC56" s="71">
        <f>SUM(Table13[[#This Row],[Expenses - Revenue Generation]:[Expenses - Admin]])</f>
        <v>115500</v>
      </c>
      <c r="AD56" s="56">
        <v>25500</v>
      </c>
      <c r="AE56" s="56">
        <v>30000</v>
      </c>
      <c r="AF56" s="56">
        <v>60000</v>
      </c>
      <c r="AG56" s="59">
        <f>Table13[[#This Row],[Total FTE - Editorial]]+Table13[[#This Row],[Total FTE - Non-Editorial]]</f>
        <v>8.5</v>
      </c>
      <c r="AH56" s="59">
        <f>Table13[[#This Row],[FTE Salaried - Editorial]]+Table13[[#This Row],[FTE Contractors - Editorial]]</f>
        <v>6.5</v>
      </c>
      <c r="AI56" s="57">
        <v>6.5</v>
      </c>
      <c r="AJ56" s="57">
        <v>0</v>
      </c>
      <c r="AK56" s="60">
        <f>Table13[[#This Row],[FTE Salaried - Non-Editorial]]+Table13[[#This Row],[FTE Contractors - Non-Editorial]]</f>
        <v>2</v>
      </c>
      <c r="AL56" s="57">
        <v>2</v>
      </c>
      <c r="AM56" s="57">
        <v>0</v>
      </c>
      <c r="AN56" s="54" t="s">
        <v>351</v>
      </c>
      <c r="AO56" s="54" t="s">
        <v>366</v>
      </c>
      <c r="AP56" s="54" t="s">
        <v>414</v>
      </c>
      <c r="AQ56" s="57">
        <v>114751</v>
      </c>
      <c r="AR56" s="57">
        <v>22000</v>
      </c>
      <c r="AS56" s="57">
        <v>0</v>
      </c>
      <c r="AT56" s="57">
        <v>0</v>
      </c>
      <c r="AU56" s="57">
        <v>0</v>
      </c>
      <c r="AV56" s="57">
        <v>0</v>
      </c>
      <c r="AW56" s="57">
        <v>0</v>
      </c>
      <c r="AX56" s="57"/>
      <c r="AY56" s="57">
        <v>146</v>
      </c>
    </row>
    <row r="57" spans="1:51" x14ac:dyDescent="0.2">
      <c r="A57" s="54">
        <v>380</v>
      </c>
      <c r="B57" s="54">
        <v>2011</v>
      </c>
      <c r="C57" s="91" t="s">
        <v>80</v>
      </c>
      <c r="D57" s="54" t="s">
        <v>7</v>
      </c>
      <c r="E57" s="54" t="s">
        <v>78</v>
      </c>
      <c r="F57" s="54" t="str">
        <f>_xlfn.CONCAT(Table13[[#This Row],[Geographic Scope]],": ",Table13[[#This Row],[Sub-Type/Focus]])</f>
        <v>Local: Multiple Related Topics</v>
      </c>
      <c r="G57" s="54" t="str">
        <f>_xlfn.CONCAT(Table13[[#This Row],[Geographic Scope]],": ",Table13[[#This Row],[Sub-Type/Focus]],": ",Table13[[#This Row],[Content Type]])</f>
        <v>Local: Multiple Related Topics: Explanatory &amp; Analysis</v>
      </c>
      <c r="H57" s="54" t="str">
        <f>_xlfn.CONCAT(Table13[[#This Row],[Geographic Scope]],": ",Table13[[#This Row],[Content Type]])</f>
        <v>Local: Explanatory &amp; Analysis</v>
      </c>
      <c r="I57" s="55">
        <f>Table13[[#This Row],[Total Contributed Income]]+Table13[[#This Row],[Total Earned Income]]</f>
        <v>0</v>
      </c>
      <c r="J57" s="55">
        <f>Table13[[#This Row],[Cont. Income - Foundation]]+Table13[[#This Row],[Cont. Income - Membership]]+Table13[[#This Row],[Cont. Income - Small Donors]]+Table13[[#This Row],[Cont. Income - Med. Donors]]+Table13[[#This Row],[Cont. Income - Major Donors]]+Table13[[#This Row],[Cont. Income - Other]]</f>
        <v>0</v>
      </c>
      <c r="K57" s="55">
        <f>Table13[[#This Row],[Earned Income - Advertising]]+Table13[[#This Row],[Earned Income - Sponsorships/Underwriting]]+Table13[[#This Row],[Earned Income - Events]]+Table13[[#This Row],[Earned Income - Subscriptions]]+Table13[[#This Row],[Earned Income - Syndication]]+Table13[[#This Row],[Earned Income - Other]]</f>
        <v>0</v>
      </c>
      <c r="L57" s="56"/>
      <c r="M57" s="56"/>
      <c r="N57" s="71">
        <f>SUM(Table13[[#This Row],[Cont. Income - Small Donors]:[Cont. Income - Major Donors]])</f>
        <v>0</v>
      </c>
      <c r="O57" s="56"/>
      <c r="P57" s="56"/>
      <c r="Q57" s="56"/>
      <c r="R57" s="56"/>
      <c r="T57" s="56"/>
      <c r="U57" s="56"/>
      <c r="V57" s="56"/>
      <c r="W57" s="56"/>
      <c r="X57" s="56"/>
      <c r="Y57" s="56"/>
      <c r="AA57" s="55">
        <f>Table13[[#This Row],[Expenses - Editorial]]+Table13[[#This Row],[Expenses - Revenue Generation]]+Table13[[#This Row],[Expenses - Tech]]+Table13[[#This Row],[Expenses - Admin]]</f>
        <v>75000</v>
      </c>
      <c r="AB57" s="56">
        <v>40000</v>
      </c>
      <c r="AC57" s="71">
        <f>SUM(Table13[[#This Row],[Expenses - Revenue Generation]:[Expenses - Admin]])</f>
        <v>35000</v>
      </c>
      <c r="AD57" s="56">
        <v>10000</v>
      </c>
      <c r="AE57" s="56">
        <v>5000</v>
      </c>
      <c r="AF57" s="56">
        <v>20000</v>
      </c>
      <c r="AG57" s="59">
        <f>Table13[[#This Row],[Total FTE - Editorial]]+Table13[[#This Row],[Total FTE - Non-Editorial]]</f>
        <v>4.8499999999999996</v>
      </c>
      <c r="AH57" s="59">
        <f>Table13[[#This Row],[FTE Salaried - Editorial]]+Table13[[#This Row],[FTE Contractors - Editorial]]</f>
        <v>4</v>
      </c>
      <c r="AI57" s="57">
        <v>1</v>
      </c>
      <c r="AJ57" s="57">
        <v>3</v>
      </c>
      <c r="AK57" s="60">
        <f>Table13[[#This Row],[FTE Salaried - Non-Editorial]]+Table13[[#This Row],[FTE Contractors - Non-Editorial]]</f>
        <v>0.85</v>
      </c>
      <c r="AL57" s="57">
        <v>0.5</v>
      </c>
      <c r="AM57" s="57">
        <v>0.35</v>
      </c>
      <c r="AN57" s="54" t="s">
        <v>351</v>
      </c>
      <c r="AQ57" s="57">
        <v>39166</v>
      </c>
      <c r="AR57" s="57">
        <v>13636</v>
      </c>
      <c r="AS57" s="57">
        <v>0</v>
      </c>
      <c r="AT57" s="57">
        <v>0</v>
      </c>
      <c r="AU57" s="57">
        <v>0</v>
      </c>
      <c r="AV57" s="57">
        <v>0</v>
      </c>
      <c r="AW57" s="57">
        <v>0</v>
      </c>
      <c r="AX57" s="57"/>
      <c r="AY57" s="57">
        <v>0</v>
      </c>
    </row>
    <row r="58" spans="1:51" x14ac:dyDescent="0.2">
      <c r="A58" s="54">
        <v>413</v>
      </c>
      <c r="B58" s="54">
        <v>2017</v>
      </c>
      <c r="C58" s="91" t="s">
        <v>80</v>
      </c>
      <c r="D58" s="54" t="s">
        <v>7</v>
      </c>
      <c r="E58" s="54" t="s">
        <v>78</v>
      </c>
      <c r="F58" s="54" t="str">
        <f>_xlfn.CONCAT(Table13[[#This Row],[Geographic Scope]],": ",Table13[[#This Row],[Sub-Type/Focus]])</f>
        <v>Local: Multiple Related Topics</v>
      </c>
      <c r="G58" s="54" t="str">
        <f>_xlfn.CONCAT(Table13[[#This Row],[Geographic Scope]],": ",Table13[[#This Row],[Sub-Type/Focus]],": ",Table13[[#This Row],[Content Type]])</f>
        <v>Local: Multiple Related Topics: Explanatory &amp; Analysis</v>
      </c>
      <c r="H58" s="54" t="str">
        <f>_xlfn.CONCAT(Table13[[#This Row],[Geographic Scope]],": ",Table13[[#This Row],[Content Type]])</f>
        <v>Local: Explanatory &amp; Analysis</v>
      </c>
      <c r="I58" s="55">
        <f>Table13[[#This Row],[Total Contributed Income]]+Table13[[#This Row],[Total Earned Income]]</f>
        <v>685039.5</v>
      </c>
      <c r="J58" s="55">
        <f>Table13[[#This Row],[Cont. Income - Foundation]]+Table13[[#This Row],[Cont. Income - Membership]]+Table13[[#This Row],[Cont. Income - Small Donors]]+Table13[[#This Row],[Cont. Income - Med. Donors]]+Table13[[#This Row],[Cont. Income - Major Donors]]+Table13[[#This Row],[Cont. Income - Other]]</f>
        <v>682039.5</v>
      </c>
      <c r="K58" s="55">
        <f>Table13[[#This Row],[Earned Income - Advertising]]+Table13[[#This Row],[Earned Income - Sponsorships/Underwriting]]+Table13[[#This Row],[Earned Income - Events]]+Table13[[#This Row],[Earned Income - Subscriptions]]+Table13[[#This Row],[Earned Income - Syndication]]+Table13[[#This Row],[Earned Income - Other]]</f>
        <v>3000</v>
      </c>
      <c r="L58" s="56">
        <v>529420</v>
      </c>
      <c r="M58" s="56">
        <v>0</v>
      </c>
      <c r="N58" s="71">
        <f>SUM(Table13[[#This Row],[Cont. Income - Small Donors]:[Cont. Income - Major Donors]])</f>
        <v>107619.5</v>
      </c>
      <c r="O58" s="56">
        <v>50118.5</v>
      </c>
      <c r="P58" s="56">
        <v>12500</v>
      </c>
      <c r="Q58" s="56">
        <v>45001</v>
      </c>
      <c r="R58" s="56">
        <v>45000</v>
      </c>
      <c r="S58" s="55">
        <v>4</v>
      </c>
      <c r="T58" s="56">
        <v>0</v>
      </c>
      <c r="U58" s="56">
        <v>3000</v>
      </c>
      <c r="V58" s="56">
        <v>0</v>
      </c>
      <c r="W58" s="56">
        <v>0</v>
      </c>
      <c r="X58" s="56">
        <v>0</v>
      </c>
      <c r="Y58" s="56">
        <v>0</v>
      </c>
      <c r="AA58" s="55">
        <f>Table13[[#This Row],[Expenses - Editorial]]+Table13[[#This Row],[Expenses - Revenue Generation]]+Table13[[#This Row],[Expenses - Tech]]+Table13[[#This Row],[Expenses - Admin]]</f>
        <v>402157.99</v>
      </c>
      <c r="AB58" s="56">
        <v>289383.28000000003</v>
      </c>
      <c r="AC58" s="71">
        <f>SUM(Table13[[#This Row],[Expenses - Revenue Generation]:[Expenses - Admin]])</f>
        <v>112774.71</v>
      </c>
      <c r="AD58" s="56">
        <v>38755.11</v>
      </c>
      <c r="AE58" s="56">
        <v>6303.41</v>
      </c>
      <c r="AF58" s="56">
        <v>67716.19</v>
      </c>
      <c r="AG58" s="59">
        <f>Table13[[#This Row],[Total FTE - Editorial]]+Table13[[#This Row],[Total FTE - Non-Editorial]]</f>
        <v>4</v>
      </c>
      <c r="AH58" s="59">
        <f>Table13[[#This Row],[FTE Salaried - Editorial]]+Table13[[#This Row],[FTE Contractors - Editorial]]</f>
        <v>4</v>
      </c>
      <c r="AI58" s="57">
        <v>3</v>
      </c>
      <c r="AJ58" s="57">
        <v>1</v>
      </c>
      <c r="AK58" s="60">
        <f>Table13[[#This Row],[FTE Salaried - Non-Editorial]]+Table13[[#This Row],[FTE Contractors - Non-Editorial]]</f>
        <v>0</v>
      </c>
      <c r="AL58" s="57">
        <v>0</v>
      </c>
      <c r="AM58" s="57">
        <v>0</v>
      </c>
      <c r="AN58" s="54" t="s">
        <v>351</v>
      </c>
      <c r="AO58" s="54" t="s">
        <v>356</v>
      </c>
      <c r="AP58" s="54" t="s">
        <v>415</v>
      </c>
      <c r="AQ58" s="57">
        <v>20000</v>
      </c>
      <c r="AR58" s="57">
        <v>1805</v>
      </c>
      <c r="AS58" s="57">
        <v>0</v>
      </c>
      <c r="AT58" s="57">
        <v>0</v>
      </c>
      <c r="AU58" s="57">
        <v>0</v>
      </c>
      <c r="AV58" s="57">
        <v>0</v>
      </c>
      <c r="AW58" s="57">
        <v>0</v>
      </c>
      <c r="AX58" s="57"/>
      <c r="AY58" s="57">
        <v>0</v>
      </c>
    </row>
    <row r="59" spans="1:51" x14ac:dyDescent="0.2">
      <c r="A59" s="54">
        <v>419</v>
      </c>
      <c r="B59" s="54">
        <v>2012</v>
      </c>
      <c r="C59" s="91" t="s">
        <v>80</v>
      </c>
      <c r="D59" s="54" t="s">
        <v>7</v>
      </c>
      <c r="E59" s="54" t="s">
        <v>78</v>
      </c>
      <c r="F59" s="54" t="str">
        <f>_xlfn.CONCAT(Table13[[#This Row],[Geographic Scope]],": ",Table13[[#This Row],[Sub-Type/Focus]])</f>
        <v>Local: Multiple Related Topics</v>
      </c>
      <c r="G59" s="54" t="str">
        <f>_xlfn.CONCAT(Table13[[#This Row],[Geographic Scope]],": ",Table13[[#This Row],[Sub-Type/Focus]],": ",Table13[[#This Row],[Content Type]])</f>
        <v>Local: Multiple Related Topics: Explanatory &amp; Analysis</v>
      </c>
      <c r="H59" s="54" t="str">
        <f>_xlfn.CONCAT(Table13[[#This Row],[Geographic Scope]],": ",Table13[[#This Row],[Content Type]])</f>
        <v>Local: Explanatory &amp; Analysis</v>
      </c>
      <c r="I59" s="55">
        <f>Table13[[#This Row],[Total Contributed Income]]+Table13[[#This Row],[Total Earned Income]]</f>
        <v>80102</v>
      </c>
      <c r="J59" s="55">
        <f>Table13[[#This Row],[Cont. Income - Foundation]]+Table13[[#This Row],[Cont. Income - Membership]]+Table13[[#This Row],[Cont. Income - Small Donors]]+Table13[[#This Row],[Cont. Income - Med. Donors]]+Table13[[#This Row],[Cont. Income - Major Donors]]+Table13[[#This Row],[Cont. Income - Other]]</f>
        <v>68779</v>
      </c>
      <c r="K59" s="55">
        <f>Table13[[#This Row],[Earned Income - Advertising]]+Table13[[#This Row],[Earned Income - Sponsorships/Underwriting]]+Table13[[#This Row],[Earned Income - Events]]+Table13[[#This Row],[Earned Income - Subscriptions]]+Table13[[#This Row],[Earned Income - Syndication]]+Table13[[#This Row],[Earned Income - Other]]</f>
        <v>11323</v>
      </c>
      <c r="L59" s="56">
        <v>22000</v>
      </c>
      <c r="M59" s="56">
        <v>0</v>
      </c>
      <c r="N59" s="71">
        <f>SUM(Table13[[#This Row],[Cont. Income - Small Donors]:[Cont. Income - Major Donors]])</f>
        <v>46779</v>
      </c>
      <c r="O59" s="56">
        <v>35279</v>
      </c>
      <c r="P59" s="56">
        <v>6500</v>
      </c>
      <c r="Q59" s="56">
        <v>5000</v>
      </c>
      <c r="R59" s="56">
        <v>0</v>
      </c>
      <c r="T59" s="56">
        <v>11323</v>
      </c>
      <c r="U59" s="56">
        <v>0</v>
      </c>
      <c r="V59" s="56">
        <v>0</v>
      </c>
      <c r="W59" s="56">
        <v>0</v>
      </c>
      <c r="X59" s="56">
        <v>0</v>
      </c>
      <c r="Y59" s="56">
        <v>0</v>
      </c>
      <c r="AA59" s="55">
        <f>Table13[[#This Row],[Expenses - Editorial]]+Table13[[#This Row],[Expenses - Revenue Generation]]+Table13[[#This Row],[Expenses - Tech]]+Table13[[#This Row],[Expenses - Admin]]</f>
        <v>77077</v>
      </c>
      <c r="AB59" s="56">
        <v>64479</v>
      </c>
      <c r="AC59" s="71">
        <f>SUM(Table13[[#This Row],[Expenses - Revenue Generation]:[Expenses - Admin]])</f>
        <v>12598</v>
      </c>
      <c r="AD59" s="56">
        <v>0</v>
      </c>
      <c r="AE59" s="56">
        <v>2384</v>
      </c>
      <c r="AF59" s="56">
        <v>10214</v>
      </c>
      <c r="AG59" s="59">
        <f>Table13[[#This Row],[Total FTE - Editorial]]+Table13[[#This Row],[Total FTE - Non-Editorial]]</f>
        <v>2.5</v>
      </c>
      <c r="AH59" s="59">
        <f>Table13[[#This Row],[FTE Salaried - Editorial]]+Table13[[#This Row],[FTE Contractors - Editorial]]</f>
        <v>2</v>
      </c>
      <c r="AI59" s="57">
        <v>1</v>
      </c>
      <c r="AJ59" s="57">
        <v>1</v>
      </c>
      <c r="AK59" s="60">
        <f>Table13[[#This Row],[FTE Salaried - Non-Editorial]]+Table13[[#This Row],[FTE Contractors - Non-Editorial]]</f>
        <v>0.5</v>
      </c>
      <c r="AL59" s="57">
        <v>0</v>
      </c>
      <c r="AM59" s="57">
        <v>0.5</v>
      </c>
      <c r="AN59" s="54" t="s">
        <v>351</v>
      </c>
      <c r="AO59" s="54" t="s">
        <v>356</v>
      </c>
      <c r="AP59" s="54" t="s">
        <v>416</v>
      </c>
      <c r="AQ59" s="57">
        <v>32231</v>
      </c>
      <c r="AR59" s="57">
        <v>2038</v>
      </c>
      <c r="AS59" s="57">
        <v>0</v>
      </c>
      <c r="AT59" s="57">
        <v>0</v>
      </c>
      <c r="AU59" s="57">
        <v>0</v>
      </c>
      <c r="AV59" s="57">
        <v>0</v>
      </c>
      <c r="AW59" s="57">
        <v>0</v>
      </c>
      <c r="AX59" s="57">
        <v>0</v>
      </c>
      <c r="AY59" s="57">
        <v>0</v>
      </c>
    </row>
    <row r="60" spans="1:51" x14ac:dyDescent="0.2">
      <c r="A60" s="54">
        <v>502</v>
      </c>
      <c r="B60" s="54">
        <v>2009</v>
      </c>
      <c r="C60" s="91" t="s">
        <v>80</v>
      </c>
      <c r="D60" s="54" t="s">
        <v>7</v>
      </c>
      <c r="E60" s="54" t="s">
        <v>78</v>
      </c>
      <c r="F60" s="54" t="str">
        <f>_xlfn.CONCAT(Table13[[#This Row],[Geographic Scope]],": ",Table13[[#This Row],[Sub-Type/Focus]])</f>
        <v>Local: Multiple Related Topics</v>
      </c>
      <c r="G60" s="54" t="str">
        <f>_xlfn.CONCAT(Table13[[#This Row],[Geographic Scope]],": ",Table13[[#This Row],[Sub-Type/Focus]],": ",Table13[[#This Row],[Content Type]])</f>
        <v>Local: Multiple Related Topics: Explanatory &amp; Analysis</v>
      </c>
      <c r="H60" s="54" t="str">
        <f>_xlfn.CONCAT(Table13[[#This Row],[Geographic Scope]],": ",Table13[[#This Row],[Content Type]])</f>
        <v>Local: Explanatory &amp; Analysis</v>
      </c>
      <c r="I60" s="55">
        <f>Table13[[#This Row],[Total Contributed Income]]+Table13[[#This Row],[Total Earned Income]]</f>
        <v>555656</v>
      </c>
      <c r="J60" s="55">
        <f>Table13[[#This Row],[Cont. Income - Foundation]]+Table13[[#This Row],[Cont. Income - Membership]]+Table13[[#This Row],[Cont. Income - Small Donors]]+Table13[[#This Row],[Cont. Income - Med. Donors]]+Table13[[#This Row],[Cont. Income - Major Donors]]+Table13[[#This Row],[Cont. Income - Other]]</f>
        <v>553156</v>
      </c>
      <c r="K60" s="55">
        <f>Table13[[#This Row],[Earned Income - Advertising]]+Table13[[#This Row],[Earned Income - Sponsorships/Underwriting]]+Table13[[#This Row],[Earned Income - Events]]+Table13[[#This Row],[Earned Income - Subscriptions]]+Table13[[#This Row],[Earned Income - Syndication]]+Table13[[#This Row],[Earned Income - Other]]</f>
        <v>2500</v>
      </c>
      <c r="L60" s="56">
        <v>443250</v>
      </c>
      <c r="M60" s="56">
        <v>0</v>
      </c>
      <c r="N60" s="71">
        <f>SUM(Table13[[#This Row],[Cont. Income - Small Donors]:[Cont. Income - Major Donors]])</f>
        <v>109906</v>
      </c>
      <c r="O60" s="56">
        <v>61261</v>
      </c>
      <c r="P60" s="56">
        <v>23645</v>
      </c>
      <c r="Q60" s="56">
        <v>25000</v>
      </c>
      <c r="R60" s="56">
        <v>0</v>
      </c>
      <c r="T60" s="56">
        <v>0</v>
      </c>
      <c r="U60" s="56">
        <v>2500</v>
      </c>
      <c r="V60" s="56">
        <v>0</v>
      </c>
      <c r="W60" s="56">
        <v>0</v>
      </c>
      <c r="X60" s="56">
        <v>0</v>
      </c>
      <c r="Y60" s="56">
        <v>0</v>
      </c>
      <c r="AA60" s="55">
        <f>Table13[[#This Row],[Expenses - Editorial]]+Table13[[#This Row],[Expenses - Revenue Generation]]+Table13[[#This Row],[Expenses - Tech]]+Table13[[#This Row],[Expenses - Admin]]</f>
        <v>729810.49</v>
      </c>
      <c r="AB60" s="56">
        <v>455138.44</v>
      </c>
      <c r="AC60" s="71">
        <f>SUM(Table13[[#This Row],[Expenses - Revenue Generation]:[Expenses - Admin]])</f>
        <v>274672.05</v>
      </c>
      <c r="AD60" s="56">
        <v>69652.06</v>
      </c>
      <c r="AE60" s="56">
        <v>117575.2</v>
      </c>
      <c r="AF60" s="56">
        <v>87444.79</v>
      </c>
      <c r="AG60" s="59">
        <f>Table13[[#This Row],[Total FTE - Editorial]]+Table13[[#This Row],[Total FTE - Non-Editorial]]</f>
        <v>12</v>
      </c>
      <c r="AH60" s="59">
        <f>Table13[[#This Row],[FTE Salaried - Editorial]]+Table13[[#This Row],[FTE Contractors - Editorial]]</f>
        <v>10</v>
      </c>
      <c r="AI60" s="57">
        <v>5</v>
      </c>
      <c r="AJ60" s="57">
        <v>5</v>
      </c>
      <c r="AK60" s="60">
        <f>Table13[[#This Row],[FTE Salaried - Non-Editorial]]+Table13[[#This Row],[FTE Contractors - Non-Editorial]]</f>
        <v>2</v>
      </c>
      <c r="AL60" s="57">
        <v>1</v>
      </c>
      <c r="AM60" s="57">
        <v>1</v>
      </c>
      <c r="AN60" s="54" t="s">
        <v>351</v>
      </c>
      <c r="AO60" s="54" t="s">
        <v>359</v>
      </c>
      <c r="AQ60" s="57">
        <v>700000</v>
      </c>
      <c r="AR60" s="57">
        <v>15500</v>
      </c>
      <c r="AS60" s="57">
        <v>0</v>
      </c>
      <c r="AT60" s="57">
        <v>0</v>
      </c>
      <c r="AU60" s="57">
        <v>0</v>
      </c>
      <c r="AV60" s="57">
        <v>0</v>
      </c>
      <c r="AW60" s="57">
        <v>0</v>
      </c>
      <c r="AX60" s="57"/>
      <c r="AY60" s="57">
        <v>0</v>
      </c>
    </row>
    <row r="61" spans="1:51" x14ac:dyDescent="0.2">
      <c r="A61" s="54">
        <v>2907</v>
      </c>
      <c r="B61" s="54">
        <v>2019</v>
      </c>
      <c r="C61" s="91" t="s">
        <v>80</v>
      </c>
      <c r="D61" s="54" t="s">
        <v>7</v>
      </c>
      <c r="E61" s="54" t="s">
        <v>78</v>
      </c>
      <c r="F61" s="54" t="str">
        <f>_xlfn.CONCAT(Table13[[#This Row],[Geographic Scope]],": ",Table13[[#This Row],[Sub-Type/Focus]])</f>
        <v>Local: Multiple Related Topics</v>
      </c>
      <c r="G61" s="54" t="str">
        <f>_xlfn.CONCAT(Table13[[#This Row],[Geographic Scope]],": ",Table13[[#This Row],[Sub-Type/Focus]],": ",Table13[[#This Row],[Content Type]])</f>
        <v>Local: Multiple Related Topics: Explanatory &amp; Analysis</v>
      </c>
      <c r="H61" s="54" t="str">
        <f>_xlfn.CONCAT(Table13[[#This Row],[Geographic Scope]],": ",Table13[[#This Row],[Content Type]])</f>
        <v>Local: Explanatory &amp; Analysis</v>
      </c>
      <c r="I61" s="55">
        <f>Table13[[#This Row],[Total Contributed Income]]+Table13[[#This Row],[Total Earned Income]]</f>
        <v>31865.24</v>
      </c>
      <c r="J61" s="55">
        <f>Table13[[#This Row],[Cont. Income - Foundation]]+Table13[[#This Row],[Cont. Income - Membership]]+Table13[[#This Row],[Cont. Income - Small Donors]]+Table13[[#This Row],[Cont. Income - Med. Donors]]+Table13[[#This Row],[Cont. Income - Major Donors]]+Table13[[#This Row],[Cont. Income - Other]]</f>
        <v>30664.560000000001</v>
      </c>
      <c r="K61" s="55">
        <f>Table13[[#This Row],[Earned Income - Advertising]]+Table13[[#This Row],[Earned Income - Sponsorships/Underwriting]]+Table13[[#This Row],[Earned Income - Events]]+Table13[[#This Row],[Earned Income - Subscriptions]]+Table13[[#This Row],[Earned Income - Syndication]]+Table13[[#This Row],[Earned Income - Other]]</f>
        <v>1200.6799999999998</v>
      </c>
      <c r="L61" s="56">
        <v>0</v>
      </c>
      <c r="M61" s="56">
        <v>3450.54</v>
      </c>
      <c r="N61" s="71">
        <f>SUM(Table13[[#This Row],[Cont. Income - Small Donors]:[Cont. Income - Major Donors]])</f>
        <v>27214.02</v>
      </c>
      <c r="O61" s="56">
        <v>21214.02</v>
      </c>
      <c r="P61" s="56">
        <v>1000</v>
      </c>
      <c r="Q61" s="56">
        <v>5000</v>
      </c>
      <c r="R61" s="56">
        <v>0</v>
      </c>
      <c r="T61" s="56">
        <v>675.68</v>
      </c>
      <c r="U61" s="56">
        <v>0</v>
      </c>
      <c r="V61" s="56">
        <v>0</v>
      </c>
      <c r="W61" s="56">
        <v>0</v>
      </c>
      <c r="X61" s="56">
        <v>0</v>
      </c>
      <c r="Y61" s="56">
        <v>525</v>
      </c>
      <c r="Z61" s="54" t="s">
        <v>350</v>
      </c>
      <c r="AA61" s="55">
        <f>Table13[[#This Row],[Expenses - Editorial]]+Table13[[#This Row],[Expenses - Revenue Generation]]+Table13[[#This Row],[Expenses - Tech]]+Table13[[#This Row],[Expenses - Admin]]</f>
        <v>4148.13</v>
      </c>
      <c r="AB61" s="56">
        <v>25</v>
      </c>
      <c r="AC61" s="71">
        <f>SUM(Table13[[#This Row],[Expenses - Revenue Generation]:[Expenses - Admin]])</f>
        <v>4123.13</v>
      </c>
      <c r="AD61" s="56">
        <v>1879.63</v>
      </c>
      <c r="AE61" s="56">
        <v>318.04000000000002</v>
      </c>
      <c r="AF61" s="56">
        <v>1925.46</v>
      </c>
      <c r="AG61" s="59">
        <f>Table13[[#This Row],[Total FTE - Editorial]]+Table13[[#This Row],[Total FTE - Non-Editorial]]</f>
        <v>0</v>
      </c>
      <c r="AH61" s="59">
        <f>Table13[[#This Row],[FTE Salaried - Editorial]]+Table13[[#This Row],[FTE Contractors - Editorial]]</f>
        <v>0</v>
      </c>
      <c r="AI61" s="57">
        <v>0</v>
      </c>
      <c r="AJ61" s="57">
        <v>0</v>
      </c>
      <c r="AK61" s="60">
        <f>Table13[[#This Row],[FTE Salaried - Non-Editorial]]+Table13[[#This Row],[FTE Contractors - Non-Editorial]]</f>
        <v>0</v>
      </c>
      <c r="AL61" s="57">
        <v>0</v>
      </c>
      <c r="AM61" s="57">
        <v>0</v>
      </c>
      <c r="AN61" s="54" t="s">
        <v>351</v>
      </c>
      <c r="AQ61" s="57">
        <v>32000</v>
      </c>
      <c r="AR61" s="57">
        <v>850</v>
      </c>
      <c r="AS61" s="57">
        <v>0</v>
      </c>
      <c r="AT61" s="57">
        <v>0</v>
      </c>
      <c r="AU61" s="57">
        <v>0</v>
      </c>
      <c r="AV61" s="57">
        <v>0</v>
      </c>
      <c r="AW61" s="57">
        <v>0</v>
      </c>
      <c r="AX61" s="57"/>
      <c r="AY61" s="57">
        <v>0</v>
      </c>
    </row>
    <row r="62" spans="1:51" x14ac:dyDescent="0.2">
      <c r="A62" s="54">
        <v>6841</v>
      </c>
      <c r="B62" s="54">
        <v>2017</v>
      </c>
      <c r="C62" s="91" t="s">
        <v>80</v>
      </c>
      <c r="D62" s="54" t="s">
        <v>7</v>
      </c>
      <c r="E62" s="54" t="s">
        <v>78</v>
      </c>
      <c r="F62" s="54" t="str">
        <f>_xlfn.CONCAT(Table13[[#This Row],[Geographic Scope]],": ",Table13[[#This Row],[Sub-Type/Focus]])</f>
        <v>Local: Multiple Related Topics</v>
      </c>
      <c r="G62" s="54" t="str">
        <f>_xlfn.CONCAT(Table13[[#This Row],[Geographic Scope]],": ",Table13[[#This Row],[Sub-Type/Focus]],": ",Table13[[#This Row],[Content Type]])</f>
        <v>Local: Multiple Related Topics: Explanatory &amp; Analysis</v>
      </c>
      <c r="H62" s="54" t="str">
        <f>_xlfn.CONCAT(Table13[[#This Row],[Geographic Scope]],": ",Table13[[#This Row],[Content Type]])</f>
        <v>Local: Explanatory &amp; Analysis</v>
      </c>
      <c r="I62" s="55">
        <f>Table13[[#This Row],[Total Contributed Income]]+Table13[[#This Row],[Total Earned Income]]</f>
        <v>27301</v>
      </c>
      <c r="J62" s="55">
        <f>Table13[[#This Row],[Cont. Income - Foundation]]+Table13[[#This Row],[Cont. Income - Membership]]+Table13[[#This Row],[Cont. Income - Small Donors]]+Table13[[#This Row],[Cont. Income - Med. Donors]]+Table13[[#This Row],[Cont. Income - Major Donors]]+Table13[[#This Row],[Cont. Income - Other]]</f>
        <v>27301</v>
      </c>
      <c r="K62" s="55">
        <f>Table13[[#This Row],[Earned Income - Advertising]]+Table13[[#This Row],[Earned Income - Sponsorships/Underwriting]]+Table13[[#This Row],[Earned Income - Events]]+Table13[[#This Row],[Earned Income - Subscriptions]]+Table13[[#This Row],[Earned Income - Syndication]]+Table13[[#This Row],[Earned Income - Other]]</f>
        <v>0</v>
      </c>
      <c r="L62" s="56">
        <v>0</v>
      </c>
      <c r="M62" s="56">
        <v>0</v>
      </c>
      <c r="N62" s="71">
        <f>SUM(Table13[[#This Row],[Cont. Income - Small Donors]:[Cont. Income - Major Donors]])</f>
        <v>26501</v>
      </c>
      <c r="O62" s="56">
        <v>13001</v>
      </c>
      <c r="P62" s="56">
        <v>13500</v>
      </c>
      <c r="Q62" s="56">
        <v>0</v>
      </c>
      <c r="R62" s="56">
        <v>800</v>
      </c>
      <c r="S62" s="55" t="s">
        <v>417</v>
      </c>
      <c r="T62" s="56">
        <v>0</v>
      </c>
      <c r="U62" s="56">
        <v>0</v>
      </c>
      <c r="V62" s="56">
        <v>0</v>
      </c>
      <c r="W62" s="56">
        <v>0</v>
      </c>
      <c r="X62" s="56">
        <v>0</v>
      </c>
      <c r="Y62" s="56">
        <v>0</v>
      </c>
      <c r="AA62" s="55">
        <f>Table13[[#This Row],[Expenses - Editorial]]+Table13[[#This Row],[Expenses - Revenue Generation]]+Table13[[#This Row],[Expenses - Tech]]+Table13[[#This Row],[Expenses - Admin]]</f>
        <v>17810</v>
      </c>
      <c r="AB62" s="56">
        <v>16160</v>
      </c>
      <c r="AC62" s="71">
        <f>SUM(Table13[[#This Row],[Expenses - Revenue Generation]:[Expenses - Admin]])</f>
        <v>1650</v>
      </c>
      <c r="AD62" s="56">
        <v>0</v>
      </c>
      <c r="AE62" s="56">
        <v>0</v>
      </c>
      <c r="AF62" s="56">
        <v>1650</v>
      </c>
      <c r="AG62" s="59">
        <f>Table13[[#This Row],[Total FTE - Editorial]]+Table13[[#This Row],[Total FTE - Non-Editorial]]</f>
        <v>0</v>
      </c>
      <c r="AH62" s="59">
        <f>Table13[[#This Row],[FTE Salaried - Editorial]]+Table13[[#This Row],[FTE Contractors - Editorial]]</f>
        <v>0</v>
      </c>
      <c r="AI62" s="57">
        <v>0</v>
      </c>
      <c r="AJ62" s="57">
        <v>0</v>
      </c>
      <c r="AK62" s="60">
        <f>Table13[[#This Row],[FTE Salaried - Non-Editorial]]+Table13[[#This Row],[FTE Contractors - Non-Editorial]]</f>
        <v>0</v>
      </c>
      <c r="AL62" s="57">
        <v>0</v>
      </c>
      <c r="AM62" s="57">
        <v>0</v>
      </c>
      <c r="AN62" s="54" t="s">
        <v>351</v>
      </c>
      <c r="AQ62" s="57">
        <v>250</v>
      </c>
      <c r="AR62" s="57">
        <v>320</v>
      </c>
      <c r="AS62" s="57">
        <v>0</v>
      </c>
      <c r="AT62" s="57">
        <v>0</v>
      </c>
      <c r="AU62" s="57">
        <v>0</v>
      </c>
      <c r="AV62" s="57">
        <v>0</v>
      </c>
      <c r="AW62" s="57">
        <v>0</v>
      </c>
      <c r="AX62" s="57"/>
      <c r="AY62" s="57">
        <v>0</v>
      </c>
    </row>
    <row r="63" spans="1:51" x14ac:dyDescent="0.2">
      <c r="A63" s="54">
        <v>332</v>
      </c>
      <c r="B63" s="54">
        <v>2001</v>
      </c>
      <c r="C63" s="91" t="s">
        <v>80</v>
      </c>
      <c r="D63" s="54" t="s">
        <v>7</v>
      </c>
      <c r="E63" s="54" t="s">
        <v>79</v>
      </c>
      <c r="F63" s="54" t="str">
        <f>_xlfn.CONCAT(Table13[[#This Row],[Geographic Scope]],": ",Table13[[#This Row],[Sub-Type/Focus]])</f>
        <v>Local: Single-Topic</v>
      </c>
      <c r="G63" s="54" t="str">
        <f>_xlfn.CONCAT(Table13[[#This Row],[Geographic Scope]],": ",Table13[[#This Row],[Sub-Type/Focus]],": ",Table13[[#This Row],[Content Type]])</f>
        <v>Local: Single-Topic: Explanatory &amp; Analysis</v>
      </c>
      <c r="H63" s="54" t="str">
        <f>_xlfn.CONCAT(Table13[[#This Row],[Geographic Scope]],": ",Table13[[#This Row],[Content Type]])</f>
        <v>Local: Explanatory &amp; Analysis</v>
      </c>
      <c r="I63" s="55">
        <f>Table13[[#This Row],[Total Contributed Income]]+Table13[[#This Row],[Total Earned Income]]</f>
        <v>988400</v>
      </c>
      <c r="J63" s="55">
        <f>Table13[[#This Row],[Cont. Income - Foundation]]+Table13[[#This Row],[Cont. Income - Membership]]+Table13[[#This Row],[Cont. Income - Small Donors]]+Table13[[#This Row],[Cont. Income - Med. Donors]]+Table13[[#This Row],[Cont. Income - Major Donors]]+Table13[[#This Row],[Cont. Income - Other]]</f>
        <v>543132</v>
      </c>
      <c r="K63" s="55">
        <f>Table13[[#This Row],[Earned Income - Advertising]]+Table13[[#This Row],[Earned Income - Sponsorships/Underwriting]]+Table13[[#This Row],[Earned Income - Events]]+Table13[[#This Row],[Earned Income - Subscriptions]]+Table13[[#This Row],[Earned Income - Syndication]]+Table13[[#This Row],[Earned Income - Other]]</f>
        <v>445268</v>
      </c>
      <c r="L63" s="56">
        <v>22350</v>
      </c>
      <c r="M63" s="56">
        <v>0</v>
      </c>
      <c r="N63" s="71">
        <f>SUM(Table13[[#This Row],[Cont. Income - Small Donors]:[Cont. Income - Major Donors]])</f>
        <v>398758</v>
      </c>
      <c r="O63" s="56">
        <v>230264</v>
      </c>
      <c r="P63" s="56">
        <v>88037</v>
      </c>
      <c r="Q63" s="56">
        <v>80457</v>
      </c>
      <c r="R63" s="56">
        <v>122024</v>
      </c>
      <c r="S63" s="55" t="s">
        <v>418</v>
      </c>
      <c r="T63" s="56">
        <v>161782</v>
      </c>
      <c r="U63" s="56">
        <v>56716</v>
      </c>
      <c r="V63" s="56">
        <v>67460</v>
      </c>
      <c r="W63" s="56">
        <v>145925</v>
      </c>
      <c r="X63" s="56">
        <v>0</v>
      </c>
      <c r="Y63" s="56">
        <v>13385</v>
      </c>
      <c r="Z63" s="54" t="s">
        <v>419</v>
      </c>
      <c r="AA63" s="55">
        <f>Table13[[#This Row],[Expenses - Editorial]]+Table13[[#This Row],[Expenses - Revenue Generation]]+Table13[[#This Row],[Expenses - Tech]]+Table13[[#This Row],[Expenses - Admin]]</f>
        <v>899704</v>
      </c>
      <c r="AB63" s="56">
        <v>319656</v>
      </c>
      <c r="AC63" s="71">
        <f>SUM(Table13[[#This Row],[Expenses - Revenue Generation]:[Expenses - Admin]])</f>
        <v>580048</v>
      </c>
      <c r="AD63" s="56">
        <v>420667</v>
      </c>
      <c r="AE63" s="56">
        <v>48914</v>
      </c>
      <c r="AF63" s="56">
        <v>110467</v>
      </c>
      <c r="AG63" s="59">
        <f>Table13[[#This Row],[Total FTE - Editorial]]+Table13[[#This Row],[Total FTE - Non-Editorial]]</f>
        <v>9.2750000000000004</v>
      </c>
      <c r="AH63" s="59">
        <f>Table13[[#This Row],[FTE Salaried - Editorial]]+Table13[[#This Row],[FTE Contractors - Editorial]]</f>
        <v>3.75</v>
      </c>
      <c r="AI63" s="57">
        <v>2.5</v>
      </c>
      <c r="AJ63" s="57">
        <v>1.25</v>
      </c>
      <c r="AK63" s="60">
        <f>Table13[[#This Row],[FTE Salaried - Non-Editorial]]+Table13[[#This Row],[FTE Contractors - Non-Editorial]]</f>
        <v>5.5250000000000004</v>
      </c>
      <c r="AL63" s="57">
        <v>4.5250000000000004</v>
      </c>
      <c r="AM63" s="57">
        <v>1</v>
      </c>
      <c r="AN63" s="54" t="s">
        <v>347</v>
      </c>
      <c r="AO63" s="54" t="s">
        <v>351</v>
      </c>
      <c r="AQ63" s="57">
        <v>85495</v>
      </c>
      <c r="AR63" s="57">
        <v>16000</v>
      </c>
      <c r="AS63" s="57">
        <v>8300</v>
      </c>
      <c r="AT63" s="57">
        <v>1</v>
      </c>
      <c r="AU63" s="57">
        <v>0</v>
      </c>
      <c r="AV63" s="57">
        <v>0</v>
      </c>
      <c r="AW63" s="57">
        <v>0</v>
      </c>
      <c r="AX63" s="57"/>
      <c r="AY63" s="57">
        <v>0</v>
      </c>
    </row>
    <row r="64" spans="1:51" x14ac:dyDescent="0.2">
      <c r="A64" s="54">
        <v>3063</v>
      </c>
      <c r="B64" s="54">
        <v>2018</v>
      </c>
      <c r="C64" s="91" t="s">
        <v>80</v>
      </c>
      <c r="D64" s="54" t="s">
        <v>7</v>
      </c>
      <c r="E64" s="54" t="s">
        <v>79</v>
      </c>
      <c r="F64" s="54" t="str">
        <f>_xlfn.CONCAT(Table13[[#This Row],[Geographic Scope]],": ",Table13[[#This Row],[Sub-Type/Focus]])</f>
        <v>Local: Single-Topic</v>
      </c>
      <c r="G64" s="54" t="str">
        <f>_xlfn.CONCAT(Table13[[#This Row],[Geographic Scope]],": ",Table13[[#This Row],[Sub-Type/Focus]],": ",Table13[[#This Row],[Content Type]])</f>
        <v>Local: Single-Topic: Explanatory &amp; Analysis</v>
      </c>
      <c r="H64" s="54" t="str">
        <f>_xlfn.CONCAT(Table13[[#This Row],[Geographic Scope]],": ",Table13[[#This Row],[Content Type]])</f>
        <v>Local: Explanatory &amp; Analysis</v>
      </c>
      <c r="I64" s="55">
        <f>Table13[[#This Row],[Total Contributed Income]]+Table13[[#This Row],[Total Earned Income]]</f>
        <v>30240.93</v>
      </c>
      <c r="J64" s="55">
        <f>Table13[[#This Row],[Cont. Income - Foundation]]+Table13[[#This Row],[Cont. Income - Membership]]+Table13[[#This Row],[Cont. Income - Small Donors]]+Table13[[#This Row],[Cont. Income - Med. Donors]]+Table13[[#This Row],[Cont. Income - Major Donors]]+Table13[[#This Row],[Cont. Income - Other]]</f>
        <v>26312.36</v>
      </c>
      <c r="K64" s="55">
        <f>Table13[[#This Row],[Earned Income - Advertising]]+Table13[[#This Row],[Earned Income - Sponsorships/Underwriting]]+Table13[[#This Row],[Earned Income - Events]]+Table13[[#This Row],[Earned Income - Subscriptions]]+Table13[[#This Row],[Earned Income - Syndication]]+Table13[[#This Row],[Earned Income - Other]]</f>
        <v>3928.57</v>
      </c>
      <c r="L64" s="56">
        <v>0</v>
      </c>
      <c r="M64" s="56">
        <v>11337.44</v>
      </c>
      <c r="N64" s="71">
        <f>SUM(Table13[[#This Row],[Cont. Income - Small Donors]:[Cont. Income - Major Donors]])</f>
        <v>14974.92</v>
      </c>
      <c r="O64" s="56">
        <v>13774.92</v>
      </c>
      <c r="P64" s="56">
        <v>1200</v>
      </c>
      <c r="Q64" s="56">
        <v>0</v>
      </c>
      <c r="R64" s="56">
        <v>0</v>
      </c>
      <c r="T64" s="56">
        <v>0</v>
      </c>
      <c r="U64" s="56">
        <v>3400</v>
      </c>
      <c r="V64" s="56">
        <v>528.57000000000005</v>
      </c>
      <c r="W64" s="56">
        <v>0</v>
      </c>
      <c r="X64" s="56">
        <v>0</v>
      </c>
      <c r="Y64" s="56">
        <v>0</v>
      </c>
      <c r="AA64" s="55">
        <f>Table13[[#This Row],[Expenses - Editorial]]+Table13[[#This Row],[Expenses - Revenue Generation]]+Table13[[#This Row],[Expenses - Tech]]+Table13[[#This Row],[Expenses - Admin]]</f>
        <v>22858.65</v>
      </c>
      <c r="AB64" s="56">
        <v>12387</v>
      </c>
      <c r="AC64" s="71">
        <f>SUM(Table13[[#This Row],[Expenses - Revenue Generation]:[Expenses - Admin]])</f>
        <v>10471.65</v>
      </c>
      <c r="AD64" s="56">
        <v>1446.45</v>
      </c>
      <c r="AE64" s="56">
        <v>3544.54</v>
      </c>
      <c r="AF64" s="56">
        <v>5480.66</v>
      </c>
      <c r="AG64" s="59">
        <f>Table13[[#This Row],[Total FTE - Editorial]]+Table13[[#This Row],[Total FTE - Non-Editorial]]</f>
        <v>1</v>
      </c>
      <c r="AH64" s="59">
        <f>Table13[[#This Row],[FTE Salaried - Editorial]]+Table13[[#This Row],[FTE Contractors - Editorial]]</f>
        <v>1</v>
      </c>
      <c r="AI64" s="57">
        <v>1</v>
      </c>
      <c r="AJ64" s="57">
        <v>0</v>
      </c>
      <c r="AK64" s="60">
        <f>Table13[[#This Row],[FTE Salaried - Non-Editorial]]+Table13[[#This Row],[FTE Contractors - Non-Editorial]]</f>
        <v>0</v>
      </c>
      <c r="AL64" s="57">
        <v>0</v>
      </c>
      <c r="AM64" s="57">
        <v>0</v>
      </c>
      <c r="AN64" s="54" t="s">
        <v>351</v>
      </c>
      <c r="AQ64" s="57">
        <v>10000</v>
      </c>
      <c r="AR64" s="57">
        <v>1400</v>
      </c>
      <c r="AS64" s="57">
        <v>0</v>
      </c>
      <c r="AT64" s="57">
        <v>0</v>
      </c>
      <c r="AU64" s="57">
        <v>0</v>
      </c>
      <c r="AV64" s="57">
        <v>0</v>
      </c>
      <c r="AW64" s="57">
        <v>0</v>
      </c>
      <c r="AX64" s="57"/>
      <c r="AY64" s="57">
        <v>0</v>
      </c>
    </row>
    <row r="65" spans="1:51" x14ac:dyDescent="0.2">
      <c r="A65" s="54">
        <v>6806</v>
      </c>
      <c r="B65" s="54">
        <v>2003</v>
      </c>
      <c r="C65" s="91" t="s">
        <v>80</v>
      </c>
      <c r="D65" s="54" t="s">
        <v>7</v>
      </c>
      <c r="E65" s="54" t="s">
        <v>79</v>
      </c>
      <c r="F65" s="54" t="str">
        <f>_xlfn.CONCAT(Table13[[#This Row],[Geographic Scope]],": ",Table13[[#This Row],[Sub-Type/Focus]])</f>
        <v>Local: Single-Topic</v>
      </c>
      <c r="G65" s="54" t="str">
        <f>_xlfn.CONCAT(Table13[[#This Row],[Geographic Scope]],": ",Table13[[#This Row],[Sub-Type/Focus]],": ",Table13[[#This Row],[Content Type]])</f>
        <v>Local: Single-Topic: Explanatory &amp; Analysis</v>
      </c>
      <c r="H65" s="54" t="str">
        <f>_xlfn.CONCAT(Table13[[#This Row],[Geographic Scope]],": ",Table13[[#This Row],[Content Type]])</f>
        <v>Local: Explanatory &amp; Analysis</v>
      </c>
      <c r="I65" s="55">
        <f>Table13[[#This Row],[Total Contributed Income]]+Table13[[#This Row],[Total Earned Income]]</f>
        <v>776366</v>
      </c>
      <c r="J65" s="55">
        <f>Table13[[#This Row],[Cont. Income - Foundation]]+Table13[[#This Row],[Cont. Income - Membership]]+Table13[[#This Row],[Cont. Income - Small Donors]]+Table13[[#This Row],[Cont. Income - Med. Donors]]+Table13[[#This Row],[Cont. Income - Major Donors]]+Table13[[#This Row],[Cont. Income - Other]]</f>
        <v>747170</v>
      </c>
      <c r="K65" s="55">
        <f>Table13[[#This Row],[Earned Income - Advertising]]+Table13[[#This Row],[Earned Income - Sponsorships/Underwriting]]+Table13[[#This Row],[Earned Income - Events]]+Table13[[#This Row],[Earned Income - Subscriptions]]+Table13[[#This Row],[Earned Income - Syndication]]+Table13[[#This Row],[Earned Income - Other]]</f>
        <v>29196</v>
      </c>
      <c r="L65" s="56">
        <v>128000</v>
      </c>
      <c r="M65" s="56">
        <v>0</v>
      </c>
      <c r="N65" s="71">
        <f>SUM(Table13[[#This Row],[Cont. Income - Small Donors]:[Cont. Income - Major Donors]])</f>
        <v>517336</v>
      </c>
      <c r="O65" s="56">
        <v>167782</v>
      </c>
      <c r="P65" s="56">
        <v>121830</v>
      </c>
      <c r="Q65" s="56">
        <v>227724</v>
      </c>
      <c r="R65" s="56">
        <v>101834</v>
      </c>
      <c r="S65" s="55" t="s">
        <v>420</v>
      </c>
      <c r="T65" s="56">
        <v>2279</v>
      </c>
      <c r="U65" s="56">
        <v>0</v>
      </c>
      <c r="V65" s="56">
        <v>0</v>
      </c>
      <c r="W65" s="56">
        <v>0</v>
      </c>
      <c r="X65" s="56">
        <v>0</v>
      </c>
      <c r="Y65" s="56">
        <v>26917</v>
      </c>
      <c r="Z65" s="54" t="s">
        <v>421</v>
      </c>
      <c r="AA65" s="55">
        <f>Table13[[#This Row],[Expenses - Editorial]]+Table13[[#This Row],[Expenses - Revenue Generation]]+Table13[[#This Row],[Expenses - Tech]]+Table13[[#This Row],[Expenses - Admin]]</f>
        <v>661991</v>
      </c>
      <c r="AB65" s="56">
        <v>477138</v>
      </c>
      <c r="AC65" s="71">
        <f>SUM(Table13[[#This Row],[Expenses - Revenue Generation]:[Expenses - Admin]])</f>
        <v>184853</v>
      </c>
      <c r="AD65" s="56">
        <v>54039</v>
      </c>
      <c r="AE65" s="56">
        <v>13732</v>
      </c>
      <c r="AF65" s="56">
        <v>117082</v>
      </c>
      <c r="AG65" s="59">
        <f>Table13[[#This Row],[Total FTE - Editorial]]+Table13[[#This Row],[Total FTE - Non-Editorial]]</f>
        <v>8</v>
      </c>
      <c r="AH65" s="59">
        <f>Table13[[#This Row],[FTE Salaried - Editorial]]+Table13[[#This Row],[FTE Contractors - Editorial]]</f>
        <v>2</v>
      </c>
      <c r="AI65" s="57">
        <v>2</v>
      </c>
      <c r="AJ65" s="57">
        <v>0</v>
      </c>
      <c r="AK65" s="60">
        <f>Table13[[#This Row],[FTE Salaried - Non-Editorial]]+Table13[[#This Row],[FTE Contractors - Non-Editorial]]</f>
        <v>6</v>
      </c>
      <c r="AL65" s="57">
        <v>6</v>
      </c>
      <c r="AM65" s="57">
        <v>0</v>
      </c>
      <c r="AN65" s="54" t="s">
        <v>347</v>
      </c>
      <c r="AO65" s="54" t="s">
        <v>351</v>
      </c>
      <c r="AQ65" s="57">
        <v>10800</v>
      </c>
      <c r="AR65" s="57">
        <v>3388</v>
      </c>
      <c r="AS65" s="57">
        <v>6000</v>
      </c>
      <c r="AT65" s="57">
        <v>26</v>
      </c>
      <c r="AU65" s="57">
        <v>0</v>
      </c>
      <c r="AV65" s="57">
        <v>0</v>
      </c>
      <c r="AW65" s="57">
        <v>0</v>
      </c>
      <c r="AX65" s="57"/>
      <c r="AY65" s="57">
        <v>0</v>
      </c>
    </row>
    <row r="66" spans="1:51" x14ac:dyDescent="0.2">
      <c r="A66" s="54">
        <v>6825</v>
      </c>
      <c r="B66" s="54">
        <v>2015</v>
      </c>
      <c r="C66" s="91" t="s">
        <v>80</v>
      </c>
      <c r="D66" s="54" t="s">
        <v>7</v>
      </c>
      <c r="E66" s="54" t="s">
        <v>79</v>
      </c>
      <c r="F66" s="54" t="str">
        <f>_xlfn.CONCAT(Table13[[#This Row],[Geographic Scope]],": ",Table13[[#This Row],[Sub-Type/Focus]])</f>
        <v>Local: Single-Topic</v>
      </c>
      <c r="G66" s="54" t="str">
        <f>_xlfn.CONCAT(Table13[[#This Row],[Geographic Scope]],": ",Table13[[#This Row],[Sub-Type/Focus]],": ",Table13[[#This Row],[Content Type]])</f>
        <v>Local: Single-Topic: Explanatory &amp; Analysis</v>
      </c>
      <c r="H66" s="54" t="str">
        <f>_xlfn.CONCAT(Table13[[#This Row],[Geographic Scope]],": ",Table13[[#This Row],[Content Type]])</f>
        <v>Local: Explanatory &amp; Analysis</v>
      </c>
      <c r="I66" s="55">
        <f>Table13[[#This Row],[Total Contributed Income]]+Table13[[#This Row],[Total Earned Income]]</f>
        <v>185000</v>
      </c>
      <c r="J66" s="55">
        <f>Table13[[#This Row],[Cont. Income - Foundation]]+Table13[[#This Row],[Cont. Income - Membership]]+Table13[[#This Row],[Cont. Income - Small Donors]]+Table13[[#This Row],[Cont. Income - Med. Donors]]+Table13[[#This Row],[Cont. Income - Major Donors]]+Table13[[#This Row],[Cont. Income - Other]]</f>
        <v>185000</v>
      </c>
      <c r="K66" s="55">
        <f>Table13[[#This Row],[Earned Income - Advertising]]+Table13[[#This Row],[Earned Income - Sponsorships/Underwriting]]+Table13[[#This Row],[Earned Income - Events]]+Table13[[#This Row],[Earned Income - Subscriptions]]+Table13[[#This Row],[Earned Income - Syndication]]+Table13[[#This Row],[Earned Income - Other]]</f>
        <v>0</v>
      </c>
      <c r="L66" s="56">
        <v>20000</v>
      </c>
      <c r="M66" s="56">
        <v>0</v>
      </c>
      <c r="N66" s="71">
        <f>SUM(Table13[[#This Row],[Cont. Income - Small Donors]:[Cont. Income - Major Donors]])</f>
        <v>15000</v>
      </c>
      <c r="O66" s="56">
        <v>11000</v>
      </c>
      <c r="P66" s="56">
        <v>4000</v>
      </c>
      <c r="Q66" s="56">
        <v>0</v>
      </c>
      <c r="R66" s="56">
        <v>150000</v>
      </c>
      <c r="S66" s="55" t="s">
        <v>422</v>
      </c>
      <c r="T66" s="56">
        <v>0</v>
      </c>
      <c r="U66" s="56">
        <v>0</v>
      </c>
      <c r="V66" s="56">
        <v>0</v>
      </c>
      <c r="W66" s="56">
        <v>0</v>
      </c>
      <c r="X66" s="56">
        <v>0</v>
      </c>
      <c r="Y66" s="56">
        <v>0</v>
      </c>
      <c r="AA66" s="55">
        <f>Table13[[#This Row],[Expenses - Editorial]]+Table13[[#This Row],[Expenses - Revenue Generation]]+Table13[[#This Row],[Expenses - Tech]]+Table13[[#This Row],[Expenses - Admin]]</f>
        <v>185000</v>
      </c>
      <c r="AB66" s="56">
        <v>100000</v>
      </c>
      <c r="AC66" s="71">
        <f>SUM(Table13[[#This Row],[Expenses - Revenue Generation]:[Expenses - Admin]])</f>
        <v>85000</v>
      </c>
      <c r="AD66" s="56">
        <v>0</v>
      </c>
      <c r="AE66" s="56">
        <v>20000</v>
      </c>
      <c r="AF66" s="56">
        <v>65000</v>
      </c>
      <c r="AG66" s="59">
        <f>Table13[[#This Row],[Total FTE - Editorial]]+Table13[[#This Row],[Total FTE - Non-Editorial]]</f>
        <v>3</v>
      </c>
      <c r="AH66" s="59">
        <f>Table13[[#This Row],[FTE Salaried - Editorial]]+Table13[[#This Row],[FTE Contractors - Editorial]]</f>
        <v>3</v>
      </c>
      <c r="AI66" s="57">
        <v>0</v>
      </c>
      <c r="AJ66" s="57">
        <v>3</v>
      </c>
      <c r="AK66" s="60">
        <f>Table13[[#This Row],[FTE Salaried - Non-Editorial]]+Table13[[#This Row],[FTE Contractors - Non-Editorial]]</f>
        <v>0</v>
      </c>
      <c r="AL66" s="57">
        <v>0</v>
      </c>
      <c r="AM66" s="57">
        <v>0</v>
      </c>
      <c r="AN66" s="54" t="s">
        <v>351</v>
      </c>
      <c r="AQ66" s="57">
        <v>40000</v>
      </c>
      <c r="AR66" s="57">
        <v>450</v>
      </c>
      <c r="AS66" s="57">
        <v>0</v>
      </c>
      <c r="AT66" s="57">
        <v>0</v>
      </c>
      <c r="AU66" s="57">
        <v>0</v>
      </c>
      <c r="AV66" s="57">
        <v>0</v>
      </c>
      <c r="AW66" s="57">
        <v>0</v>
      </c>
      <c r="AX66" s="57"/>
      <c r="AY66" s="57">
        <v>0</v>
      </c>
    </row>
    <row r="67" spans="1:51" x14ac:dyDescent="0.2">
      <c r="A67" s="54">
        <v>6843</v>
      </c>
      <c r="B67" s="54">
        <v>2019</v>
      </c>
      <c r="C67" s="91" t="s">
        <v>80</v>
      </c>
      <c r="D67" s="54" t="s">
        <v>7</v>
      </c>
      <c r="E67" s="54" t="s">
        <v>79</v>
      </c>
      <c r="F67" s="54" t="str">
        <f>_xlfn.CONCAT(Table13[[#This Row],[Geographic Scope]],": ",Table13[[#This Row],[Sub-Type/Focus]])</f>
        <v>Local: Single-Topic</v>
      </c>
      <c r="G67" s="54" t="str">
        <f>_xlfn.CONCAT(Table13[[#This Row],[Geographic Scope]],": ",Table13[[#This Row],[Sub-Type/Focus]],": ",Table13[[#This Row],[Content Type]])</f>
        <v>Local: Single-Topic: Explanatory &amp; Analysis</v>
      </c>
      <c r="H67" s="54" t="str">
        <f>_xlfn.CONCAT(Table13[[#This Row],[Geographic Scope]],": ",Table13[[#This Row],[Content Type]])</f>
        <v>Local: Explanatory &amp; Analysis</v>
      </c>
      <c r="I67" s="55">
        <f>Table13[[#This Row],[Total Contributed Income]]+Table13[[#This Row],[Total Earned Income]]</f>
        <v>59446</v>
      </c>
      <c r="J67" s="55">
        <f>Table13[[#This Row],[Cont. Income - Foundation]]+Table13[[#This Row],[Cont. Income - Membership]]+Table13[[#This Row],[Cont. Income - Small Donors]]+Table13[[#This Row],[Cont. Income - Med. Donors]]+Table13[[#This Row],[Cont. Income - Major Donors]]+Table13[[#This Row],[Cont. Income - Other]]</f>
        <v>49291</v>
      </c>
      <c r="K67" s="55">
        <f>Table13[[#This Row],[Earned Income - Advertising]]+Table13[[#This Row],[Earned Income - Sponsorships/Underwriting]]+Table13[[#This Row],[Earned Income - Events]]+Table13[[#This Row],[Earned Income - Subscriptions]]+Table13[[#This Row],[Earned Income - Syndication]]+Table13[[#This Row],[Earned Income - Other]]</f>
        <v>10155</v>
      </c>
      <c r="L67" s="56">
        <v>43200</v>
      </c>
      <c r="M67" s="56">
        <v>6091</v>
      </c>
      <c r="N67" s="71">
        <f>SUM(Table13[[#This Row],[Cont. Income - Small Donors]:[Cont. Income - Major Donors]])</f>
        <v>0</v>
      </c>
      <c r="O67" s="56">
        <v>0</v>
      </c>
      <c r="P67" s="56">
        <v>0</v>
      </c>
      <c r="Q67" s="56">
        <v>0</v>
      </c>
      <c r="R67" s="56">
        <v>0</v>
      </c>
      <c r="T67" s="56">
        <v>1200</v>
      </c>
      <c r="U67" s="56">
        <v>0</v>
      </c>
      <c r="V67" s="56">
        <v>0</v>
      </c>
      <c r="W67" s="56">
        <v>0</v>
      </c>
      <c r="X67" s="56">
        <v>8955</v>
      </c>
      <c r="Y67" s="56">
        <v>0</v>
      </c>
      <c r="AA67" s="55">
        <f>Table13[[#This Row],[Expenses - Editorial]]+Table13[[#This Row],[Expenses - Revenue Generation]]+Table13[[#This Row],[Expenses - Tech]]+Table13[[#This Row],[Expenses - Admin]]</f>
        <v>57147</v>
      </c>
      <c r="AB67" s="56">
        <v>50802</v>
      </c>
      <c r="AC67" s="71">
        <f>SUM(Table13[[#This Row],[Expenses - Revenue Generation]:[Expenses - Admin]])</f>
        <v>6345</v>
      </c>
      <c r="AD67" s="56">
        <v>1114</v>
      </c>
      <c r="AE67" s="56">
        <v>2031</v>
      </c>
      <c r="AF67" s="56">
        <v>3200</v>
      </c>
      <c r="AG67" s="59">
        <f>Table13[[#This Row],[Total FTE - Editorial]]+Table13[[#This Row],[Total FTE - Non-Editorial]]</f>
        <v>1.75</v>
      </c>
      <c r="AH67" s="59">
        <f>Table13[[#This Row],[FTE Salaried - Editorial]]+Table13[[#This Row],[FTE Contractors - Editorial]]</f>
        <v>1.75</v>
      </c>
      <c r="AI67" s="57">
        <v>1</v>
      </c>
      <c r="AJ67" s="57">
        <v>0.75</v>
      </c>
      <c r="AK67" s="60">
        <f>Table13[[#This Row],[FTE Salaried - Non-Editorial]]+Table13[[#This Row],[FTE Contractors - Non-Editorial]]</f>
        <v>0</v>
      </c>
      <c r="AL67" s="57">
        <v>0</v>
      </c>
      <c r="AM67" s="57">
        <v>0</v>
      </c>
      <c r="AN67" s="54" t="s">
        <v>351</v>
      </c>
      <c r="AQ67" s="57">
        <v>4073</v>
      </c>
      <c r="AR67" s="57">
        <v>2101</v>
      </c>
      <c r="AS67" s="57">
        <v>0</v>
      </c>
      <c r="AT67" s="57">
        <v>0</v>
      </c>
      <c r="AU67" s="57">
        <v>0</v>
      </c>
      <c r="AV67" s="57">
        <v>0</v>
      </c>
      <c r="AW67" s="57">
        <v>0</v>
      </c>
      <c r="AX67" s="57"/>
      <c r="AY67" s="57">
        <v>0</v>
      </c>
    </row>
    <row r="68" spans="1:51" x14ac:dyDescent="0.2">
      <c r="A68" s="54">
        <v>371</v>
      </c>
      <c r="B68" s="54">
        <v>2009</v>
      </c>
      <c r="C68" s="91" t="s">
        <v>81</v>
      </c>
      <c r="D68" s="54" t="s">
        <v>7</v>
      </c>
      <c r="E68" s="54" t="s">
        <v>77</v>
      </c>
      <c r="F68" s="54" t="str">
        <f>_xlfn.CONCAT(Table13[[#This Row],[Geographic Scope]],": ",Table13[[#This Row],[Sub-Type/Focus]])</f>
        <v>Local: General</v>
      </c>
      <c r="G68" s="54" t="str">
        <f>_xlfn.CONCAT(Table13[[#This Row],[Geographic Scope]],": ",Table13[[#This Row],[Sub-Type/Focus]],": ",Table13[[#This Row],[Content Type]])</f>
        <v>Local: General: Investigative</v>
      </c>
      <c r="H68" s="54" t="str">
        <f>_xlfn.CONCAT(Table13[[#This Row],[Geographic Scope]],": ",Table13[[#This Row],[Content Type]])</f>
        <v>Local: Investigative</v>
      </c>
      <c r="I68" s="55">
        <f>Table13[[#This Row],[Total Contributed Income]]+Table13[[#This Row],[Total Earned Income]]</f>
        <v>92446</v>
      </c>
      <c r="J68" s="55">
        <f>Table13[[#This Row],[Cont. Income - Foundation]]+Table13[[#This Row],[Cont. Income - Membership]]+Table13[[#This Row],[Cont. Income - Small Donors]]+Table13[[#This Row],[Cont. Income - Med. Donors]]+Table13[[#This Row],[Cont. Income - Major Donors]]+Table13[[#This Row],[Cont. Income - Other]]</f>
        <v>91696</v>
      </c>
      <c r="K68" s="55">
        <f>Table13[[#This Row],[Earned Income - Advertising]]+Table13[[#This Row],[Earned Income - Sponsorships/Underwriting]]+Table13[[#This Row],[Earned Income - Events]]+Table13[[#This Row],[Earned Income - Subscriptions]]+Table13[[#This Row],[Earned Income - Syndication]]+Table13[[#This Row],[Earned Income - Other]]</f>
        <v>750</v>
      </c>
      <c r="L68" s="56">
        <v>21000</v>
      </c>
      <c r="M68" s="56">
        <v>0</v>
      </c>
      <c r="N68" s="71">
        <f>SUM(Table13[[#This Row],[Cont. Income - Small Donors]:[Cont. Income - Major Donors]])</f>
        <v>70696</v>
      </c>
      <c r="O68" s="56">
        <v>12696</v>
      </c>
      <c r="P68" s="56">
        <v>8000</v>
      </c>
      <c r="Q68" s="56">
        <v>50000</v>
      </c>
      <c r="R68" s="56">
        <v>0</v>
      </c>
      <c r="T68" s="56">
        <v>750</v>
      </c>
      <c r="U68" s="56">
        <v>0</v>
      </c>
      <c r="V68" s="56">
        <v>0</v>
      </c>
      <c r="W68" s="56">
        <v>0</v>
      </c>
      <c r="X68" s="56">
        <v>0</v>
      </c>
      <c r="Y68" s="56">
        <v>0</v>
      </c>
      <c r="AA68" s="55">
        <f>Table13[[#This Row],[Expenses - Editorial]]+Table13[[#This Row],[Expenses - Revenue Generation]]+Table13[[#This Row],[Expenses - Tech]]+Table13[[#This Row],[Expenses - Admin]]</f>
        <v>114500</v>
      </c>
      <c r="AB68" s="56">
        <v>101000</v>
      </c>
      <c r="AC68" s="71">
        <f>SUM(Table13[[#This Row],[Expenses - Revenue Generation]:[Expenses - Admin]])</f>
        <v>13500</v>
      </c>
      <c r="AD68" s="56">
        <v>3000</v>
      </c>
      <c r="AE68" s="56">
        <v>3500</v>
      </c>
      <c r="AF68" s="56">
        <v>7000</v>
      </c>
      <c r="AG68" s="59">
        <f>Table13[[#This Row],[Total FTE - Editorial]]+Table13[[#This Row],[Total FTE - Non-Editorial]]</f>
        <v>1</v>
      </c>
      <c r="AH68" s="59">
        <f>Table13[[#This Row],[FTE Salaried - Editorial]]+Table13[[#This Row],[FTE Contractors - Editorial]]</f>
        <v>1</v>
      </c>
      <c r="AI68" s="57">
        <v>1</v>
      </c>
      <c r="AJ68" s="57">
        <v>0</v>
      </c>
      <c r="AK68" s="60">
        <f>Table13[[#This Row],[FTE Salaried - Non-Editorial]]+Table13[[#This Row],[FTE Contractors - Non-Editorial]]</f>
        <v>0</v>
      </c>
      <c r="AL68" s="57">
        <v>0</v>
      </c>
      <c r="AM68" s="57">
        <v>0</v>
      </c>
      <c r="AN68" s="54" t="s">
        <v>351</v>
      </c>
      <c r="AQ68" s="57">
        <v>90000</v>
      </c>
      <c r="AR68" s="57">
        <v>2300</v>
      </c>
      <c r="AS68" s="57">
        <v>0</v>
      </c>
      <c r="AT68" s="57">
        <v>0</v>
      </c>
      <c r="AU68" s="57">
        <v>0</v>
      </c>
      <c r="AV68" s="57">
        <v>0</v>
      </c>
      <c r="AW68" s="57">
        <v>0</v>
      </c>
      <c r="AX68" s="57"/>
      <c r="AY68" s="57">
        <v>0</v>
      </c>
    </row>
    <row r="69" spans="1:51" x14ac:dyDescent="0.2">
      <c r="A69" s="54">
        <v>378</v>
      </c>
      <c r="B69" s="54">
        <v>2018</v>
      </c>
      <c r="C69" s="91" t="s">
        <v>81</v>
      </c>
      <c r="D69" s="54" t="s">
        <v>7</v>
      </c>
      <c r="E69" s="54" t="s">
        <v>77</v>
      </c>
      <c r="F69" s="54" t="str">
        <f>_xlfn.CONCAT(Table13[[#This Row],[Geographic Scope]],": ",Table13[[#This Row],[Sub-Type/Focus]])</f>
        <v>Local: General</v>
      </c>
      <c r="G69" s="54" t="str">
        <f>_xlfn.CONCAT(Table13[[#This Row],[Geographic Scope]],": ",Table13[[#This Row],[Sub-Type/Focus]],": ",Table13[[#This Row],[Content Type]])</f>
        <v>Local: General: Investigative</v>
      </c>
      <c r="H69" s="54" t="str">
        <f>_xlfn.CONCAT(Table13[[#This Row],[Geographic Scope]],": ",Table13[[#This Row],[Content Type]])</f>
        <v>Local: Investigative</v>
      </c>
      <c r="I69" s="55">
        <f>Table13[[#This Row],[Total Contributed Income]]+Table13[[#This Row],[Total Earned Income]]</f>
        <v>39952.660000000003</v>
      </c>
      <c r="J69" s="55">
        <f>Table13[[#This Row],[Cont. Income - Foundation]]+Table13[[#This Row],[Cont. Income - Membership]]+Table13[[#This Row],[Cont. Income - Small Donors]]+Table13[[#This Row],[Cont. Income - Med. Donors]]+Table13[[#This Row],[Cont. Income - Major Donors]]+Table13[[#This Row],[Cont. Income - Other]]</f>
        <v>39402.660000000003</v>
      </c>
      <c r="K69" s="55">
        <f>Table13[[#This Row],[Earned Income - Advertising]]+Table13[[#This Row],[Earned Income - Sponsorships/Underwriting]]+Table13[[#This Row],[Earned Income - Events]]+Table13[[#This Row],[Earned Income - Subscriptions]]+Table13[[#This Row],[Earned Income - Syndication]]+Table13[[#This Row],[Earned Income - Other]]</f>
        <v>550</v>
      </c>
      <c r="L69" s="56">
        <v>14195</v>
      </c>
      <c r="M69" s="56">
        <v>10628</v>
      </c>
      <c r="N69" s="71">
        <f>SUM(Table13[[#This Row],[Cont. Income - Small Donors]:[Cont. Income - Major Donors]])</f>
        <v>14579.66</v>
      </c>
      <c r="O69" s="56">
        <v>14579.66</v>
      </c>
      <c r="P69" s="56">
        <v>0</v>
      </c>
      <c r="Q69" s="56">
        <v>0</v>
      </c>
      <c r="R69" s="56">
        <v>0</v>
      </c>
      <c r="T69" s="56">
        <v>0</v>
      </c>
      <c r="U69" s="56">
        <v>0</v>
      </c>
      <c r="V69" s="56">
        <v>150</v>
      </c>
      <c r="W69" s="56">
        <v>0</v>
      </c>
      <c r="X69" s="56">
        <v>400</v>
      </c>
      <c r="Y69" s="56">
        <v>0</v>
      </c>
      <c r="AA69" s="55">
        <f>Table13[[#This Row],[Expenses - Editorial]]+Table13[[#This Row],[Expenses - Revenue Generation]]+Table13[[#This Row],[Expenses - Tech]]+Table13[[#This Row],[Expenses - Admin]]</f>
        <v>22319.54</v>
      </c>
      <c r="AB69" s="56">
        <v>9902.4699999999993</v>
      </c>
      <c r="AC69" s="71">
        <f>SUM(Table13[[#This Row],[Expenses - Revenue Generation]:[Expenses - Admin]])</f>
        <v>12417.07</v>
      </c>
      <c r="AD69" s="56">
        <v>1322.46</v>
      </c>
      <c r="AE69" s="56">
        <v>0</v>
      </c>
      <c r="AF69" s="56">
        <v>11094.61</v>
      </c>
      <c r="AG69" s="59">
        <f>Table13[[#This Row],[Total FTE - Editorial]]+Table13[[#This Row],[Total FTE - Non-Editorial]]</f>
        <v>2</v>
      </c>
      <c r="AH69" s="59">
        <f>Table13[[#This Row],[FTE Salaried - Editorial]]+Table13[[#This Row],[FTE Contractors - Editorial]]</f>
        <v>1</v>
      </c>
      <c r="AI69" s="57">
        <v>1</v>
      </c>
      <c r="AJ69" s="57">
        <v>0</v>
      </c>
      <c r="AK69" s="60">
        <f>Table13[[#This Row],[FTE Salaried - Non-Editorial]]+Table13[[#This Row],[FTE Contractors - Non-Editorial]]</f>
        <v>1</v>
      </c>
      <c r="AL69" s="57">
        <v>1</v>
      </c>
      <c r="AM69" s="57">
        <v>0</v>
      </c>
      <c r="AN69" s="54" t="s">
        <v>351</v>
      </c>
      <c r="AQ69" s="57">
        <v>150</v>
      </c>
      <c r="AR69" s="57">
        <v>900</v>
      </c>
      <c r="AS69" s="57">
        <v>0</v>
      </c>
      <c r="AT69" s="57">
        <v>0</v>
      </c>
      <c r="AU69" s="57">
        <v>0</v>
      </c>
      <c r="AV69" s="57">
        <v>0</v>
      </c>
      <c r="AW69" s="57">
        <v>0</v>
      </c>
      <c r="AX69" s="57">
        <v>0</v>
      </c>
      <c r="AY69" s="57">
        <v>0</v>
      </c>
    </row>
    <row r="70" spans="1:51" x14ac:dyDescent="0.2">
      <c r="A70" s="54">
        <v>386</v>
      </c>
      <c r="B70" s="54">
        <v>2009</v>
      </c>
      <c r="C70" s="91" t="s">
        <v>81</v>
      </c>
      <c r="D70" s="54" t="s">
        <v>7</v>
      </c>
      <c r="E70" s="54" t="s">
        <v>77</v>
      </c>
      <c r="F70" s="54" t="str">
        <f>_xlfn.CONCAT(Table13[[#This Row],[Geographic Scope]],": ",Table13[[#This Row],[Sub-Type/Focus]])</f>
        <v>Local: General</v>
      </c>
      <c r="G70" s="54" t="str">
        <f>_xlfn.CONCAT(Table13[[#This Row],[Geographic Scope]],": ",Table13[[#This Row],[Sub-Type/Focus]],": ",Table13[[#This Row],[Content Type]])</f>
        <v>Local: General: Investigative</v>
      </c>
      <c r="H70" s="54" t="str">
        <f>_xlfn.CONCAT(Table13[[#This Row],[Geographic Scope]],": ",Table13[[#This Row],[Content Type]])</f>
        <v>Local: Investigative</v>
      </c>
      <c r="I70" s="55">
        <f>Table13[[#This Row],[Total Contributed Income]]+Table13[[#This Row],[Total Earned Income]]</f>
        <v>1736490.32</v>
      </c>
      <c r="J70" s="55">
        <f>Table13[[#This Row],[Cont. Income - Foundation]]+Table13[[#This Row],[Cont. Income - Membership]]+Table13[[#This Row],[Cont. Income - Small Donors]]+Table13[[#This Row],[Cont. Income - Med. Donors]]+Table13[[#This Row],[Cont. Income - Major Donors]]+Table13[[#This Row],[Cont. Income - Other]]</f>
        <v>1736089.32</v>
      </c>
      <c r="K70" s="55">
        <f>Table13[[#This Row],[Earned Income - Advertising]]+Table13[[#This Row],[Earned Income - Sponsorships/Underwriting]]+Table13[[#This Row],[Earned Income - Events]]+Table13[[#This Row],[Earned Income - Subscriptions]]+Table13[[#This Row],[Earned Income - Syndication]]+Table13[[#This Row],[Earned Income - Other]]</f>
        <v>401</v>
      </c>
      <c r="L70" s="56">
        <v>896100</v>
      </c>
      <c r="M70" s="56">
        <v>0</v>
      </c>
      <c r="N70" s="71">
        <f>SUM(Table13[[#This Row],[Cont. Income - Small Donors]:[Cont. Income - Major Donors]])</f>
        <v>826717.87</v>
      </c>
      <c r="O70" s="56">
        <v>50019.57</v>
      </c>
      <c r="P70" s="56">
        <v>128909.9</v>
      </c>
      <c r="Q70" s="56">
        <v>647788.4</v>
      </c>
      <c r="R70" s="56">
        <v>13271.45</v>
      </c>
      <c r="T70" s="56">
        <v>0</v>
      </c>
      <c r="U70" s="56">
        <v>0</v>
      </c>
      <c r="V70" s="56">
        <v>401</v>
      </c>
      <c r="W70" s="56">
        <v>0</v>
      </c>
      <c r="X70" s="56">
        <v>0</v>
      </c>
      <c r="Y70" s="56">
        <v>0</v>
      </c>
      <c r="AA70" s="55">
        <f>Table13[[#This Row],[Expenses - Editorial]]+Table13[[#This Row],[Expenses - Revenue Generation]]+Table13[[#This Row],[Expenses - Tech]]+Table13[[#This Row],[Expenses - Admin]]</f>
        <v>1413065.82</v>
      </c>
      <c r="AB70" s="56">
        <v>983244.63</v>
      </c>
      <c r="AC70" s="71">
        <f>SUM(Table13[[#This Row],[Expenses - Revenue Generation]:[Expenses - Admin]])</f>
        <v>429821.19</v>
      </c>
      <c r="AD70" s="56">
        <v>160852.92000000001</v>
      </c>
      <c r="AE70" s="56">
        <v>51044.93</v>
      </c>
      <c r="AF70" s="56">
        <v>217923.34</v>
      </c>
      <c r="AG70" s="59">
        <f>Table13[[#This Row],[Total FTE - Editorial]]+Table13[[#This Row],[Total FTE - Non-Editorial]]</f>
        <v>14</v>
      </c>
      <c r="AH70" s="59">
        <f>Table13[[#This Row],[FTE Salaried - Editorial]]+Table13[[#This Row],[FTE Contractors - Editorial]]</f>
        <v>9.5</v>
      </c>
      <c r="AI70" s="57">
        <v>9.5</v>
      </c>
      <c r="AJ70" s="57">
        <v>0</v>
      </c>
      <c r="AK70" s="60">
        <f>Table13[[#This Row],[FTE Salaried - Non-Editorial]]+Table13[[#This Row],[FTE Contractors - Non-Editorial]]</f>
        <v>4.5</v>
      </c>
      <c r="AL70" s="57">
        <v>3.5</v>
      </c>
      <c r="AM70" s="57">
        <v>1</v>
      </c>
      <c r="AN70" s="54" t="s">
        <v>352</v>
      </c>
      <c r="AO70" s="54" t="s">
        <v>423</v>
      </c>
      <c r="AQ70" s="57">
        <v>30533</v>
      </c>
      <c r="AR70" s="57">
        <v>3705</v>
      </c>
      <c r="AS70" s="57">
        <v>0</v>
      </c>
      <c r="AT70" s="57">
        <v>0</v>
      </c>
      <c r="AU70" s="57">
        <v>1000000</v>
      </c>
      <c r="AV70" s="57" t="s">
        <v>424</v>
      </c>
      <c r="AW70" s="57">
        <v>1000000</v>
      </c>
      <c r="AX70" s="57" t="s">
        <v>425</v>
      </c>
      <c r="AY70" s="57">
        <v>0</v>
      </c>
    </row>
    <row r="71" spans="1:51" x14ac:dyDescent="0.2">
      <c r="A71" s="54">
        <v>438</v>
      </c>
      <c r="B71" s="54">
        <v>2009</v>
      </c>
      <c r="C71" s="91" t="s">
        <v>81</v>
      </c>
      <c r="D71" s="54" t="s">
        <v>7</v>
      </c>
      <c r="E71" s="54" t="s">
        <v>77</v>
      </c>
      <c r="F71" s="54" t="str">
        <f>_xlfn.CONCAT(Table13[[#This Row],[Geographic Scope]],": ",Table13[[#This Row],[Sub-Type/Focus]])</f>
        <v>Local: General</v>
      </c>
      <c r="G71" s="54" t="str">
        <f>_xlfn.CONCAT(Table13[[#This Row],[Geographic Scope]],": ",Table13[[#This Row],[Sub-Type/Focus]],": ",Table13[[#This Row],[Content Type]])</f>
        <v>Local: General: Investigative</v>
      </c>
      <c r="H71" s="54" t="str">
        <f>_xlfn.CONCAT(Table13[[#This Row],[Geographic Scope]],": ",Table13[[#This Row],[Content Type]])</f>
        <v>Local: Investigative</v>
      </c>
      <c r="I71" s="55">
        <f>Table13[[#This Row],[Total Contributed Income]]+Table13[[#This Row],[Total Earned Income]]</f>
        <v>99791.77</v>
      </c>
      <c r="J71" s="55">
        <f>Table13[[#This Row],[Cont. Income - Foundation]]+Table13[[#This Row],[Cont. Income - Membership]]+Table13[[#This Row],[Cont. Income - Small Donors]]+Table13[[#This Row],[Cont. Income - Med. Donors]]+Table13[[#This Row],[Cont. Income - Major Donors]]+Table13[[#This Row],[Cont. Income - Other]]</f>
        <v>74373.77</v>
      </c>
      <c r="K71" s="55">
        <f>Table13[[#This Row],[Earned Income - Advertising]]+Table13[[#This Row],[Earned Income - Sponsorships/Underwriting]]+Table13[[#This Row],[Earned Income - Events]]+Table13[[#This Row],[Earned Income - Subscriptions]]+Table13[[#This Row],[Earned Income - Syndication]]+Table13[[#This Row],[Earned Income - Other]]</f>
        <v>25418</v>
      </c>
      <c r="L71" s="56">
        <v>29200</v>
      </c>
      <c r="M71" s="56">
        <v>9331</v>
      </c>
      <c r="N71" s="71">
        <f>SUM(Table13[[#This Row],[Cont. Income - Small Donors]:[Cont. Income - Major Donors]])</f>
        <v>35842.770000000004</v>
      </c>
      <c r="O71" s="56">
        <v>27092.77</v>
      </c>
      <c r="P71" s="56">
        <v>8750</v>
      </c>
      <c r="Q71" s="56">
        <v>0</v>
      </c>
      <c r="R71" s="56">
        <v>0</v>
      </c>
      <c r="T71" s="56">
        <v>24150</v>
      </c>
      <c r="U71" s="56">
        <v>0</v>
      </c>
      <c r="V71" s="56">
        <v>0</v>
      </c>
      <c r="W71" s="56">
        <v>1268</v>
      </c>
      <c r="X71" s="56">
        <v>0</v>
      </c>
      <c r="Y71" s="56">
        <v>0</v>
      </c>
      <c r="AA71" s="55">
        <f>Table13[[#This Row],[Expenses - Editorial]]+Table13[[#This Row],[Expenses - Revenue Generation]]+Table13[[#This Row],[Expenses - Tech]]+Table13[[#This Row],[Expenses - Admin]]</f>
        <v>71077</v>
      </c>
      <c r="AB71" s="56">
        <v>28584</v>
      </c>
      <c r="AC71" s="71">
        <f>SUM(Table13[[#This Row],[Expenses - Revenue Generation]:[Expenses - Admin]])</f>
        <v>42493</v>
      </c>
      <c r="AD71" s="56">
        <v>11594</v>
      </c>
      <c r="AE71" s="56">
        <v>3543</v>
      </c>
      <c r="AF71" s="56">
        <v>27356</v>
      </c>
      <c r="AG71" s="59">
        <f>Table13[[#This Row],[Total FTE - Editorial]]+Table13[[#This Row],[Total FTE - Non-Editorial]]</f>
        <v>1.75</v>
      </c>
      <c r="AH71" s="59">
        <f>Table13[[#This Row],[FTE Salaried - Editorial]]+Table13[[#This Row],[FTE Contractors - Editorial]]</f>
        <v>1</v>
      </c>
      <c r="AI71" s="57">
        <v>1</v>
      </c>
      <c r="AJ71" s="57">
        <v>0</v>
      </c>
      <c r="AK71" s="60">
        <f>Table13[[#This Row],[FTE Salaried - Non-Editorial]]+Table13[[#This Row],[FTE Contractors - Non-Editorial]]</f>
        <v>0.75</v>
      </c>
      <c r="AL71" s="57">
        <v>0.75</v>
      </c>
      <c r="AM71" s="57">
        <v>0</v>
      </c>
      <c r="AN71" s="54" t="s">
        <v>347</v>
      </c>
      <c r="AO71" s="54" t="s">
        <v>404</v>
      </c>
      <c r="AP71" s="54" t="s">
        <v>426</v>
      </c>
      <c r="AQ71" s="57">
        <v>2475</v>
      </c>
      <c r="AR71" s="57">
        <v>607</v>
      </c>
      <c r="AS71" s="57">
        <v>25000</v>
      </c>
      <c r="AT71" s="57">
        <v>10</v>
      </c>
      <c r="AU71" s="57">
        <v>0</v>
      </c>
      <c r="AV71" s="57">
        <v>0</v>
      </c>
      <c r="AW71" s="57">
        <v>0</v>
      </c>
      <c r="AX71" s="57"/>
      <c r="AY71" s="57">
        <v>0</v>
      </c>
    </row>
    <row r="72" spans="1:51" x14ac:dyDescent="0.2">
      <c r="A72" s="54">
        <v>445</v>
      </c>
      <c r="B72" s="54">
        <v>2011</v>
      </c>
      <c r="C72" s="91" t="s">
        <v>81</v>
      </c>
      <c r="D72" s="54" t="s">
        <v>7</v>
      </c>
      <c r="E72" s="54" t="s">
        <v>77</v>
      </c>
      <c r="F72" s="54" t="str">
        <f>_xlfn.CONCAT(Table13[[#This Row],[Geographic Scope]],": ",Table13[[#This Row],[Sub-Type/Focus]])</f>
        <v>Local: General</v>
      </c>
      <c r="G72" s="54" t="str">
        <f>_xlfn.CONCAT(Table13[[#This Row],[Geographic Scope]],": ",Table13[[#This Row],[Sub-Type/Focus]],": ",Table13[[#This Row],[Content Type]])</f>
        <v>Local: General: Investigative</v>
      </c>
      <c r="H72" s="54" t="str">
        <f>_xlfn.CONCAT(Table13[[#This Row],[Geographic Scope]],": ",Table13[[#This Row],[Content Type]])</f>
        <v>Local: Investigative</v>
      </c>
      <c r="I72" s="55">
        <f>Table13[[#This Row],[Total Contributed Income]]+Table13[[#This Row],[Total Earned Income]]</f>
        <v>980834</v>
      </c>
      <c r="J72" s="55">
        <f>Table13[[#This Row],[Cont. Income - Foundation]]+Table13[[#This Row],[Cont. Income - Membership]]+Table13[[#This Row],[Cont. Income - Small Donors]]+Table13[[#This Row],[Cont. Income - Med. Donors]]+Table13[[#This Row],[Cont. Income - Major Donors]]+Table13[[#This Row],[Cont. Income - Other]]</f>
        <v>979510</v>
      </c>
      <c r="K72" s="55">
        <f>Table13[[#This Row],[Earned Income - Advertising]]+Table13[[#This Row],[Earned Income - Sponsorships/Underwriting]]+Table13[[#This Row],[Earned Income - Events]]+Table13[[#This Row],[Earned Income - Subscriptions]]+Table13[[#This Row],[Earned Income - Syndication]]+Table13[[#This Row],[Earned Income - Other]]</f>
        <v>1324</v>
      </c>
      <c r="L72" s="56">
        <v>831821</v>
      </c>
      <c r="M72" s="56">
        <v>0</v>
      </c>
      <c r="N72" s="71">
        <f>SUM(Table13[[#This Row],[Cont. Income - Small Donors]:[Cont. Income - Major Donors]])</f>
        <v>142089</v>
      </c>
      <c r="O72" s="56">
        <v>100665</v>
      </c>
      <c r="P72" s="56">
        <v>21424</v>
      </c>
      <c r="Q72" s="56">
        <v>20000</v>
      </c>
      <c r="R72" s="56">
        <v>5600</v>
      </c>
      <c r="S72" s="55" t="s">
        <v>427</v>
      </c>
      <c r="T72" s="56">
        <v>0</v>
      </c>
      <c r="U72" s="56">
        <v>658</v>
      </c>
      <c r="V72" s="56">
        <v>666</v>
      </c>
      <c r="W72" s="56">
        <v>0</v>
      </c>
      <c r="X72" s="56">
        <v>0</v>
      </c>
      <c r="Y72" s="56">
        <v>0</v>
      </c>
      <c r="AA72" s="55">
        <f>Table13[[#This Row],[Expenses - Editorial]]+Table13[[#This Row],[Expenses - Revenue Generation]]+Table13[[#This Row],[Expenses - Tech]]+Table13[[#This Row],[Expenses - Admin]]</f>
        <v>1219800</v>
      </c>
      <c r="AB72" s="56">
        <v>795248</v>
      </c>
      <c r="AC72" s="71">
        <f>SUM(Table13[[#This Row],[Expenses - Revenue Generation]:[Expenses - Admin]])</f>
        <v>424552</v>
      </c>
      <c r="AD72" s="56">
        <v>228907</v>
      </c>
      <c r="AE72" s="56">
        <v>19188</v>
      </c>
      <c r="AF72" s="56">
        <v>176457</v>
      </c>
      <c r="AG72" s="59">
        <f>Table13[[#This Row],[Total FTE - Editorial]]+Table13[[#This Row],[Total FTE - Non-Editorial]]</f>
        <v>14</v>
      </c>
      <c r="AH72" s="59">
        <f>Table13[[#This Row],[FTE Salaried - Editorial]]+Table13[[#This Row],[FTE Contractors - Editorial]]</f>
        <v>11.5</v>
      </c>
      <c r="AI72" s="57">
        <v>11.5</v>
      </c>
      <c r="AJ72" s="57">
        <v>0</v>
      </c>
      <c r="AK72" s="60">
        <f>Table13[[#This Row],[FTE Salaried - Non-Editorial]]+Table13[[#This Row],[FTE Contractors - Non-Editorial]]</f>
        <v>2.5</v>
      </c>
      <c r="AL72" s="57">
        <v>2.5</v>
      </c>
      <c r="AM72" s="57">
        <v>0</v>
      </c>
      <c r="AN72" s="54" t="s">
        <v>351</v>
      </c>
      <c r="AO72" s="54" t="s">
        <v>359</v>
      </c>
      <c r="AQ72" s="57">
        <v>133000</v>
      </c>
      <c r="AR72" s="57">
        <v>12621</v>
      </c>
      <c r="AS72" s="57">
        <v>0</v>
      </c>
      <c r="AT72" s="57">
        <v>0</v>
      </c>
      <c r="AU72" s="57">
        <v>0</v>
      </c>
      <c r="AV72" s="57">
        <v>0</v>
      </c>
      <c r="AW72" s="57">
        <v>0</v>
      </c>
      <c r="AX72" s="57"/>
      <c r="AY72" s="57">
        <v>540</v>
      </c>
    </row>
    <row r="73" spans="1:51" x14ac:dyDescent="0.2">
      <c r="A73" s="54">
        <v>487</v>
      </c>
      <c r="B73" s="54">
        <v>2010</v>
      </c>
      <c r="C73" s="91" t="s">
        <v>81</v>
      </c>
      <c r="D73" s="54" t="s">
        <v>7</v>
      </c>
      <c r="E73" s="54" t="s">
        <v>77</v>
      </c>
      <c r="F73" s="54" t="str">
        <f>_xlfn.CONCAT(Table13[[#This Row],[Geographic Scope]],": ",Table13[[#This Row],[Sub-Type/Focus]])</f>
        <v>Local: General</v>
      </c>
      <c r="G73" s="54" t="str">
        <f>_xlfn.CONCAT(Table13[[#This Row],[Geographic Scope]],": ",Table13[[#This Row],[Sub-Type/Focus]],": ",Table13[[#This Row],[Content Type]])</f>
        <v>Local: General: Investigative</v>
      </c>
      <c r="H73" s="54" t="str">
        <f>_xlfn.CONCAT(Table13[[#This Row],[Geographic Scope]],": ",Table13[[#This Row],[Content Type]])</f>
        <v>Local: Investigative</v>
      </c>
      <c r="I73" s="55">
        <f>Table13[[#This Row],[Total Contributed Income]]+Table13[[#This Row],[Total Earned Income]]</f>
        <v>360376</v>
      </c>
      <c r="J73" s="55">
        <f>Table13[[#This Row],[Cont. Income - Foundation]]+Table13[[#This Row],[Cont. Income - Membership]]+Table13[[#This Row],[Cont. Income - Small Donors]]+Table13[[#This Row],[Cont. Income - Med. Donors]]+Table13[[#This Row],[Cont. Income - Major Donors]]+Table13[[#This Row],[Cont. Income - Other]]</f>
        <v>360176</v>
      </c>
      <c r="K73" s="55">
        <f>Table13[[#This Row],[Earned Income - Advertising]]+Table13[[#This Row],[Earned Income - Sponsorships/Underwriting]]+Table13[[#This Row],[Earned Income - Events]]+Table13[[#This Row],[Earned Income - Subscriptions]]+Table13[[#This Row],[Earned Income - Syndication]]+Table13[[#This Row],[Earned Income - Other]]</f>
        <v>200</v>
      </c>
      <c r="L73" s="56">
        <v>223441</v>
      </c>
      <c r="M73" s="56">
        <v>0</v>
      </c>
      <c r="N73" s="71">
        <f>SUM(Table13[[#This Row],[Cont. Income - Small Donors]:[Cont. Income - Major Donors]])</f>
        <v>136735</v>
      </c>
      <c r="O73" s="56">
        <v>2832</v>
      </c>
      <c r="P73" s="56">
        <v>78097</v>
      </c>
      <c r="Q73" s="56">
        <v>55806</v>
      </c>
      <c r="R73" s="56">
        <v>0</v>
      </c>
      <c r="T73" s="56">
        <v>0</v>
      </c>
      <c r="U73" s="56">
        <v>0</v>
      </c>
      <c r="V73" s="56">
        <v>0</v>
      </c>
      <c r="W73" s="56">
        <v>0</v>
      </c>
      <c r="X73" s="56">
        <v>0</v>
      </c>
      <c r="Y73" s="56">
        <v>200</v>
      </c>
      <c r="AA73" s="55">
        <f>Table13[[#This Row],[Expenses - Editorial]]+Table13[[#This Row],[Expenses - Revenue Generation]]+Table13[[#This Row],[Expenses - Tech]]+Table13[[#This Row],[Expenses - Admin]]</f>
        <v>430500</v>
      </c>
      <c r="AB73" s="56">
        <v>220000</v>
      </c>
      <c r="AC73" s="71">
        <f>SUM(Table13[[#This Row],[Expenses - Revenue Generation]:[Expenses - Admin]])</f>
        <v>210500</v>
      </c>
      <c r="AD73" s="56">
        <v>133000</v>
      </c>
      <c r="AE73" s="56">
        <v>20000</v>
      </c>
      <c r="AF73" s="56">
        <v>57500</v>
      </c>
      <c r="AG73" s="59">
        <f>Table13[[#This Row],[Total FTE - Editorial]]+Table13[[#This Row],[Total FTE - Non-Editorial]]</f>
        <v>10</v>
      </c>
      <c r="AH73" s="59">
        <f>Table13[[#This Row],[FTE Salaried - Editorial]]+Table13[[#This Row],[FTE Contractors - Editorial]]</f>
        <v>7</v>
      </c>
      <c r="AI73" s="57">
        <v>4</v>
      </c>
      <c r="AJ73" s="57">
        <v>3</v>
      </c>
      <c r="AK73" s="60">
        <f>Table13[[#This Row],[FTE Salaried - Non-Editorial]]+Table13[[#This Row],[FTE Contractors - Non-Editorial]]</f>
        <v>3</v>
      </c>
      <c r="AL73" s="57">
        <v>2</v>
      </c>
      <c r="AM73" s="57">
        <v>1</v>
      </c>
      <c r="AN73" s="54" t="s">
        <v>351</v>
      </c>
      <c r="AQ73" s="57">
        <v>69000</v>
      </c>
      <c r="AR73" s="57">
        <v>7561</v>
      </c>
      <c r="AS73" s="57">
        <v>0</v>
      </c>
      <c r="AT73" s="57">
        <v>0</v>
      </c>
      <c r="AU73" s="57">
        <v>0</v>
      </c>
      <c r="AV73" s="57" t="s">
        <v>428</v>
      </c>
      <c r="AW73" s="57">
        <v>0</v>
      </c>
      <c r="AX73" s="57"/>
      <c r="AY73" s="57">
        <v>2050</v>
      </c>
    </row>
    <row r="74" spans="1:51" x14ac:dyDescent="0.2">
      <c r="A74" s="54">
        <v>496</v>
      </c>
      <c r="B74" s="54">
        <v>2017</v>
      </c>
      <c r="C74" s="91" t="s">
        <v>81</v>
      </c>
      <c r="D74" s="54" t="s">
        <v>7</v>
      </c>
      <c r="E74" s="54" t="s">
        <v>77</v>
      </c>
      <c r="F74" s="54" t="str">
        <f>_xlfn.CONCAT(Table13[[#This Row],[Geographic Scope]],": ",Table13[[#This Row],[Sub-Type/Focus]])</f>
        <v>Local: General</v>
      </c>
      <c r="G74" s="54" t="str">
        <f>_xlfn.CONCAT(Table13[[#This Row],[Geographic Scope]],": ",Table13[[#This Row],[Sub-Type/Focus]],": ",Table13[[#This Row],[Content Type]])</f>
        <v>Local: General: Investigative</v>
      </c>
      <c r="H74" s="54" t="str">
        <f>_xlfn.CONCAT(Table13[[#This Row],[Geographic Scope]],": ",Table13[[#This Row],[Content Type]])</f>
        <v>Local: Investigative</v>
      </c>
      <c r="I74" s="55">
        <f>Table13[[#This Row],[Total Contributed Income]]+Table13[[#This Row],[Total Earned Income]]</f>
        <v>40990</v>
      </c>
      <c r="J74" s="55">
        <f>Table13[[#This Row],[Cont. Income - Foundation]]+Table13[[#This Row],[Cont. Income - Membership]]+Table13[[#This Row],[Cont. Income - Small Donors]]+Table13[[#This Row],[Cont. Income - Med. Donors]]+Table13[[#This Row],[Cont. Income - Major Donors]]+Table13[[#This Row],[Cont. Income - Other]]</f>
        <v>39490</v>
      </c>
      <c r="K74" s="55">
        <f>Table13[[#This Row],[Earned Income - Advertising]]+Table13[[#This Row],[Earned Income - Sponsorships/Underwriting]]+Table13[[#This Row],[Earned Income - Events]]+Table13[[#This Row],[Earned Income - Subscriptions]]+Table13[[#This Row],[Earned Income - Syndication]]+Table13[[#This Row],[Earned Income - Other]]</f>
        <v>1500</v>
      </c>
      <c r="L74" s="56">
        <v>3000</v>
      </c>
      <c r="M74" s="56">
        <v>26100</v>
      </c>
      <c r="N74" s="71">
        <f>SUM(Table13[[#This Row],[Cont. Income - Small Donors]:[Cont. Income - Major Donors]])</f>
        <v>10390</v>
      </c>
      <c r="O74" s="56">
        <v>6590</v>
      </c>
      <c r="P74" s="56">
        <v>3800</v>
      </c>
      <c r="Q74" s="56">
        <v>0</v>
      </c>
      <c r="R74" s="56">
        <v>0</v>
      </c>
      <c r="T74" s="56">
        <v>0</v>
      </c>
      <c r="U74" s="56">
        <v>1500</v>
      </c>
      <c r="V74" s="56">
        <v>0</v>
      </c>
      <c r="W74" s="56">
        <v>0</v>
      </c>
      <c r="X74" s="56">
        <v>0</v>
      </c>
      <c r="Y74" s="56">
        <v>0</v>
      </c>
      <c r="AA74" s="55">
        <f>Table13[[#This Row],[Expenses - Editorial]]+Table13[[#This Row],[Expenses - Revenue Generation]]+Table13[[#This Row],[Expenses - Tech]]+Table13[[#This Row],[Expenses - Admin]]</f>
        <v>46400</v>
      </c>
      <c r="AB74" s="56">
        <v>32100</v>
      </c>
      <c r="AC74" s="71">
        <f>SUM(Table13[[#This Row],[Expenses - Revenue Generation]:[Expenses - Admin]])</f>
        <v>14300</v>
      </c>
      <c r="AD74" s="56">
        <v>800</v>
      </c>
      <c r="AE74" s="56">
        <v>10500</v>
      </c>
      <c r="AF74" s="56">
        <v>3000</v>
      </c>
      <c r="AG74" s="59">
        <f>Table13[[#This Row],[Total FTE - Editorial]]+Table13[[#This Row],[Total FTE - Non-Editorial]]</f>
        <v>2</v>
      </c>
      <c r="AH74" s="59">
        <f>Table13[[#This Row],[FTE Salaried - Editorial]]+Table13[[#This Row],[FTE Contractors - Editorial]]</f>
        <v>1</v>
      </c>
      <c r="AI74" s="57">
        <v>0.5</v>
      </c>
      <c r="AJ74" s="57">
        <v>0.5</v>
      </c>
      <c r="AK74" s="60">
        <f>Table13[[#This Row],[FTE Salaried - Non-Editorial]]+Table13[[#This Row],[FTE Contractors - Non-Editorial]]</f>
        <v>1</v>
      </c>
      <c r="AL74" s="57">
        <v>0.5</v>
      </c>
      <c r="AM74" s="57">
        <v>0.5</v>
      </c>
      <c r="AN74" s="54" t="s">
        <v>351</v>
      </c>
      <c r="AQ74" s="57">
        <v>5436</v>
      </c>
      <c r="AR74" s="57">
        <v>2341</v>
      </c>
      <c r="AS74" s="57">
        <v>0</v>
      </c>
      <c r="AT74" s="57">
        <v>0</v>
      </c>
      <c r="AU74" s="57">
        <v>0</v>
      </c>
      <c r="AV74" s="57">
        <v>0</v>
      </c>
      <c r="AW74" s="57">
        <v>0</v>
      </c>
      <c r="AX74" s="57">
        <v>0</v>
      </c>
      <c r="AY74" s="57">
        <v>0</v>
      </c>
    </row>
    <row r="75" spans="1:51" x14ac:dyDescent="0.2">
      <c r="A75" s="54">
        <v>499</v>
      </c>
      <c r="B75" s="54">
        <v>2010</v>
      </c>
      <c r="C75" s="91" t="s">
        <v>81</v>
      </c>
      <c r="D75" s="54" t="s">
        <v>7</v>
      </c>
      <c r="E75" s="54" t="s">
        <v>77</v>
      </c>
      <c r="F75" s="54" t="str">
        <f>_xlfn.CONCAT(Table13[[#This Row],[Geographic Scope]],": ",Table13[[#This Row],[Sub-Type/Focus]])</f>
        <v>Local: General</v>
      </c>
      <c r="G75" s="54" t="str">
        <f>_xlfn.CONCAT(Table13[[#This Row],[Geographic Scope]],": ",Table13[[#This Row],[Sub-Type/Focus]],": ",Table13[[#This Row],[Content Type]])</f>
        <v>Local: General: Investigative</v>
      </c>
      <c r="H75" s="54" t="str">
        <f>_xlfn.CONCAT(Table13[[#This Row],[Geographic Scope]],": ",Table13[[#This Row],[Content Type]])</f>
        <v>Local: Investigative</v>
      </c>
      <c r="I75" s="55">
        <f>Table13[[#This Row],[Total Contributed Income]]+Table13[[#This Row],[Total Earned Income]]</f>
        <v>142500</v>
      </c>
      <c r="J75" s="55">
        <f>Table13[[#This Row],[Cont. Income - Foundation]]+Table13[[#This Row],[Cont. Income - Membership]]+Table13[[#This Row],[Cont. Income - Small Donors]]+Table13[[#This Row],[Cont. Income - Med. Donors]]+Table13[[#This Row],[Cont. Income - Major Donors]]+Table13[[#This Row],[Cont. Income - Other]]</f>
        <v>102500</v>
      </c>
      <c r="K75" s="55">
        <f>Table13[[#This Row],[Earned Income - Advertising]]+Table13[[#This Row],[Earned Income - Sponsorships/Underwriting]]+Table13[[#This Row],[Earned Income - Events]]+Table13[[#This Row],[Earned Income - Subscriptions]]+Table13[[#This Row],[Earned Income - Syndication]]+Table13[[#This Row],[Earned Income - Other]]</f>
        <v>40000</v>
      </c>
      <c r="L75" s="56">
        <v>17500</v>
      </c>
      <c r="M75" s="56">
        <v>32000</v>
      </c>
      <c r="N75" s="71">
        <f>SUM(Table13[[#This Row],[Cont. Income - Small Donors]:[Cont. Income - Major Donors]])</f>
        <v>53000</v>
      </c>
      <c r="O75" s="56">
        <v>37000</v>
      </c>
      <c r="P75" s="56">
        <v>16000</v>
      </c>
      <c r="Q75" s="56">
        <v>0</v>
      </c>
      <c r="R75" s="56">
        <v>0</v>
      </c>
      <c r="T75" s="56">
        <v>40000</v>
      </c>
      <c r="U75" s="56">
        <v>0</v>
      </c>
      <c r="V75" s="56">
        <v>0</v>
      </c>
      <c r="W75" s="56">
        <v>0</v>
      </c>
      <c r="X75" s="56">
        <v>0</v>
      </c>
      <c r="Y75" s="56">
        <v>0</v>
      </c>
      <c r="AA75" s="55">
        <f>Table13[[#This Row],[Expenses - Editorial]]+Table13[[#This Row],[Expenses - Revenue Generation]]+Table13[[#This Row],[Expenses - Tech]]+Table13[[#This Row],[Expenses - Admin]]</f>
        <v>89000</v>
      </c>
      <c r="AB75" s="56">
        <v>55000</v>
      </c>
      <c r="AC75" s="71">
        <f>SUM(Table13[[#This Row],[Expenses - Revenue Generation]:[Expenses - Admin]])</f>
        <v>34000</v>
      </c>
      <c r="AD75" s="56">
        <v>12000</v>
      </c>
      <c r="AE75" s="56">
        <v>12000</v>
      </c>
      <c r="AF75" s="56">
        <v>10000</v>
      </c>
      <c r="AG75" s="59">
        <f>Table13[[#This Row],[Total FTE - Editorial]]+Table13[[#This Row],[Total FTE - Non-Editorial]]</f>
        <v>6</v>
      </c>
      <c r="AH75" s="59">
        <f>Table13[[#This Row],[FTE Salaried - Editorial]]+Table13[[#This Row],[FTE Contractors - Editorial]]</f>
        <v>4</v>
      </c>
      <c r="AI75" s="57">
        <v>1</v>
      </c>
      <c r="AJ75" s="57">
        <v>3</v>
      </c>
      <c r="AK75" s="60">
        <f>Table13[[#This Row],[FTE Salaried - Non-Editorial]]+Table13[[#This Row],[FTE Contractors - Non-Editorial]]</f>
        <v>2</v>
      </c>
      <c r="AL75" s="57">
        <v>1</v>
      </c>
      <c r="AM75" s="57">
        <v>1</v>
      </c>
      <c r="AN75" s="54" t="s">
        <v>352</v>
      </c>
      <c r="AO75" s="54" t="s">
        <v>429</v>
      </c>
      <c r="AQ75" s="57">
        <v>100000</v>
      </c>
      <c r="AR75" s="57">
        <v>13000</v>
      </c>
      <c r="AS75" s="57">
        <v>0</v>
      </c>
      <c r="AT75" s="57">
        <v>0</v>
      </c>
      <c r="AU75" s="57">
        <v>0</v>
      </c>
      <c r="AV75" s="57">
        <v>0</v>
      </c>
      <c r="AW75" s="57">
        <v>0</v>
      </c>
      <c r="AX75" s="57"/>
      <c r="AY75" s="57">
        <v>0</v>
      </c>
    </row>
    <row r="76" spans="1:51" x14ac:dyDescent="0.2">
      <c r="A76" s="54">
        <v>2530</v>
      </c>
      <c r="B76" s="54">
        <v>2017</v>
      </c>
      <c r="C76" s="91" t="s">
        <v>81</v>
      </c>
      <c r="D76" s="54" t="s">
        <v>7</v>
      </c>
      <c r="E76" s="54" t="s">
        <v>77</v>
      </c>
      <c r="F76" s="54" t="str">
        <f>_xlfn.CONCAT(Table13[[#This Row],[Geographic Scope]],": ",Table13[[#This Row],[Sub-Type/Focus]])</f>
        <v>Local: General</v>
      </c>
      <c r="G76" s="54" t="str">
        <f>_xlfn.CONCAT(Table13[[#This Row],[Geographic Scope]],": ",Table13[[#This Row],[Sub-Type/Focus]],": ",Table13[[#This Row],[Content Type]])</f>
        <v>Local: General: Investigative</v>
      </c>
      <c r="H76" s="54" t="str">
        <f>_xlfn.CONCAT(Table13[[#This Row],[Geographic Scope]],": ",Table13[[#This Row],[Content Type]])</f>
        <v>Local: Investigative</v>
      </c>
      <c r="I76" s="55">
        <f>Table13[[#This Row],[Total Contributed Income]]+Table13[[#This Row],[Total Earned Income]]</f>
        <v>445653.81</v>
      </c>
      <c r="J76" s="55">
        <f>Table13[[#This Row],[Cont. Income - Foundation]]+Table13[[#This Row],[Cont. Income - Membership]]+Table13[[#This Row],[Cont. Income - Small Donors]]+Table13[[#This Row],[Cont. Income - Med. Donors]]+Table13[[#This Row],[Cont. Income - Major Donors]]+Table13[[#This Row],[Cont. Income - Other]]</f>
        <v>430653.81</v>
      </c>
      <c r="K76" s="55">
        <f>Table13[[#This Row],[Earned Income - Advertising]]+Table13[[#This Row],[Earned Income - Sponsorships/Underwriting]]+Table13[[#This Row],[Earned Income - Events]]+Table13[[#This Row],[Earned Income - Subscriptions]]+Table13[[#This Row],[Earned Income - Syndication]]+Table13[[#This Row],[Earned Income - Other]]</f>
        <v>15000</v>
      </c>
      <c r="L76" s="56">
        <v>416000</v>
      </c>
      <c r="M76" s="56">
        <v>0</v>
      </c>
      <c r="N76" s="71">
        <f>SUM(Table13[[#This Row],[Cont. Income - Small Donors]:[Cont. Income - Major Donors]])</f>
        <v>14653.81</v>
      </c>
      <c r="O76" s="56">
        <v>14653.81</v>
      </c>
      <c r="P76" s="56">
        <v>0</v>
      </c>
      <c r="Q76" s="56">
        <v>0</v>
      </c>
      <c r="R76" s="56">
        <v>0</v>
      </c>
      <c r="T76" s="56">
        <v>0</v>
      </c>
      <c r="U76" s="56">
        <v>15000</v>
      </c>
      <c r="V76" s="56">
        <v>0</v>
      </c>
      <c r="W76" s="56">
        <v>0</v>
      </c>
      <c r="X76" s="56">
        <v>0</v>
      </c>
      <c r="Y76" s="56">
        <v>0</v>
      </c>
      <c r="AA76" s="55">
        <f>Table13[[#This Row],[Expenses - Editorial]]+Table13[[#This Row],[Expenses - Revenue Generation]]+Table13[[#This Row],[Expenses - Tech]]+Table13[[#This Row],[Expenses - Admin]]</f>
        <v>170040</v>
      </c>
      <c r="AB76" s="56">
        <v>95040</v>
      </c>
      <c r="AC76" s="71">
        <f>SUM(Table13[[#This Row],[Expenses - Revenue Generation]:[Expenses - Admin]])</f>
        <v>75000</v>
      </c>
      <c r="AD76" s="56">
        <v>30000</v>
      </c>
      <c r="AE76" s="56">
        <v>15000</v>
      </c>
      <c r="AF76" s="56">
        <v>30000</v>
      </c>
      <c r="AG76" s="59">
        <f>Table13[[#This Row],[Total FTE - Editorial]]+Table13[[#This Row],[Total FTE - Non-Editorial]]</f>
        <v>4</v>
      </c>
      <c r="AH76" s="59">
        <f>Table13[[#This Row],[FTE Salaried - Editorial]]+Table13[[#This Row],[FTE Contractors - Editorial]]</f>
        <v>3</v>
      </c>
      <c r="AI76" s="57">
        <v>2</v>
      </c>
      <c r="AJ76" s="57">
        <v>1</v>
      </c>
      <c r="AK76" s="60">
        <f>Table13[[#This Row],[FTE Salaried - Non-Editorial]]+Table13[[#This Row],[FTE Contractors - Non-Editorial]]</f>
        <v>1</v>
      </c>
      <c r="AL76" s="57">
        <v>1</v>
      </c>
      <c r="AM76" s="57">
        <v>0</v>
      </c>
      <c r="AN76" s="54" t="s">
        <v>351</v>
      </c>
      <c r="AO76" s="54" t="s">
        <v>351</v>
      </c>
      <c r="AQ76" s="57">
        <v>1500</v>
      </c>
      <c r="AR76" s="57">
        <v>440</v>
      </c>
      <c r="AS76" s="57">
        <v>0</v>
      </c>
      <c r="AT76" s="57">
        <v>0</v>
      </c>
      <c r="AU76" s="57">
        <v>0</v>
      </c>
      <c r="AV76" s="57">
        <v>0</v>
      </c>
      <c r="AW76" s="57">
        <v>0</v>
      </c>
      <c r="AX76" s="57"/>
      <c r="AY76" s="57">
        <v>0</v>
      </c>
    </row>
    <row r="77" spans="1:51" x14ac:dyDescent="0.2">
      <c r="A77" s="54">
        <v>2915</v>
      </c>
      <c r="B77" s="54">
        <v>2017</v>
      </c>
      <c r="C77" s="91" t="s">
        <v>81</v>
      </c>
      <c r="D77" s="54" t="s">
        <v>7</v>
      </c>
      <c r="E77" s="54" t="s">
        <v>77</v>
      </c>
      <c r="F77" s="54" t="str">
        <f>_xlfn.CONCAT(Table13[[#This Row],[Geographic Scope]],": ",Table13[[#This Row],[Sub-Type/Focus]])</f>
        <v>Local: General</v>
      </c>
      <c r="G77" s="54" t="str">
        <f>_xlfn.CONCAT(Table13[[#This Row],[Geographic Scope]],": ",Table13[[#This Row],[Sub-Type/Focus]],": ",Table13[[#This Row],[Content Type]])</f>
        <v>Local: General: Investigative</v>
      </c>
      <c r="H77" s="54" t="str">
        <f>_xlfn.CONCAT(Table13[[#This Row],[Geographic Scope]],": ",Table13[[#This Row],[Content Type]])</f>
        <v>Local: Investigative</v>
      </c>
      <c r="I77" s="55">
        <f>Table13[[#This Row],[Total Contributed Income]]+Table13[[#This Row],[Total Earned Income]]</f>
        <v>726110</v>
      </c>
      <c r="J77" s="55">
        <f>Table13[[#This Row],[Cont. Income - Foundation]]+Table13[[#This Row],[Cont. Income - Membership]]+Table13[[#This Row],[Cont. Income - Small Donors]]+Table13[[#This Row],[Cont. Income - Med. Donors]]+Table13[[#This Row],[Cont. Income - Major Donors]]+Table13[[#This Row],[Cont. Income - Other]]</f>
        <v>526110</v>
      </c>
      <c r="K77" s="55">
        <f>Table13[[#This Row],[Earned Income - Advertising]]+Table13[[#This Row],[Earned Income - Sponsorships/Underwriting]]+Table13[[#This Row],[Earned Income - Events]]+Table13[[#This Row],[Earned Income - Subscriptions]]+Table13[[#This Row],[Earned Income - Syndication]]+Table13[[#This Row],[Earned Income - Other]]</f>
        <v>200000</v>
      </c>
      <c r="L77" s="56">
        <v>65500</v>
      </c>
      <c r="M77" s="56">
        <v>150000</v>
      </c>
      <c r="N77" s="71">
        <f>SUM(Table13[[#This Row],[Cont. Income - Small Donors]:[Cont. Income - Major Donors]])</f>
        <v>206500</v>
      </c>
      <c r="O77" s="56">
        <v>2500</v>
      </c>
      <c r="P77" s="56">
        <v>24000</v>
      </c>
      <c r="Q77" s="56">
        <v>180000</v>
      </c>
      <c r="R77" s="56">
        <v>104110</v>
      </c>
      <c r="S77" s="55" t="s">
        <v>430</v>
      </c>
      <c r="T77" s="56">
        <v>200000</v>
      </c>
      <c r="U77" s="56">
        <v>0</v>
      </c>
      <c r="V77" s="56">
        <v>0</v>
      </c>
      <c r="W77" s="56">
        <v>0</v>
      </c>
      <c r="X77" s="56">
        <v>0</v>
      </c>
      <c r="Y77" s="56">
        <v>0</v>
      </c>
      <c r="AA77" s="55">
        <f>Table13[[#This Row],[Expenses - Editorial]]+Table13[[#This Row],[Expenses - Revenue Generation]]+Table13[[#This Row],[Expenses - Tech]]+Table13[[#This Row],[Expenses - Admin]]</f>
        <v>721000</v>
      </c>
      <c r="AB77" s="56">
        <v>413420</v>
      </c>
      <c r="AC77" s="71">
        <f>SUM(Table13[[#This Row],[Expenses - Revenue Generation]:[Expenses - Admin]])</f>
        <v>307580</v>
      </c>
      <c r="AD77" s="56">
        <v>125109</v>
      </c>
      <c r="AE77" s="56">
        <v>15000</v>
      </c>
      <c r="AF77" s="56">
        <v>167471</v>
      </c>
      <c r="AG77" s="59">
        <f>Table13[[#This Row],[Total FTE - Editorial]]+Table13[[#This Row],[Total FTE - Non-Editorial]]</f>
        <v>7</v>
      </c>
      <c r="AH77" s="59">
        <f>Table13[[#This Row],[FTE Salaried - Editorial]]+Table13[[#This Row],[FTE Contractors - Editorial]]</f>
        <v>4</v>
      </c>
      <c r="AI77" s="57">
        <v>4</v>
      </c>
      <c r="AJ77" s="57">
        <v>0</v>
      </c>
      <c r="AK77" s="60">
        <f>Table13[[#This Row],[FTE Salaried - Non-Editorial]]+Table13[[#This Row],[FTE Contractors - Non-Editorial]]</f>
        <v>3</v>
      </c>
      <c r="AL77" s="57">
        <v>3</v>
      </c>
      <c r="AM77" s="57">
        <v>0</v>
      </c>
      <c r="AN77" s="54" t="s">
        <v>347</v>
      </c>
      <c r="AO77" s="54" t="s">
        <v>404</v>
      </c>
      <c r="AP77" s="54" t="s">
        <v>431</v>
      </c>
      <c r="AQ77" s="57">
        <v>50000</v>
      </c>
      <c r="AR77" s="57">
        <v>4000</v>
      </c>
      <c r="AS77" s="57">
        <v>16000</v>
      </c>
      <c r="AT77" s="57">
        <v>50</v>
      </c>
      <c r="AU77" s="57">
        <v>0</v>
      </c>
      <c r="AV77" s="57">
        <v>0</v>
      </c>
      <c r="AW77" s="57">
        <v>0</v>
      </c>
      <c r="AX77" s="57"/>
      <c r="AY77" s="57">
        <v>0</v>
      </c>
    </row>
    <row r="78" spans="1:51" x14ac:dyDescent="0.2">
      <c r="A78" s="54">
        <v>2938</v>
      </c>
      <c r="B78" s="54">
        <v>2012</v>
      </c>
      <c r="C78" s="91" t="s">
        <v>81</v>
      </c>
      <c r="D78" s="54" t="s">
        <v>7</v>
      </c>
      <c r="E78" s="54" t="s">
        <v>77</v>
      </c>
      <c r="F78" s="54" t="str">
        <f>_xlfn.CONCAT(Table13[[#This Row],[Geographic Scope]],": ",Table13[[#This Row],[Sub-Type/Focus]])</f>
        <v>Local: General</v>
      </c>
      <c r="G78" s="54" t="str">
        <f>_xlfn.CONCAT(Table13[[#This Row],[Geographic Scope]],": ",Table13[[#This Row],[Sub-Type/Focus]],": ",Table13[[#This Row],[Content Type]])</f>
        <v>Local: General: Investigative</v>
      </c>
      <c r="H78" s="54" t="str">
        <f>_xlfn.CONCAT(Table13[[#This Row],[Geographic Scope]],": ",Table13[[#This Row],[Content Type]])</f>
        <v>Local: Investigative</v>
      </c>
      <c r="I78" s="55">
        <f>Table13[[#This Row],[Total Contributed Income]]+Table13[[#This Row],[Total Earned Income]]</f>
        <v>117760</v>
      </c>
      <c r="J78" s="55">
        <f>Table13[[#This Row],[Cont. Income - Foundation]]+Table13[[#This Row],[Cont. Income - Membership]]+Table13[[#This Row],[Cont. Income - Small Donors]]+Table13[[#This Row],[Cont. Income - Med. Donors]]+Table13[[#This Row],[Cont. Income - Major Donors]]+Table13[[#This Row],[Cont. Income - Other]]</f>
        <v>88760</v>
      </c>
      <c r="K78" s="55">
        <f>Table13[[#This Row],[Earned Income - Advertising]]+Table13[[#This Row],[Earned Income - Sponsorships/Underwriting]]+Table13[[#This Row],[Earned Income - Events]]+Table13[[#This Row],[Earned Income - Subscriptions]]+Table13[[#This Row],[Earned Income - Syndication]]+Table13[[#This Row],[Earned Income - Other]]</f>
        <v>29000</v>
      </c>
      <c r="L78" s="56">
        <v>29395</v>
      </c>
      <c r="M78" s="56">
        <v>0</v>
      </c>
      <c r="N78" s="71">
        <f>SUM(Table13[[#This Row],[Cont. Income - Small Donors]:[Cont. Income - Major Donors]])</f>
        <v>59365</v>
      </c>
      <c r="O78" s="56">
        <v>44815</v>
      </c>
      <c r="P78" s="56">
        <v>9525</v>
      </c>
      <c r="Q78" s="56">
        <v>5025</v>
      </c>
      <c r="R78" s="56">
        <v>0</v>
      </c>
      <c r="T78" s="56">
        <v>21000</v>
      </c>
      <c r="U78" s="56">
        <v>8000</v>
      </c>
      <c r="V78" s="56">
        <v>0</v>
      </c>
      <c r="W78" s="56">
        <v>0</v>
      </c>
      <c r="X78" s="56">
        <v>0</v>
      </c>
      <c r="Y78" s="56">
        <v>0</v>
      </c>
      <c r="AA78" s="55">
        <f>Table13[[#This Row],[Expenses - Editorial]]+Table13[[#This Row],[Expenses - Revenue Generation]]+Table13[[#This Row],[Expenses - Tech]]+Table13[[#This Row],[Expenses - Admin]]</f>
        <v>98390</v>
      </c>
      <c r="AB78" s="56">
        <v>62198</v>
      </c>
      <c r="AC78" s="71">
        <f>SUM(Table13[[#This Row],[Expenses - Revenue Generation]:[Expenses - Admin]])</f>
        <v>36192</v>
      </c>
      <c r="AD78" s="56">
        <v>16283</v>
      </c>
      <c r="AE78" s="56">
        <v>3990</v>
      </c>
      <c r="AF78" s="56">
        <v>15919</v>
      </c>
      <c r="AG78" s="59">
        <f>Table13[[#This Row],[Total FTE - Editorial]]+Table13[[#This Row],[Total FTE - Non-Editorial]]</f>
        <v>1.75</v>
      </c>
      <c r="AH78" s="59">
        <f>Table13[[#This Row],[FTE Salaried - Editorial]]+Table13[[#This Row],[FTE Contractors - Editorial]]</f>
        <v>1.5</v>
      </c>
      <c r="AI78" s="57">
        <v>1.4</v>
      </c>
      <c r="AJ78" s="57">
        <v>0.1</v>
      </c>
      <c r="AK78" s="60">
        <f>Table13[[#This Row],[FTE Salaried - Non-Editorial]]+Table13[[#This Row],[FTE Contractors - Non-Editorial]]</f>
        <v>0.25</v>
      </c>
      <c r="AL78" s="57">
        <v>0.2</v>
      </c>
      <c r="AM78" s="57">
        <v>0.05</v>
      </c>
      <c r="AN78" s="54" t="s">
        <v>351</v>
      </c>
      <c r="AQ78" s="57">
        <v>204270</v>
      </c>
      <c r="AR78" s="57">
        <v>1938</v>
      </c>
      <c r="AS78" s="57">
        <v>5500</v>
      </c>
      <c r="AT78" s="57">
        <v>2</v>
      </c>
      <c r="AU78" s="57">
        <v>0</v>
      </c>
      <c r="AV78" s="57">
        <v>0</v>
      </c>
      <c r="AW78" s="57">
        <v>0</v>
      </c>
      <c r="AX78" s="57"/>
      <c r="AY78" s="57">
        <v>0</v>
      </c>
    </row>
    <row r="79" spans="1:51" x14ac:dyDescent="0.2">
      <c r="A79" s="54">
        <v>2985</v>
      </c>
      <c r="B79" s="54">
        <v>2019</v>
      </c>
      <c r="C79" s="91" t="s">
        <v>81</v>
      </c>
      <c r="D79" s="54" t="s">
        <v>7</v>
      </c>
      <c r="E79" s="54" t="s">
        <v>77</v>
      </c>
      <c r="F79" s="54" t="str">
        <f>_xlfn.CONCAT(Table13[[#This Row],[Geographic Scope]],": ",Table13[[#This Row],[Sub-Type/Focus]])</f>
        <v>Local: General</v>
      </c>
      <c r="G79" s="54" t="str">
        <f>_xlfn.CONCAT(Table13[[#This Row],[Geographic Scope]],": ",Table13[[#This Row],[Sub-Type/Focus]],": ",Table13[[#This Row],[Content Type]])</f>
        <v>Local: General: Investigative</v>
      </c>
      <c r="H79" s="54" t="str">
        <f>_xlfn.CONCAT(Table13[[#This Row],[Geographic Scope]],": ",Table13[[#This Row],[Content Type]])</f>
        <v>Local: Investigative</v>
      </c>
      <c r="I79" s="55">
        <f>Table13[[#This Row],[Total Contributed Income]]+Table13[[#This Row],[Total Earned Income]]</f>
        <v>78613</v>
      </c>
      <c r="J79" s="55">
        <f>Table13[[#This Row],[Cont. Income - Foundation]]+Table13[[#This Row],[Cont. Income - Membership]]+Table13[[#This Row],[Cont. Income - Small Donors]]+Table13[[#This Row],[Cont. Income - Med. Donors]]+Table13[[#This Row],[Cont. Income - Major Donors]]+Table13[[#This Row],[Cont. Income - Other]]</f>
        <v>78613</v>
      </c>
      <c r="K79" s="55">
        <f>Table13[[#This Row],[Earned Income - Advertising]]+Table13[[#This Row],[Earned Income - Sponsorships/Underwriting]]+Table13[[#This Row],[Earned Income - Events]]+Table13[[#This Row],[Earned Income - Subscriptions]]+Table13[[#This Row],[Earned Income - Syndication]]+Table13[[#This Row],[Earned Income - Other]]</f>
        <v>0</v>
      </c>
      <c r="L79" s="56">
        <v>69688</v>
      </c>
      <c r="M79" s="56">
        <v>0</v>
      </c>
      <c r="N79" s="71">
        <f>SUM(Table13[[#This Row],[Cont. Income - Small Donors]:[Cont. Income - Major Donors]])</f>
        <v>8925</v>
      </c>
      <c r="O79" s="56">
        <v>3925</v>
      </c>
      <c r="P79" s="56">
        <v>0</v>
      </c>
      <c r="Q79" s="56">
        <v>5000</v>
      </c>
      <c r="R79" s="56">
        <v>0</v>
      </c>
      <c r="T79" s="56">
        <v>0</v>
      </c>
      <c r="U79" s="56">
        <v>0</v>
      </c>
      <c r="V79" s="56">
        <v>0</v>
      </c>
      <c r="W79" s="56">
        <v>0</v>
      </c>
      <c r="X79" s="56">
        <v>0</v>
      </c>
      <c r="Y79" s="56">
        <v>0</v>
      </c>
      <c r="AA79" s="55">
        <f>Table13[[#This Row],[Expenses - Editorial]]+Table13[[#This Row],[Expenses - Revenue Generation]]+Table13[[#This Row],[Expenses - Tech]]+Table13[[#This Row],[Expenses - Admin]]</f>
        <v>38596.85</v>
      </c>
      <c r="AB79" s="56">
        <v>37062</v>
      </c>
      <c r="AC79" s="71">
        <f>SUM(Table13[[#This Row],[Expenses - Revenue Generation]:[Expenses - Admin]])</f>
        <v>1534.85</v>
      </c>
      <c r="AD79" s="56">
        <v>318.85000000000002</v>
      </c>
      <c r="AE79" s="56">
        <v>1216</v>
      </c>
      <c r="AF79" s="56">
        <v>0</v>
      </c>
      <c r="AG79" s="59">
        <f>Table13[[#This Row],[Total FTE - Editorial]]+Table13[[#This Row],[Total FTE - Non-Editorial]]</f>
        <v>1</v>
      </c>
      <c r="AH79" s="59">
        <f>Table13[[#This Row],[FTE Salaried - Editorial]]+Table13[[#This Row],[FTE Contractors - Editorial]]</f>
        <v>0.5</v>
      </c>
      <c r="AI79" s="57">
        <v>0</v>
      </c>
      <c r="AJ79" s="57">
        <v>0.5</v>
      </c>
      <c r="AK79" s="60">
        <f>Table13[[#This Row],[FTE Salaried - Non-Editorial]]+Table13[[#This Row],[FTE Contractors - Non-Editorial]]</f>
        <v>0.5</v>
      </c>
      <c r="AL79" s="57">
        <v>0</v>
      </c>
      <c r="AM79" s="57">
        <v>0.5</v>
      </c>
      <c r="AN79" s="54" t="s">
        <v>347</v>
      </c>
      <c r="AO79" s="54" t="s">
        <v>363</v>
      </c>
      <c r="AQ79" s="57">
        <v>7000</v>
      </c>
      <c r="AR79" s="57">
        <v>198</v>
      </c>
      <c r="AS79" s="57">
        <v>2000</v>
      </c>
      <c r="AT79" s="57">
        <v>3</v>
      </c>
      <c r="AU79" s="57">
        <v>0</v>
      </c>
      <c r="AV79" s="57">
        <v>0</v>
      </c>
      <c r="AW79" s="57">
        <v>0</v>
      </c>
      <c r="AX79" s="57"/>
      <c r="AY79" s="57">
        <v>0</v>
      </c>
    </row>
    <row r="80" spans="1:51" x14ac:dyDescent="0.2">
      <c r="A80" s="54">
        <v>6811</v>
      </c>
      <c r="B80" s="54">
        <v>1971</v>
      </c>
      <c r="C80" s="91" t="s">
        <v>81</v>
      </c>
      <c r="D80" s="54" t="s">
        <v>7</v>
      </c>
      <c r="E80" s="54" t="s">
        <v>77</v>
      </c>
      <c r="F80" s="54" t="str">
        <f>_xlfn.CONCAT(Table13[[#This Row],[Geographic Scope]],": ",Table13[[#This Row],[Sub-Type/Focus]])</f>
        <v>Local: General</v>
      </c>
      <c r="G80" s="54" t="str">
        <f>_xlfn.CONCAT(Table13[[#This Row],[Geographic Scope]],": ",Table13[[#This Row],[Sub-Type/Focus]],": ",Table13[[#This Row],[Content Type]])</f>
        <v>Local: General: Investigative</v>
      </c>
      <c r="H80" s="54" t="str">
        <f>_xlfn.CONCAT(Table13[[#This Row],[Geographic Scope]],": ",Table13[[#This Row],[Content Type]])</f>
        <v>Local: Investigative</v>
      </c>
      <c r="I80" s="55">
        <f>Table13[[#This Row],[Total Contributed Income]]+Table13[[#This Row],[Total Earned Income]]</f>
        <v>1845514</v>
      </c>
      <c r="J80" s="55">
        <f>Table13[[#This Row],[Cont. Income - Foundation]]+Table13[[#This Row],[Cont. Income - Membership]]+Table13[[#This Row],[Cont. Income - Small Donors]]+Table13[[#This Row],[Cont. Income - Med. Donors]]+Table13[[#This Row],[Cont. Income - Major Donors]]+Table13[[#This Row],[Cont. Income - Other]]</f>
        <v>757528</v>
      </c>
      <c r="K80" s="55">
        <f>Table13[[#This Row],[Earned Income - Advertising]]+Table13[[#This Row],[Earned Income - Sponsorships/Underwriting]]+Table13[[#This Row],[Earned Income - Events]]+Table13[[#This Row],[Earned Income - Subscriptions]]+Table13[[#This Row],[Earned Income - Syndication]]+Table13[[#This Row],[Earned Income - Other]]</f>
        <v>1087986</v>
      </c>
      <c r="L80" s="56">
        <v>541538</v>
      </c>
      <c r="M80" s="56">
        <v>44711</v>
      </c>
      <c r="N80" s="71">
        <f>SUM(Table13[[#This Row],[Cont. Income - Small Donors]:[Cont. Income - Major Donors]])</f>
        <v>171279</v>
      </c>
      <c r="O80" s="56">
        <v>160729</v>
      </c>
      <c r="P80" s="56">
        <v>10550</v>
      </c>
      <c r="Q80" s="56">
        <v>0</v>
      </c>
      <c r="R80" s="56"/>
      <c r="T80" s="56">
        <v>888701</v>
      </c>
      <c r="U80" s="56">
        <v>0</v>
      </c>
      <c r="V80" s="56">
        <v>49870</v>
      </c>
      <c r="W80" s="56">
        <v>22295</v>
      </c>
      <c r="X80" s="56">
        <v>0</v>
      </c>
      <c r="Y80" s="56">
        <v>127120</v>
      </c>
      <c r="Z80" s="54" t="s">
        <v>432</v>
      </c>
      <c r="AA80" s="55">
        <f>Table13[[#This Row],[Expenses - Editorial]]+Table13[[#This Row],[Expenses - Revenue Generation]]+Table13[[#This Row],[Expenses - Tech]]+Table13[[#This Row],[Expenses - Admin]]</f>
        <v>2203414</v>
      </c>
      <c r="AB80" s="56">
        <v>1585302</v>
      </c>
      <c r="AC80" s="71">
        <f>SUM(Table13[[#This Row],[Expenses - Revenue Generation]:[Expenses - Admin]])</f>
        <v>618112</v>
      </c>
      <c r="AD80" s="56">
        <v>190728</v>
      </c>
      <c r="AE80" s="56">
        <v>90993</v>
      </c>
      <c r="AF80" s="56">
        <v>336391</v>
      </c>
      <c r="AG80" s="59">
        <f>Table13[[#This Row],[Total FTE - Editorial]]+Table13[[#This Row],[Total FTE - Non-Editorial]]</f>
        <v>27</v>
      </c>
      <c r="AH80" s="59">
        <f>Table13[[#This Row],[FTE Salaried - Editorial]]+Table13[[#This Row],[FTE Contractors - Editorial]]</f>
        <v>15</v>
      </c>
      <c r="AI80" s="57">
        <v>15</v>
      </c>
      <c r="AJ80" s="57">
        <v>0</v>
      </c>
      <c r="AK80" s="60">
        <f>Table13[[#This Row],[FTE Salaried - Non-Editorial]]+Table13[[#This Row],[FTE Contractors - Non-Editorial]]</f>
        <v>12</v>
      </c>
      <c r="AL80" s="57">
        <v>12</v>
      </c>
      <c r="AM80" s="57">
        <v>0</v>
      </c>
      <c r="AN80" s="54" t="s">
        <v>347</v>
      </c>
      <c r="AO80" s="54" t="s">
        <v>380</v>
      </c>
      <c r="AQ80" s="57">
        <v>1500000</v>
      </c>
      <c r="AR80" s="57">
        <v>42000</v>
      </c>
      <c r="AS80" s="57">
        <v>55000</v>
      </c>
      <c r="AT80" s="57">
        <v>26</v>
      </c>
      <c r="AU80" s="57">
        <v>0</v>
      </c>
      <c r="AV80" s="57">
        <v>0</v>
      </c>
      <c r="AW80" s="57">
        <v>0</v>
      </c>
      <c r="AX80" s="57"/>
      <c r="AY80" s="57">
        <v>45000</v>
      </c>
    </row>
    <row r="81" spans="1:51" x14ac:dyDescent="0.2">
      <c r="A81" s="54">
        <v>6837</v>
      </c>
      <c r="B81" s="54">
        <v>2020</v>
      </c>
      <c r="C81" s="91" t="s">
        <v>81</v>
      </c>
      <c r="D81" s="54" t="s">
        <v>7</v>
      </c>
      <c r="E81" s="54" t="s">
        <v>77</v>
      </c>
      <c r="F81" s="54" t="str">
        <f>_xlfn.CONCAT(Table13[[#This Row],[Geographic Scope]],": ",Table13[[#This Row],[Sub-Type/Focus]])</f>
        <v>Local: General</v>
      </c>
      <c r="G81" s="54" t="str">
        <f>_xlfn.CONCAT(Table13[[#This Row],[Geographic Scope]],": ",Table13[[#This Row],[Sub-Type/Focus]],": ",Table13[[#This Row],[Content Type]])</f>
        <v>Local: General: Investigative</v>
      </c>
      <c r="H81" s="54" t="str">
        <f>_xlfn.CONCAT(Table13[[#This Row],[Geographic Scope]],": ",Table13[[#This Row],[Content Type]])</f>
        <v>Local: Investigative</v>
      </c>
      <c r="I81" s="55">
        <f>Table13[[#This Row],[Total Contributed Income]]+Table13[[#This Row],[Total Earned Income]]</f>
        <v>0</v>
      </c>
      <c r="J81" s="55">
        <f>Table13[[#This Row],[Cont. Income - Foundation]]+Table13[[#This Row],[Cont. Income - Membership]]+Table13[[#This Row],[Cont. Income - Small Donors]]+Table13[[#This Row],[Cont. Income - Med. Donors]]+Table13[[#This Row],[Cont. Income - Major Donors]]+Table13[[#This Row],[Cont. Income - Other]]</f>
        <v>0</v>
      </c>
      <c r="K81" s="55">
        <f>Table13[[#This Row],[Earned Income - Advertising]]+Table13[[#This Row],[Earned Income - Sponsorships/Underwriting]]+Table13[[#This Row],[Earned Income - Events]]+Table13[[#This Row],[Earned Income - Subscriptions]]+Table13[[#This Row],[Earned Income - Syndication]]+Table13[[#This Row],[Earned Income - Other]]</f>
        <v>0</v>
      </c>
      <c r="L81" s="56"/>
      <c r="M81" s="56"/>
      <c r="N81" s="71">
        <f>SUM(Table13[[#This Row],[Cont. Income - Small Donors]:[Cont. Income - Major Donors]])</f>
        <v>0</v>
      </c>
      <c r="O81" s="56"/>
      <c r="P81" s="56"/>
      <c r="Q81" s="56"/>
      <c r="R81" s="56"/>
      <c r="T81" s="56"/>
      <c r="U81" s="56"/>
      <c r="V81" s="56"/>
      <c r="W81" s="56"/>
      <c r="X81" s="56"/>
      <c r="Y81" s="56"/>
      <c r="AA81" s="55">
        <f>Table13[[#This Row],[Expenses - Editorial]]+Table13[[#This Row],[Expenses - Revenue Generation]]+Table13[[#This Row],[Expenses - Tech]]+Table13[[#This Row],[Expenses - Admin]]</f>
        <v>0</v>
      </c>
      <c r="AB81" s="57"/>
      <c r="AC81" s="71">
        <f>SUM(Table13[[#This Row],[Expenses - Revenue Generation]:[Expenses - Admin]])</f>
        <v>0</v>
      </c>
      <c r="AD81" s="57"/>
      <c r="AE81" s="57"/>
      <c r="AF81" s="57"/>
      <c r="AG81" s="59">
        <f>Table13[[#This Row],[Total FTE - Editorial]]+Table13[[#This Row],[Total FTE - Non-Editorial]]</f>
        <v>0.5</v>
      </c>
      <c r="AH81" s="59">
        <f>Table13[[#This Row],[FTE Salaried - Editorial]]+Table13[[#This Row],[FTE Contractors - Editorial]]</f>
        <v>0.25</v>
      </c>
      <c r="AI81" s="57">
        <v>0.25</v>
      </c>
      <c r="AJ81" s="57">
        <v>0</v>
      </c>
      <c r="AK81" s="60">
        <f>Table13[[#This Row],[FTE Salaried - Non-Editorial]]+Table13[[#This Row],[FTE Contractors - Non-Editorial]]</f>
        <v>0.25</v>
      </c>
      <c r="AL81" s="57">
        <v>0.25</v>
      </c>
      <c r="AM81" s="57">
        <v>0</v>
      </c>
      <c r="AN81" s="54" t="s">
        <v>351</v>
      </c>
      <c r="AQ81" s="57">
        <v>60602</v>
      </c>
      <c r="AR81" s="57">
        <v>1805</v>
      </c>
      <c r="AS81" s="57">
        <v>0</v>
      </c>
      <c r="AT81" s="57">
        <v>0</v>
      </c>
      <c r="AU81" s="57">
        <v>0</v>
      </c>
      <c r="AV81" s="57">
        <v>0</v>
      </c>
      <c r="AW81" s="57">
        <v>0</v>
      </c>
      <c r="AX81" s="57"/>
      <c r="AY81" s="57">
        <v>0</v>
      </c>
    </row>
    <row r="82" spans="1:51" x14ac:dyDescent="0.2">
      <c r="A82" s="54">
        <v>6846</v>
      </c>
      <c r="B82" s="54">
        <v>2019</v>
      </c>
      <c r="C82" s="91" t="s">
        <v>81</v>
      </c>
      <c r="D82" s="54" t="s">
        <v>7</v>
      </c>
      <c r="E82" s="54" t="s">
        <v>77</v>
      </c>
      <c r="F82" s="54" t="str">
        <f>_xlfn.CONCAT(Table13[[#This Row],[Geographic Scope]],": ",Table13[[#This Row],[Sub-Type/Focus]])</f>
        <v>Local: General</v>
      </c>
      <c r="G82" s="54" t="str">
        <f>_xlfn.CONCAT(Table13[[#This Row],[Geographic Scope]],": ",Table13[[#This Row],[Sub-Type/Focus]],": ",Table13[[#This Row],[Content Type]])</f>
        <v>Local: General: Investigative</v>
      </c>
      <c r="H82" s="54" t="str">
        <f>_xlfn.CONCAT(Table13[[#This Row],[Geographic Scope]],": ",Table13[[#This Row],[Content Type]])</f>
        <v>Local: Investigative</v>
      </c>
      <c r="I82" s="55">
        <f>Table13[[#This Row],[Total Contributed Income]]+Table13[[#This Row],[Total Earned Income]]</f>
        <v>23952</v>
      </c>
      <c r="J82" s="55">
        <f>Table13[[#This Row],[Cont. Income - Foundation]]+Table13[[#This Row],[Cont. Income - Membership]]+Table13[[#This Row],[Cont. Income - Small Donors]]+Table13[[#This Row],[Cont. Income - Med. Donors]]+Table13[[#This Row],[Cont. Income - Major Donors]]+Table13[[#This Row],[Cont. Income - Other]]</f>
        <v>23952</v>
      </c>
      <c r="K82" s="55">
        <f>Table13[[#This Row],[Earned Income - Advertising]]+Table13[[#This Row],[Earned Income - Sponsorships/Underwriting]]+Table13[[#This Row],[Earned Income - Events]]+Table13[[#This Row],[Earned Income - Subscriptions]]+Table13[[#This Row],[Earned Income - Syndication]]+Table13[[#This Row],[Earned Income - Other]]</f>
        <v>0</v>
      </c>
      <c r="L82" s="56">
        <v>0</v>
      </c>
      <c r="M82" s="56">
        <v>0</v>
      </c>
      <c r="N82" s="71">
        <f>SUM(Table13[[#This Row],[Cont. Income - Small Donors]:[Cont. Income - Major Donors]])</f>
        <v>23952</v>
      </c>
      <c r="O82" s="56">
        <v>19952</v>
      </c>
      <c r="P82" s="56">
        <v>4000</v>
      </c>
      <c r="Q82" s="56">
        <v>0</v>
      </c>
      <c r="R82" s="56">
        <v>0</v>
      </c>
      <c r="T82" s="56">
        <v>0</v>
      </c>
      <c r="U82" s="56">
        <v>0</v>
      </c>
      <c r="V82" s="56">
        <v>0</v>
      </c>
      <c r="W82" s="56">
        <v>0</v>
      </c>
      <c r="X82" s="56">
        <v>0</v>
      </c>
      <c r="Y82" s="56">
        <v>0</v>
      </c>
      <c r="AA82" s="55">
        <f>Table13[[#This Row],[Expenses - Editorial]]+Table13[[#This Row],[Expenses - Revenue Generation]]+Table13[[#This Row],[Expenses - Tech]]+Table13[[#This Row],[Expenses - Admin]]</f>
        <v>24669</v>
      </c>
      <c r="AB82" s="56">
        <v>7364</v>
      </c>
      <c r="AC82" s="71">
        <f>SUM(Table13[[#This Row],[Expenses - Revenue Generation]:[Expenses - Admin]])</f>
        <v>17305</v>
      </c>
      <c r="AD82" s="56">
        <v>1602</v>
      </c>
      <c r="AE82" s="56">
        <v>14552</v>
      </c>
      <c r="AF82" s="56">
        <v>1151</v>
      </c>
      <c r="AG82" s="59">
        <f>Table13[[#This Row],[Total FTE - Editorial]]+Table13[[#This Row],[Total FTE - Non-Editorial]]</f>
        <v>0</v>
      </c>
      <c r="AH82" s="59">
        <f>Table13[[#This Row],[FTE Salaried - Editorial]]+Table13[[#This Row],[FTE Contractors - Editorial]]</f>
        <v>0</v>
      </c>
      <c r="AI82" s="57">
        <v>0</v>
      </c>
      <c r="AJ82" s="57">
        <v>0</v>
      </c>
      <c r="AK82" s="60">
        <f>Table13[[#This Row],[FTE Salaried - Non-Editorial]]+Table13[[#This Row],[FTE Contractors - Non-Editorial]]</f>
        <v>0</v>
      </c>
      <c r="AL82" s="57">
        <v>0</v>
      </c>
      <c r="AM82" s="57">
        <v>0</v>
      </c>
      <c r="AN82" s="54" t="s">
        <v>351</v>
      </c>
      <c r="AQ82" s="57">
        <v>2590</v>
      </c>
      <c r="AR82" s="57">
        <v>3452</v>
      </c>
      <c r="AS82" s="57">
        <v>0</v>
      </c>
      <c r="AT82" s="57">
        <v>0</v>
      </c>
      <c r="AU82" s="57">
        <v>0</v>
      </c>
      <c r="AV82" s="57">
        <v>0</v>
      </c>
      <c r="AW82" s="57">
        <v>0</v>
      </c>
      <c r="AX82" s="57"/>
      <c r="AY82" s="57">
        <v>0</v>
      </c>
    </row>
    <row r="83" spans="1:51" x14ac:dyDescent="0.2">
      <c r="B83" s="54">
        <v>2018</v>
      </c>
      <c r="C83" s="91" t="s">
        <v>81</v>
      </c>
      <c r="D83" s="54" t="s">
        <v>7</v>
      </c>
      <c r="E83" s="54" t="s">
        <v>77</v>
      </c>
      <c r="F83" s="54" t="str">
        <f>_xlfn.CONCAT(Table13[[#This Row],[Geographic Scope]],": ",Table13[[#This Row],[Sub-Type/Focus]])</f>
        <v>Local: General</v>
      </c>
      <c r="G83" s="54" t="str">
        <f>_xlfn.CONCAT(Table13[[#This Row],[Geographic Scope]],": ",Table13[[#This Row],[Sub-Type/Focus]],": ",Table13[[#This Row],[Content Type]])</f>
        <v>Local: General: Investigative</v>
      </c>
      <c r="H83" s="54" t="str">
        <f>_xlfn.CONCAT(Table13[[#This Row],[Geographic Scope]],": ",Table13[[#This Row],[Content Type]])</f>
        <v>Local: Investigative</v>
      </c>
      <c r="I83" s="55">
        <f>Table13[[#This Row],[Total Contributed Income]]+Table13[[#This Row],[Total Earned Income]]</f>
        <v>442000</v>
      </c>
      <c r="J83" s="55">
        <f>Table13[[#This Row],[Cont. Income - Foundation]]+Table13[[#This Row],[Cont. Income - Membership]]+Table13[[#This Row],[Cont. Income - Small Donors]]+Table13[[#This Row],[Cont. Income - Med. Donors]]+Table13[[#This Row],[Cont. Income - Major Donors]]+Table13[[#This Row],[Cont. Income - Other]]</f>
        <v>442000</v>
      </c>
      <c r="K83" s="55">
        <f>Table13[[#This Row],[Earned Income - Advertising]]+Table13[[#This Row],[Earned Income - Sponsorships/Underwriting]]+Table13[[#This Row],[Earned Income - Events]]+Table13[[#This Row],[Earned Income - Subscriptions]]+Table13[[#This Row],[Earned Income - Syndication]]+Table13[[#This Row],[Earned Income - Other]]</f>
        <v>0</v>
      </c>
      <c r="L83" s="56">
        <v>176000</v>
      </c>
      <c r="M83" s="56">
        <v>0</v>
      </c>
      <c r="N83" s="71">
        <f>SUM(Table13[[#This Row],[Cont. Income - Small Donors]:[Cont. Income - Major Donors]])</f>
        <v>130000</v>
      </c>
      <c r="O83" s="56">
        <v>30000</v>
      </c>
      <c r="P83" s="56">
        <v>10000</v>
      </c>
      <c r="Q83" s="56">
        <v>90000</v>
      </c>
      <c r="R83" s="56">
        <v>136000</v>
      </c>
      <c r="S83" s="55" t="s">
        <v>433</v>
      </c>
      <c r="T83" s="56">
        <v>0</v>
      </c>
      <c r="U83" s="56">
        <v>0</v>
      </c>
      <c r="V83" s="56">
        <v>0</v>
      </c>
      <c r="W83" s="56">
        <v>0</v>
      </c>
      <c r="X83" s="56">
        <v>0</v>
      </c>
      <c r="Y83" s="56">
        <v>0</v>
      </c>
      <c r="AA83" s="55">
        <f>Table13[[#This Row],[Expenses - Editorial]]+Table13[[#This Row],[Expenses - Revenue Generation]]+Table13[[#This Row],[Expenses - Tech]]+Table13[[#This Row],[Expenses - Admin]]</f>
        <v>330000</v>
      </c>
      <c r="AB83" s="56">
        <v>275000</v>
      </c>
      <c r="AC83" s="71">
        <f>SUM(Table13[[#This Row],[Expenses - Revenue Generation]:[Expenses - Admin]])</f>
        <v>55000</v>
      </c>
      <c r="AD83" s="56">
        <v>15000</v>
      </c>
      <c r="AE83" s="56">
        <v>12000</v>
      </c>
      <c r="AF83" s="56">
        <v>28000</v>
      </c>
      <c r="AG83" s="59">
        <f>Table13[[#This Row],[Total FTE - Editorial]]+Table13[[#This Row],[Total FTE - Non-Editorial]]</f>
        <v>13.25</v>
      </c>
      <c r="AH83" s="59">
        <f>Table13[[#This Row],[FTE Salaried - Editorial]]+Table13[[#This Row],[FTE Contractors - Editorial]]</f>
        <v>12.25</v>
      </c>
      <c r="AI83" s="57">
        <v>12</v>
      </c>
      <c r="AJ83" s="57">
        <v>0.25</v>
      </c>
      <c r="AK83" s="60">
        <f>Table13[[#This Row],[FTE Salaried - Non-Editorial]]+Table13[[#This Row],[FTE Contractors - Non-Editorial]]</f>
        <v>1</v>
      </c>
      <c r="AL83" s="57">
        <v>1</v>
      </c>
      <c r="AM83" s="57">
        <v>0</v>
      </c>
      <c r="AN83" s="54" t="s">
        <v>351</v>
      </c>
      <c r="AO83" s="54" t="s">
        <v>356</v>
      </c>
      <c r="AP83" s="54" t="s">
        <v>434</v>
      </c>
      <c r="AQ83" s="57">
        <v>30000</v>
      </c>
      <c r="AR83" s="57">
        <v>800</v>
      </c>
      <c r="AS83" s="57">
        <v>0</v>
      </c>
      <c r="AT83" s="57">
        <v>0</v>
      </c>
      <c r="AU83" s="57">
        <v>0</v>
      </c>
      <c r="AV83" s="57">
        <v>0</v>
      </c>
      <c r="AW83" s="57">
        <v>0</v>
      </c>
      <c r="AX83" s="57"/>
      <c r="AY83" s="57">
        <v>0</v>
      </c>
    </row>
    <row r="84" spans="1:51" x14ac:dyDescent="0.2">
      <c r="A84" s="54">
        <v>323</v>
      </c>
      <c r="B84" s="54">
        <v>2014</v>
      </c>
      <c r="C84" s="91" t="s">
        <v>81</v>
      </c>
      <c r="D84" s="54" t="s">
        <v>7</v>
      </c>
      <c r="E84" s="54" t="s">
        <v>78</v>
      </c>
      <c r="F84" s="54" t="str">
        <f>_xlfn.CONCAT(Table13[[#This Row],[Geographic Scope]],": ",Table13[[#This Row],[Sub-Type/Focus]])</f>
        <v>Local: Multiple Related Topics</v>
      </c>
      <c r="G84" s="54" t="str">
        <f>_xlfn.CONCAT(Table13[[#This Row],[Geographic Scope]],": ",Table13[[#This Row],[Sub-Type/Focus]],": ",Table13[[#This Row],[Content Type]])</f>
        <v>Local: Multiple Related Topics: Investigative</v>
      </c>
      <c r="H84" s="54" t="str">
        <f>_xlfn.CONCAT(Table13[[#This Row],[Geographic Scope]],": ",Table13[[#This Row],[Content Type]])</f>
        <v>Local: Investigative</v>
      </c>
      <c r="I84" s="55">
        <f>Table13[[#This Row],[Total Contributed Income]]+Table13[[#This Row],[Total Earned Income]]</f>
        <v>164532</v>
      </c>
      <c r="J84" s="55">
        <f>Table13[[#This Row],[Cont. Income - Foundation]]+Table13[[#This Row],[Cont. Income - Membership]]+Table13[[#This Row],[Cont. Income - Small Donors]]+Table13[[#This Row],[Cont. Income - Med. Donors]]+Table13[[#This Row],[Cont. Income - Major Donors]]+Table13[[#This Row],[Cont. Income - Other]]</f>
        <v>164532</v>
      </c>
      <c r="K84" s="55">
        <f>Table13[[#This Row],[Earned Income - Advertising]]+Table13[[#This Row],[Earned Income - Sponsorships/Underwriting]]+Table13[[#This Row],[Earned Income - Events]]+Table13[[#This Row],[Earned Income - Subscriptions]]+Table13[[#This Row],[Earned Income - Syndication]]+Table13[[#This Row],[Earned Income - Other]]</f>
        <v>0</v>
      </c>
      <c r="L84" s="56">
        <v>22000</v>
      </c>
      <c r="M84" s="56">
        <v>0</v>
      </c>
      <c r="N84" s="71">
        <f>SUM(Table13[[#This Row],[Cont. Income - Small Donors]:[Cont. Income - Major Donors]])</f>
        <v>62532</v>
      </c>
      <c r="O84" s="56">
        <v>52532</v>
      </c>
      <c r="P84" s="56">
        <v>10000</v>
      </c>
      <c r="Q84" s="56">
        <v>0</v>
      </c>
      <c r="R84" s="56">
        <v>80000</v>
      </c>
      <c r="S84" s="55" t="s">
        <v>435</v>
      </c>
      <c r="T84" s="56">
        <v>0</v>
      </c>
      <c r="U84" s="56">
        <v>0</v>
      </c>
      <c r="V84" s="56">
        <v>0</v>
      </c>
      <c r="W84" s="56">
        <v>0</v>
      </c>
      <c r="X84" s="56">
        <v>0</v>
      </c>
      <c r="Y84" s="56">
        <v>0</v>
      </c>
      <c r="AA84" s="55">
        <f>Table13[[#This Row],[Expenses - Editorial]]+Table13[[#This Row],[Expenses - Revenue Generation]]+Table13[[#This Row],[Expenses - Tech]]+Table13[[#This Row],[Expenses - Admin]]</f>
        <v>121328</v>
      </c>
      <c r="AB84" s="56">
        <v>109036</v>
      </c>
      <c r="AC84" s="71">
        <f>SUM(Table13[[#This Row],[Expenses - Revenue Generation]:[Expenses - Admin]])</f>
        <v>12292</v>
      </c>
      <c r="AD84" s="56">
        <v>0</v>
      </c>
      <c r="AE84" s="56">
        <v>1760</v>
      </c>
      <c r="AF84" s="56">
        <v>10532</v>
      </c>
      <c r="AG84" s="59">
        <f>Table13[[#This Row],[Total FTE - Editorial]]+Table13[[#This Row],[Total FTE - Non-Editorial]]</f>
        <v>8</v>
      </c>
      <c r="AH84" s="59">
        <f>Table13[[#This Row],[FTE Salaried - Editorial]]+Table13[[#This Row],[FTE Contractors - Editorial]]</f>
        <v>7</v>
      </c>
      <c r="AI84" s="57">
        <v>0</v>
      </c>
      <c r="AJ84" s="57">
        <v>7</v>
      </c>
      <c r="AK84" s="60">
        <f>Table13[[#This Row],[FTE Salaried - Non-Editorial]]+Table13[[#This Row],[FTE Contractors - Non-Editorial]]</f>
        <v>1</v>
      </c>
      <c r="AL84" s="57">
        <v>0</v>
      </c>
      <c r="AM84" s="57">
        <v>1</v>
      </c>
      <c r="AN84" s="54" t="s">
        <v>351</v>
      </c>
      <c r="AO84" s="54" t="s">
        <v>401</v>
      </c>
      <c r="AP84" s="54" t="s">
        <v>436</v>
      </c>
      <c r="AQ84" s="57">
        <v>39000</v>
      </c>
      <c r="AR84" s="57">
        <v>3386</v>
      </c>
      <c r="AS84" s="57">
        <v>0</v>
      </c>
      <c r="AT84" s="57">
        <v>0</v>
      </c>
      <c r="AU84" s="57">
        <v>0</v>
      </c>
      <c r="AV84" s="57" t="s">
        <v>437</v>
      </c>
      <c r="AW84" s="57">
        <v>0</v>
      </c>
      <c r="AX84" s="57"/>
      <c r="AY84" s="57">
        <v>0</v>
      </c>
    </row>
    <row r="85" spans="1:51" x14ac:dyDescent="0.2">
      <c r="A85" s="54">
        <v>329</v>
      </c>
      <c r="B85" s="54">
        <v>2011</v>
      </c>
      <c r="C85" s="91" t="s">
        <v>81</v>
      </c>
      <c r="D85" s="54" t="s">
        <v>7</v>
      </c>
      <c r="E85" s="54" t="s">
        <v>78</v>
      </c>
      <c r="F85" s="54" t="str">
        <f>_xlfn.CONCAT(Table13[[#This Row],[Geographic Scope]],": ",Table13[[#This Row],[Sub-Type/Focus]])</f>
        <v>Local: Multiple Related Topics</v>
      </c>
      <c r="G85" s="54" t="str">
        <f>_xlfn.CONCAT(Table13[[#This Row],[Geographic Scope]],": ",Table13[[#This Row],[Sub-Type/Focus]],": ",Table13[[#This Row],[Content Type]])</f>
        <v>Local: Multiple Related Topics: Investigative</v>
      </c>
      <c r="H85" s="54" t="str">
        <f>_xlfn.CONCAT(Table13[[#This Row],[Geographic Scope]],": ",Table13[[#This Row],[Content Type]])</f>
        <v>Local: Investigative</v>
      </c>
      <c r="I85" s="55">
        <f>Table13[[#This Row],[Total Contributed Income]]+Table13[[#This Row],[Total Earned Income]]</f>
        <v>420485</v>
      </c>
      <c r="J85" s="55">
        <f>Table13[[#This Row],[Cont. Income - Foundation]]+Table13[[#This Row],[Cont. Income - Membership]]+Table13[[#This Row],[Cont. Income - Small Donors]]+Table13[[#This Row],[Cont. Income - Med. Donors]]+Table13[[#This Row],[Cont. Income - Major Donors]]+Table13[[#This Row],[Cont. Income - Other]]</f>
        <v>375485</v>
      </c>
      <c r="K85" s="55">
        <f>Table13[[#This Row],[Earned Income - Advertising]]+Table13[[#This Row],[Earned Income - Sponsorships/Underwriting]]+Table13[[#This Row],[Earned Income - Events]]+Table13[[#This Row],[Earned Income - Subscriptions]]+Table13[[#This Row],[Earned Income - Syndication]]+Table13[[#This Row],[Earned Income - Other]]</f>
        <v>45000</v>
      </c>
      <c r="L85" s="56">
        <v>166000</v>
      </c>
      <c r="M85" s="56">
        <v>0</v>
      </c>
      <c r="N85" s="71">
        <f>SUM(Table13[[#This Row],[Cont. Income - Small Donors]:[Cont. Income - Major Donors]])</f>
        <v>169485</v>
      </c>
      <c r="O85" s="56">
        <v>30457</v>
      </c>
      <c r="P85" s="56">
        <v>69028</v>
      </c>
      <c r="Q85" s="56">
        <v>70000</v>
      </c>
      <c r="R85" s="56">
        <v>40000</v>
      </c>
      <c r="S85" s="55" t="s">
        <v>438</v>
      </c>
      <c r="T85" s="56">
        <v>0</v>
      </c>
      <c r="U85" s="56">
        <v>0</v>
      </c>
      <c r="V85" s="56">
        <v>0</v>
      </c>
      <c r="W85" s="56">
        <v>0</v>
      </c>
      <c r="X85" s="56">
        <v>45000</v>
      </c>
      <c r="Y85" s="56">
        <v>0</v>
      </c>
      <c r="AA85" s="55">
        <f>Table13[[#This Row],[Expenses - Editorial]]+Table13[[#This Row],[Expenses - Revenue Generation]]+Table13[[#This Row],[Expenses - Tech]]+Table13[[#This Row],[Expenses - Admin]]</f>
        <v>421000</v>
      </c>
      <c r="AB85" s="56">
        <v>250000</v>
      </c>
      <c r="AC85" s="71">
        <f>SUM(Table13[[#This Row],[Expenses - Revenue Generation]:[Expenses - Admin]])</f>
        <v>171000</v>
      </c>
      <c r="AD85" s="56">
        <v>46000</v>
      </c>
      <c r="AE85" s="56">
        <v>7000</v>
      </c>
      <c r="AF85" s="56">
        <v>118000</v>
      </c>
      <c r="AG85" s="59">
        <f>Table13[[#This Row],[Total FTE - Editorial]]+Table13[[#This Row],[Total FTE - Non-Editorial]]</f>
        <v>4.75</v>
      </c>
      <c r="AH85" s="59">
        <f>Table13[[#This Row],[FTE Salaried - Editorial]]+Table13[[#This Row],[FTE Contractors - Editorial]]</f>
        <v>3.5</v>
      </c>
      <c r="AI85" s="57">
        <v>2</v>
      </c>
      <c r="AJ85" s="57">
        <v>1.5</v>
      </c>
      <c r="AK85" s="60">
        <f>Table13[[#This Row],[FTE Salaried - Non-Editorial]]+Table13[[#This Row],[FTE Contractors - Non-Editorial]]</f>
        <v>1.25</v>
      </c>
      <c r="AL85" s="57">
        <v>1</v>
      </c>
      <c r="AM85" s="57">
        <v>0.25</v>
      </c>
      <c r="AN85" s="54" t="s">
        <v>352</v>
      </c>
      <c r="AO85" s="54" t="s">
        <v>439</v>
      </c>
      <c r="AQ85" s="57">
        <v>6223</v>
      </c>
      <c r="AR85" s="57">
        <v>365</v>
      </c>
      <c r="AS85" s="57">
        <v>0</v>
      </c>
      <c r="AT85" s="57">
        <v>0</v>
      </c>
      <c r="AU85" s="57">
        <v>0</v>
      </c>
      <c r="AV85" s="57">
        <v>0</v>
      </c>
      <c r="AW85" s="57">
        <v>0</v>
      </c>
      <c r="AX85" s="57"/>
      <c r="AY85" s="57">
        <v>0</v>
      </c>
    </row>
    <row r="86" spans="1:51" x14ac:dyDescent="0.2">
      <c r="A86" s="54">
        <v>387</v>
      </c>
      <c r="B86" s="54">
        <v>2015</v>
      </c>
      <c r="C86" s="91" t="s">
        <v>81</v>
      </c>
      <c r="D86" s="54" t="s">
        <v>7</v>
      </c>
      <c r="E86" s="54" t="s">
        <v>78</v>
      </c>
      <c r="F86" s="54" t="str">
        <f>_xlfn.CONCAT(Table13[[#This Row],[Geographic Scope]],": ",Table13[[#This Row],[Sub-Type/Focus]])</f>
        <v>Local: Multiple Related Topics</v>
      </c>
      <c r="G86" s="54" t="str">
        <f>_xlfn.CONCAT(Table13[[#This Row],[Geographic Scope]],": ",Table13[[#This Row],[Sub-Type/Focus]],": ",Table13[[#This Row],[Content Type]])</f>
        <v>Local: Multiple Related Topics: Investigative</v>
      </c>
      <c r="H86" s="54" t="str">
        <f>_xlfn.CONCAT(Table13[[#This Row],[Geographic Scope]],": ",Table13[[#This Row],[Content Type]])</f>
        <v>Local: Investigative</v>
      </c>
      <c r="I86" s="55">
        <f>Table13[[#This Row],[Total Contributed Income]]+Table13[[#This Row],[Total Earned Income]]</f>
        <v>839934</v>
      </c>
      <c r="J86" s="55">
        <f>Table13[[#This Row],[Cont. Income - Foundation]]+Table13[[#This Row],[Cont. Income - Membership]]+Table13[[#This Row],[Cont. Income - Small Donors]]+Table13[[#This Row],[Cont. Income - Med. Donors]]+Table13[[#This Row],[Cont. Income - Major Donors]]+Table13[[#This Row],[Cont. Income - Other]]</f>
        <v>827934</v>
      </c>
      <c r="K86" s="55">
        <f>Table13[[#This Row],[Earned Income - Advertising]]+Table13[[#This Row],[Earned Income - Sponsorships/Underwriting]]+Table13[[#This Row],[Earned Income - Events]]+Table13[[#This Row],[Earned Income - Subscriptions]]+Table13[[#This Row],[Earned Income - Syndication]]+Table13[[#This Row],[Earned Income - Other]]</f>
        <v>12000</v>
      </c>
      <c r="L86" s="56">
        <v>362500</v>
      </c>
      <c r="M86" s="56">
        <v>0</v>
      </c>
      <c r="N86" s="71">
        <f>SUM(Table13[[#This Row],[Cont. Income - Small Donors]:[Cont. Income - Major Donors]])</f>
        <v>465434</v>
      </c>
      <c r="O86" s="56">
        <v>61834</v>
      </c>
      <c r="P86" s="56">
        <v>51500</v>
      </c>
      <c r="Q86" s="56">
        <v>352100</v>
      </c>
      <c r="R86" s="56">
        <v>0</v>
      </c>
      <c r="T86" s="56">
        <v>0</v>
      </c>
      <c r="U86" s="56">
        <v>3500</v>
      </c>
      <c r="V86" s="56">
        <v>0</v>
      </c>
      <c r="W86" s="56">
        <v>0</v>
      </c>
      <c r="X86" s="56">
        <v>0</v>
      </c>
      <c r="Y86" s="56">
        <v>8500</v>
      </c>
      <c r="Z86" s="54" t="s">
        <v>440</v>
      </c>
      <c r="AA86" s="55">
        <f>Table13[[#This Row],[Expenses - Editorial]]+Table13[[#This Row],[Expenses - Revenue Generation]]+Table13[[#This Row],[Expenses - Tech]]+Table13[[#This Row],[Expenses - Admin]]</f>
        <v>0</v>
      </c>
      <c r="AB86" s="56">
        <v>0</v>
      </c>
      <c r="AC86" s="71">
        <f>SUM(Table13[[#This Row],[Expenses - Revenue Generation]:[Expenses - Admin]])</f>
        <v>0</v>
      </c>
      <c r="AD86" s="56">
        <v>0</v>
      </c>
      <c r="AE86" s="56">
        <v>0</v>
      </c>
      <c r="AF86" s="56">
        <v>0</v>
      </c>
      <c r="AG86" s="59">
        <f>Table13[[#This Row],[Total FTE - Editorial]]+Table13[[#This Row],[Total FTE - Non-Editorial]]</f>
        <v>9.5</v>
      </c>
      <c r="AH86" s="59">
        <f>Table13[[#This Row],[FTE Salaried - Editorial]]+Table13[[#This Row],[FTE Contractors - Editorial]]</f>
        <v>7.5</v>
      </c>
      <c r="AI86" s="57">
        <v>7</v>
      </c>
      <c r="AJ86" s="57">
        <v>0.5</v>
      </c>
      <c r="AK86" s="60">
        <f>Table13[[#This Row],[FTE Salaried - Non-Editorial]]+Table13[[#This Row],[FTE Contractors - Non-Editorial]]</f>
        <v>2</v>
      </c>
      <c r="AL86" s="57">
        <v>2</v>
      </c>
      <c r="AM86" s="57">
        <v>0</v>
      </c>
      <c r="AN86" s="54" t="s">
        <v>351</v>
      </c>
      <c r="AQ86" s="57">
        <v>80000</v>
      </c>
      <c r="AR86" s="57">
        <v>8000</v>
      </c>
      <c r="AS86" s="57">
        <v>22000</v>
      </c>
      <c r="AT86" s="57">
        <v>2</v>
      </c>
      <c r="AU86" s="57">
        <v>0</v>
      </c>
      <c r="AV86" s="57">
        <v>0</v>
      </c>
      <c r="AW86" s="57">
        <v>0</v>
      </c>
      <c r="AX86" s="57"/>
      <c r="AY86" s="57">
        <v>0</v>
      </c>
    </row>
    <row r="87" spans="1:51" x14ac:dyDescent="0.2">
      <c r="A87" s="54">
        <v>393</v>
      </c>
      <c r="B87" s="54">
        <v>2012</v>
      </c>
      <c r="C87" s="91" t="s">
        <v>81</v>
      </c>
      <c r="D87" s="54" t="s">
        <v>7</v>
      </c>
      <c r="E87" s="54" t="s">
        <v>78</v>
      </c>
      <c r="F87" s="54" t="str">
        <f>_xlfn.CONCAT(Table13[[#This Row],[Geographic Scope]],": ",Table13[[#This Row],[Sub-Type/Focus]])</f>
        <v>Local: Multiple Related Topics</v>
      </c>
      <c r="G87" s="54" t="str">
        <f>_xlfn.CONCAT(Table13[[#This Row],[Geographic Scope]],": ",Table13[[#This Row],[Sub-Type/Focus]],": ",Table13[[#This Row],[Content Type]])</f>
        <v>Local: Multiple Related Topics: Investigative</v>
      </c>
      <c r="H87" s="54" t="str">
        <f>_xlfn.CONCAT(Table13[[#This Row],[Geographic Scope]],": ",Table13[[#This Row],[Content Type]])</f>
        <v>Local: Investigative</v>
      </c>
      <c r="I87" s="55">
        <f>Table13[[#This Row],[Total Contributed Income]]+Table13[[#This Row],[Total Earned Income]]</f>
        <v>451917</v>
      </c>
      <c r="J87" s="55">
        <f>Table13[[#This Row],[Cont. Income - Foundation]]+Table13[[#This Row],[Cont. Income - Membership]]+Table13[[#This Row],[Cont. Income - Small Donors]]+Table13[[#This Row],[Cont. Income - Med. Donors]]+Table13[[#This Row],[Cont. Income - Major Donors]]+Table13[[#This Row],[Cont. Income - Other]]</f>
        <v>364562</v>
      </c>
      <c r="K87" s="55">
        <f>Table13[[#This Row],[Earned Income - Advertising]]+Table13[[#This Row],[Earned Income - Sponsorships/Underwriting]]+Table13[[#This Row],[Earned Income - Events]]+Table13[[#This Row],[Earned Income - Subscriptions]]+Table13[[#This Row],[Earned Income - Syndication]]+Table13[[#This Row],[Earned Income - Other]]</f>
        <v>87355</v>
      </c>
      <c r="L87" s="56">
        <v>230500</v>
      </c>
      <c r="M87" s="56">
        <v>0</v>
      </c>
      <c r="N87" s="71">
        <f>SUM(Table13[[#This Row],[Cont. Income - Small Donors]:[Cont. Income - Major Donors]])</f>
        <v>134062</v>
      </c>
      <c r="O87" s="56">
        <v>52062</v>
      </c>
      <c r="P87" s="56">
        <v>14500</v>
      </c>
      <c r="Q87" s="56">
        <v>67500</v>
      </c>
      <c r="R87" s="56">
        <v>0</v>
      </c>
      <c r="T87" s="56">
        <v>0</v>
      </c>
      <c r="U87" s="56">
        <v>0</v>
      </c>
      <c r="V87" s="56">
        <v>0</v>
      </c>
      <c r="W87" s="56">
        <v>0</v>
      </c>
      <c r="X87" s="56">
        <v>87355</v>
      </c>
      <c r="Y87" s="56">
        <v>0</v>
      </c>
      <c r="AA87" s="55">
        <f>Table13[[#This Row],[Expenses - Editorial]]+Table13[[#This Row],[Expenses - Revenue Generation]]+Table13[[#This Row],[Expenses - Tech]]+Table13[[#This Row],[Expenses - Admin]]</f>
        <v>349926</v>
      </c>
      <c r="AB87" s="56">
        <v>248031</v>
      </c>
      <c r="AC87" s="71">
        <f>SUM(Table13[[#This Row],[Expenses - Revenue Generation]:[Expenses - Admin]])</f>
        <v>101895</v>
      </c>
      <c r="AD87" s="56">
        <v>40000</v>
      </c>
      <c r="AE87" s="56">
        <v>10569</v>
      </c>
      <c r="AF87" s="56">
        <v>51326</v>
      </c>
      <c r="AG87" s="59">
        <f>Table13[[#This Row],[Total FTE - Editorial]]+Table13[[#This Row],[Total FTE - Non-Editorial]]</f>
        <v>4.5</v>
      </c>
      <c r="AH87" s="59">
        <f>Table13[[#This Row],[FTE Salaried - Editorial]]+Table13[[#This Row],[FTE Contractors - Editorial]]</f>
        <v>4</v>
      </c>
      <c r="AI87" s="57">
        <v>4</v>
      </c>
      <c r="AJ87" s="57">
        <v>0</v>
      </c>
      <c r="AK87" s="60">
        <f>Table13[[#This Row],[FTE Salaried - Non-Editorial]]+Table13[[#This Row],[FTE Contractors - Non-Editorial]]</f>
        <v>0.5</v>
      </c>
      <c r="AL87" s="57">
        <v>0.5</v>
      </c>
      <c r="AM87" s="57">
        <v>0</v>
      </c>
      <c r="AN87" s="54" t="s">
        <v>352</v>
      </c>
      <c r="AO87" s="54" t="s">
        <v>441</v>
      </c>
      <c r="AQ87" s="57">
        <v>61259</v>
      </c>
      <c r="AR87" s="57">
        <v>3090</v>
      </c>
      <c r="AS87" s="57">
        <v>0</v>
      </c>
      <c r="AT87" s="57">
        <v>0</v>
      </c>
      <c r="AU87" s="57">
        <v>725000</v>
      </c>
      <c r="AV87" s="57" t="s">
        <v>442</v>
      </c>
      <c r="AW87" s="57">
        <v>3240000</v>
      </c>
      <c r="AX87" s="57" t="s">
        <v>442</v>
      </c>
      <c r="AY87" s="57">
        <v>0</v>
      </c>
    </row>
    <row r="88" spans="1:51" x14ac:dyDescent="0.2">
      <c r="A88" s="54">
        <v>409</v>
      </c>
      <c r="B88" s="54">
        <v>2010</v>
      </c>
      <c r="C88" s="91" t="s">
        <v>81</v>
      </c>
      <c r="D88" s="54" t="s">
        <v>7</v>
      </c>
      <c r="E88" s="54" t="s">
        <v>78</v>
      </c>
      <c r="F88" s="54" t="str">
        <f>_xlfn.CONCAT(Table13[[#This Row],[Geographic Scope]],": ",Table13[[#This Row],[Sub-Type/Focus]])</f>
        <v>Local: Multiple Related Topics</v>
      </c>
      <c r="G88" s="54" t="str">
        <f>_xlfn.CONCAT(Table13[[#This Row],[Geographic Scope]],": ",Table13[[#This Row],[Sub-Type/Focus]],": ",Table13[[#This Row],[Content Type]])</f>
        <v>Local: Multiple Related Topics: Investigative</v>
      </c>
      <c r="H88" s="54" t="str">
        <f>_xlfn.CONCAT(Table13[[#This Row],[Geographic Scope]],": ",Table13[[#This Row],[Content Type]])</f>
        <v>Local: Investigative</v>
      </c>
      <c r="I88" s="55">
        <f>Table13[[#This Row],[Total Contributed Income]]+Table13[[#This Row],[Total Earned Income]]</f>
        <v>163135</v>
      </c>
      <c r="J88" s="55">
        <f>Table13[[#This Row],[Cont. Income - Foundation]]+Table13[[#This Row],[Cont. Income - Membership]]+Table13[[#This Row],[Cont. Income - Small Donors]]+Table13[[#This Row],[Cont. Income - Med. Donors]]+Table13[[#This Row],[Cont. Income - Major Donors]]+Table13[[#This Row],[Cont. Income - Other]]</f>
        <v>162000</v>
      </c>
      <c r="K88" s="55">
        <f>Table13[[#This Row],[Earned Income - Advertising]]+Table13[[#This Row],[Earned Income - Sponsorships/Underwriting]]+Table13[[#This Row],[Earned Income - Events]]+Table13[[#This Row],[Earned Income - Subscriptions]]+Table13[[#This Row],[Earned Income - Syndication]]+Table13[[#This Row],[Earned Income - Other]]</f>
        <v>1135</v>
      </c>
      <c r="L88" s="56">
        <v>120000</v>
      </c>
      <c r="M88" s="56">
        <v>0</v>
      </c>
      <c r="N88" s="71">
        <f>SUM(Table13[[#This Row],[Cont. Income - Small Donors]:[Cont. Income - Major Donors]])</f>
        <v>42000</v>
      </c>
      <c r="O88" s="56">
        <v>40000</v>
      </c>
      <c r="P88" s="56">
        <v>2000</v>
      </c>
      <c r="Q88" s="56">
        <v>0</v>
      </c>
      <c r="R88" s="56">
        <v>0</v>
      </c>
      <c r="T88" s="56">
        <v>1135</v>
      </c>
      <c r="U88" s="56">
        <v>0</v>
      </c>
      <c r="V88" s="56">
        <v>0</v>
      </c>
      <c r="W88" s="56">
        <v>0</v>
      </c>
      <c r="X88" s="56">
        <v>0</v>
      </c>
      <c r="Y88" s="56">
        <v>0</v>
      </c>
      <c r="AA88" s="55">
        <f>Table13[[#This Row],[Expenses - Editorial]]+Table13[[#This Row],[Expenses - Revenue Generation]]+Table13[[#This Row],[Expenses - Tech]]+Table13[[#This Row],[Expenses - Admin]]</f>
        <v>0</v>
      </c>
      <c r="AB88" s="56"/>
      <c r="AC88" s="71">
        <f>SUM(Table13[[#This Row],[Expenses - Revenue Generation]:[Expenses - Admin]])</f>
        <v>0</v>
      </c>
      <c r="AD88" s="56"/>
      <c r="AE88" s="56"/>
      <c r="AF88" s="56"/>
      <c r="AG88" s="59">
        <f>Table13[[#This Row],[Total FTE - Editorial]]+Table13[[#This Row],[Total FTE - Non-Editorial]]</f>
        <v>5</v>
      </c>
      <c r="AH88" s="59">
        <f>Table13[[#This Row],[FTE Salaried - Editorial]]+Table13[[#This Row],[FTE Contractors - Editorial]]</f>
        <v>5</v>
      </c>
      <c r="AI88" s="57">
        <v>3</v>
      </c>
      <c r="AJ88" s="57">
        <v>2</v>
      </c>
      <c r="AK88" s="60">
        <f>Table13[[#This Row],[FTE Salaried - Non-Editorial]]+Table13[[#This Row],[FTE Contractors - Non-Editorial]]</f>
        <v>0</v>
      </c>
      <c r="AL88" s="57">
        <v>0</v>
      </c>
      <c r="AM88" s="57">
        <v>0</v>
      </c>
      <c r="AN88" s="54" t="s">
        <v>351</v>
      </c>
      <c r="AQ88" s="57">
        <v>56000</v>
      </c>
      <c r="AR88" s="57">
        <v>5124</v>
      </c>
      <c r="AS88" s="57">
        <v>0</v>
      </c>
      <c r="AT88" s="57">
        <v>0</v>
      </c>
      <c r="AU88" s="57">
        <v>0</v>
      </c>
      <c r="AV88" s="57">
        <v>0</v>
      </c>
      <c r="AW88" s="57">
        <v>0</v>
      </c>
      <c r="AX88" s="57"/>
      <c r="AY88" s="57">
        <v>0</v>
      </c>
    </row>
    <row r="89" spans="1:51" x14ac:dyDescent="0.2">
      <c r="A89" s="54">
        <v>453</v>
      </c>
      <c r="B89" s="54">
        <v>2019</v>
      </c>
      <c r="C89" s="91" t="s">
        <v>81</v>
      </c>
      <c r="D89" s="54" t="s">
        <v>7</v>
      </c>
      <c r="E89" s="54" t="s">
        <v>78</v>
      </c>
      <c r="F89" s="54" t="str">
        <f>_xlfn.CONCAT(Table13[[#This Row],[Geographic Scope]],": ",Table13[[#This Row],[Sub-Type/Focus]])</f>
        <v>Local: Multiple Related Topics</v>
      </c>
      <c r="G89" s="54" t="str">
        <f>_xlfn.CONCAT(Table13[[#This Row],[Geographic Scope]],": ",Table13[[#This Row],[Sub-Type/Focus]],": ",Table13[[#This Row],[Content Type]])</f>
        <v>Local: Multiple Related Topics: Investigative</v>
      </c>
      <c r="H89" s="54" t="str">
        <f>_xlfn.CONCAT(Table13[[#This Row],[Geographic Scope]],": ",Table13[[#This Row],[Content Type]])</f>
        <v>Local: Investigative</v>
      </c>
      <c r="I89" s="55">
        <f>Table13[[#This Row],[Total Contributed Income]]+Table13[[#This Row],[Total Earned Income]]</f>
        <v>739653</v>
      </c>
      <c r="J89" s="55">
        <f>Table13[[#This Row],[Cont. Income - Foundation]]+Table13[[#This Row],[Cont. Income - Membership]]+Table13[[#This Row],[Cont. Income - Small Donors]]+Table13[[#This Row],[Cont. Income - Med. Donors]]+Table13[[#This Row],[Cont. Income - Major Donors]]+Table13[[#This Row],[Cont. Income - Other]]</f>
        <v>658477</v>
      </c>
      <c r="K89" s="55">
        <f>Table13[[#This Row],[Earned Income - Advertising]]+Table13[[#This Row],[Earned Income - Sponsorships/Underwriting]]+Table13[[#This Row],[Earned Income - Events]]+Table13[[#This Row],[Earned Income - Subscriptions]]+Table13[[#This Row],[Earned Income - Syndication]]+Table13[[#This Row],[Earned Income - Other]]</f>
        <v>81176</v>
      </c>
      <c r="L89" s="56">
        <v>160000</v>
      </c>
      <c r="M89" s="56">
        <v>75929</v>
      </c>
      <c r="N89" s="71">
        <f>SUM(Table13[[#This Row],[Cont. Income - Small Donors]:[Cont. Income - Major Donors]])</f>
        <v>422548</v>
      </c>
      <c r="O89" s="56">
        <v>90908</v>
      </c>
      <c r="P89" s="56">
        <v>57140</v>
      </c>
      <c r="Q89" s="56">
        <v>274500</v>
      </c>
      <c r="R89" s="56">
        <v>0</v>
      </c>
      <c r="T89" s="56">
        <v>39495</v>
      </c>
      <c r="U89" s="56">
        <v>0</v>
      </c>
      <c r="V89" s="56">
        <v>41681</v>
      </c>
      <c r="W89" s="56">
        <v>0</v>
      </c>
      <c r="X89" s="56">
        <v>0</v>
      </c>
      <c r="Y89" s="56">
        <v>0</v>
      </c>
      <c r="AA89" s="55">
        <f>Table13[[#This Row],[Expenses - Editorial]]+Table13[[#This Row],[Expenses - Revenue Generation]]+Table13[[#This Row],[Expenses - Tech]]+Table13[[#This Row],[Expenses - Admin]]</f>
        <v>419466</v>
      </c>
      <c r="AB89" s="56">
        <v>337419</v>
      </c>
      <c r="AC89" s="71">
        <f>SUM(Table13[[#This Row],[Expenses - Revenue Generation]:[Expenses - Admin]])</f>
        <v>82047</v>
      </c>
      <c r="AD89" s="56">
        <v>3240</v>
      </c>
      <c r="AE89" s="56">
        <v>21832</v>
      </c>
      <c r="AF89" s="56">
        <v>56975</v>
      </c>
      <c r="AG89" s="59">
        <f>Table13[[#This Row],[Total FTE - Editorial]]+Table13[[#This Row],[Total FTE - Non-Editorial]]</f>
        <v>4</v>
      </c>
      <c r="AH89" s="59">
        <f>Table13[[#This Row],[FTE Salaried - Editorial]]+Table13[[#This Row],[FTE Contractors - Editorial]]</f>
        <v>3</v>
      </c>
      <c r="AI89" s="57">
        <v>3</v>
      </c>
      <c r="AJ89" s="57">
        <v>0</v>
      </c>
      <c r="AK89" s="60">
        <f>Table13[[#This Row],[FTE Salaried - Non-Editorial]]+Table13[[#This Row],[FTE Contractors - Non-Editorial]]</f>
        <v>1</v>
      </c>
      <c r="AL89" s="57">
        <v>1</v>
      </c>
      <c r="AM89" s="57">
        <v>0</v>
      </c>
      <c r="AN89" s="54" t="s">
        <v>351</v>
      </c>
      <c r="AQ89" s="57">
        <v>400000</v>
      </c>
      <c r="AR89" s="57">
        <v>10500</v>
      </c>
      <c r="AS89" s="57">
        <v>0</v>
      </c>
      <c r="AT89" s="57">
        <v>0</v>
      </c>
      <c r="AU89" s="57">
        <v>0</v>
      </c>
      <c r="AV89" s="57">
        <v>0</v>
      </c>
      <c r="AW89" s="57">
        <v>0</v>
      </c>
      <c r="AX89" s="57"/>
      <c r="AY89" s="57">
        <v>0</v>
      </c>
    </row>
    <row r="90" spans="1:51" x14ac:dyDescent="0.2">
      <c r="A90" s="54">
        <v>504</v>
      </c>
      <c r="B90" s="54">
        <v>2017</v>
      </c>
      <c r="C90" s="91" t="s">
        <v>81</v>
      </c>
      <c r="D90" s="54" t="s">
        <v>7</v>
      </c>
      <c r="E90" s="54" t="s">
        <v>78</v>
      </c>
      <c r="F90" s="54" t="str">
        <f>_xlfn.CONCAT(Table13[[#This Row],[Geographic Scope]],": ",Table13[[#This Row],[Sub-Type/Focus]])</f>
        <v>Local: Multiple Related Topics</v>
      </c>
      <c r="G90" s="54" t="str">
        <f>_xlfn.CONCAT(Table13[[#This Row],[Geographic Scope]],": ",Table13[[#This Row],[Sub-Type/Focus]],": ",Table13[[#This Row],[Content Type]])</f>
        <v>Local: Multiple Related Topics: Investigative</v>
      </c>
      <c r="H90" s="54" t="str">
        <f>_xlfn.CONCAT(Table13[[#This Row],[Geographic Scope]],": ",Table13[[#This Row],[Content Type]])</f>
        <v>Local: Investigative</v>
      </c>
      <c r="I90" s="55">
        <f>Table13[[#This Row],[Total Contributed Income]]+Table13[[#This Row],[Total Earned Income]]</f>
        <v>58000</v>
      </c>
      <c r="J90" s="55">
        <f>Table13[[#This Row],[Cont. Income - Foundation]]+Table13[[#This Row],[Cont. Income - Membership]]+Table13[[#This Row],[Cont. Income - Small Donors]]+Table13[[#This Row],[Cont. Income - Med. Donors]]+Table13[[#This Row],[Cont. Income - Major Donors]]+Table13[[#This Row],[Cont. Income - Other]]</f>
        <v>58000</v>
      </c>
      <c r="K90" s="55">
        <f>Table13[[#This Row],[Earned Income - Advertising]]+Table13[[#This Row],[Earned Income - Sponsorships/Underwriting]]+Table13[[#This Row],[Earned Income - Events]]+Table13[[#This Row],[Earned Income - Subscriptions]]+Table13[[#This Row],[Earned Income - Syndication]]+Table13[[#This Row],[Earned Income - Other]]</f>
        <v>0</v>
      </c>
      <c r="L90" s="56">
        <v>35000</v>
      </c>
      <c r="M90" s="56">
        <v>3000</v>
      </c>
      <c r="N90" s="71">
        <f>SUM(Table13[[#This Row],[Cont. Income - Small Donors]:[Cont. Income - Major Donors]])</f>
        <v>20000</v>
      </c>
      <c r="O90" s="56">
        <v>16000</v>
      </c>
      <c r="P90" s="56">
        <v>4000</v>
      </c>
      <c r="Q90" s="56">
        <v>0</v>
      </c>
      <c r="R90" s="56">
        <v>0</v>
      </c>
      <c r="T90" s="56">
        <v>0</v>
      </c>
      <c r="U90" s="56">
        <v>0</v>
      </c>
      <c r="V90" s="56">
        <v>0</v>
      </c>
      <c r="W90" s="56">
        <v>0</v>
      </c>
      <c r="X90" s="56">
        <v>0</v>
      </c>
      <c r="Y90" s="56">
        <v>0</v>
      </c>
      <c r="AA90" s="55">
        <f>Table13[[#This Row],[Expenses - Editorial]]+Table13[[#This Row],[Expenses - Revenue Generation]]+Table13[[#This Row],[Expenses - Tech]]+Table13[[#This Row],[Expenses - Admin]]</f>
        <v>50500</v>
      </c>
      <c r="AB90" s="56">
        <v>39500</v>
      </c>
      <c r="AC90" s="71">
        <f>SUM(Table13[[#This Row],[Expenses - Revenue Generation]:[Expenses - Admin]])</f>
        <v>11000</v>
      </c>
      <c r="AD90" s="56">
        <v>0</v>
      </c>
      <c r="AE90" s="56">
        <v>1500</v>
      </c>
      <c r="AF90" s="56">
        <v>9500</v>
      </c>
      <c r="AG90" s="59">
        <f>Table13[[#This Row],[Total FTE - Editorial]]+Table13[[#This Row],[Total FTE - Non-Editorial]]</f>
        <v>0</v>
      </c>
      <c r="AH90" s="59">
        <f>Table13[[#This Row],[FTE Salaried - Editorial]]+Table13[[#This Row],[FTE Contractors - Editorial]]</f>
        <v>0</v>
      </c>
      <c r="AI90" s="57">
        <v>0</v>
      </c>
      <c r="AJ90" s="57">
        <v>0</v>
      </c>
      <c r="AK90" s="60">
        <f>Table13[[#This Row],[FTE Salaried - Non-Editorial]]+Table13[[#This Row],[FTE Contractors - Non-Editorial]]</f>
        <v>0</v>
      </c>
      <c r="AL90" s="57">
        <v>0</v>
      </c>
      <c r="AM90" s="57">
        <v>0</v>
      </c>
      <c r="AN90" s="54" t="s">
        <v>351</v>
      </c>
      <c r="AO90" s="54" t="s">
        <v>359</v>
      </c>
      <c r="AQ90" s="57">
        <v>20400</v>
      </c>
      <c r="AR90" s="57">
        <v>1520</v>
      </c>
      <c r="AS90" s="57">
        <v>0</v>
      </c>
      <c r="AT90" s="57">
        <v>0</v>
      </c>
      <c r="AU90" s="57">
        <v>0</v>
      </c>
      <c r="AV90" s="57">
        <v>0</v>
      </c>
      <c r="AW90" s="57">
        <v>0</v>
      </c>
      <c r="AX90" s="57"/>
      <c r="AY90" s="57">
        <v>100</v>
      </c>
    </row>
    <row r="91" spans="1:51" x14ac:dyDescent="0.2">
      <c r="A91" s="54">
        <v>512</v>
      </c>
      <c r="B91" s="54">
        <v>2007</v>
      </c>
      <c r="C91" s="91" t="s">
        <v>81</v>
      </c>
      <c r="D91" s="54" t="s">
        <v>7</v>
      </c>
      <c r="E91" s="54" t="s">
        <v>78</v>
      </c>
      <c r="F91" s="54" t="str">
        <f>_xlfn.CONCAT(Table13[[#This Row],[Geographic Scope]],": ",Table13[[#This Row],[Sub-Type/Focus]])</f>
        <v>Local: Multiple Related Topics</v>
      </c>
      <c r="G91" s="54" t="str">
        <f>_xlfn.CONCAT(Table13[[#This Row],[Geographic Scope]],": ",Table13[[#This Row],[Sub-Type/Focus]],": ",Table13[[#This Row],[Content Type]])</f>
        <v>Local: Multiple Related Topics: Investigative</v>
      </c>
      <c r="H91" s="54" t="str">
        <f>_xlfn.CONCAT(Table13[[#This Row],[Geographic Scope]],": ",Table13[[#This Row],[Content Type]])</f>
        <v>Local: Investigative</v>
      </c>
      <c r="I91" s="55">
        <f>Table13[[#This Row],[Total Contributed Income]]+Table13[[#This Row],[Total Earned Income]]</f>
        <v>57571.47</v>
      </c>
      <c r="J91" s="55">
        <f>Table13[[#This Row],[Cont. Income - Foundation]]+Table13[[#This Row],[Cont. Income - Membership]]+Table13[[#This Row],[Cont. Income - Small Donors]]+Table13[[#This Row],[Cont. Income - Med. Donors]]+Table13[[#This Row],[Cont. Income - Major Donors]]+Table13[[#This Row],[Cont. Income - Other]]</f>
        <v>57571.47</v>
      </c>
      <c r="K91" s="55">
        <f>Table13[[#This Row],[Earned Income - Advertising]]+Table13[[#This Row],[Earned Income - Sponsorships/Underwriting]]+Table13[[#This Row],[Earned Income - Events]]+Table13[[#This Row],[Earned Income - Subscriptions]]+Table13[[#This Row],[Earned Income - Syndication]]+Table13[[#This Row],[Earned Income - Other]]</f>
        <v>0</v>
      </c>
      <c r="L91" s="56">
        <v>55000</v>
      </c>
      <c r="M91" s="56">
        <v>0</v>
      </c>
      <c r="N91" s="71">
        <f>SUM(Table13[[#This Row],[Cont. Income - Small Donors]:[Cont. Income - Major Donors]])</f>
        <v>2571.4699999999998</v>
      </c>
      <c r="O91" s="56">
        <v>2571.4699999999998</v>
      </c>
      <c r="P91" s="56">
        <v>0</v>
      </c>
      <c r="Q91" s="56">
        <v>0</v>
      </c>
      <c r="R91" s="56">
        <v>0</v>
      </c>
      <c r="T91" s="56">
        <v>0</v>
      </c>
      <c r="U91" s="56">
        <v>0</v>
      </c>
      <c r="V91" s="56">
        <v>0</v>
      </c>
      <c r="W91" s="56">
        <v>0</v>
      </c>
      <c r="X91" s="56">
        <v>0</v>
      </c>
      <c r="Y91" s="56">
        <v>0</v>
      </c>
      <c r="AA91" s="55">
        <f>Table13[[#This Row],[Expenses - Editorial]]+Table13[[#This Row],[Expenses - Revenue Generation]]+Table13[[#This Row],[Expenses - Tech]]+Table13[[#This Row],[Expenses - Admin]]</f>
        <v>111825</v>
      </c>
      <c r="AB91" s="56">
        <v>88475</v>
      </c>
      <c r="AC91" s="71">
        <f>SUM(Table13[[#This Row],[Expenses - Revenue Generation]:[Expenses - Admin]])</f>
        <v>23350</v>
      </c>
      <c r="AD91" s="56">
        <v>0</v>
      </c>
      <c r="AE91" s="56">
        <v>8400</v>
      </c>
      <c r="AF91" s="56">
        <v>14950</v>
      </c>
      <c r="AG91" s="59">
        <f>Table13[[#This Row],[Total FTE - Editorial]]+Table13[[#This Row],[Total FTE - Non-Editorial]]</f>
        <v>2</v>
      </c>
      <c r="AH91" s="59">
        <f>Table13[[#This Row],[FTE Salaried - Editorial]]+Table13[[#This Row],[FTE Contractors - Editorial]]</f>
        <v>2</v>
      </c>
      <c r="AI91" s="57">
        <v>1</v>
      </c>
      <c r="AJ91" s="57">
        <v>1</v>
      </c>
      <c r="AK91" s="60">
        <f>Table13[[#This Row],[FTE Salaried - Non-Editorial]]+Table13[[#This Row],[FTE Contractors - Non-Editorial]]</f>
        <v>0</v>
      </c>
      <c r="AL91" s="57">
        <v>0</v>
      </c>
      <c r="AM91" s="57">
        <v>0</v>
      </c>
      <c r="AN91" s="54" t="s">
        <v>351</v>
      </c>
      <c r="AO91" s="54" t="s">
        <v>356</v>
      </c>
      <c r="AP91" s="54" t="s">
        <v>385</v>
      </c>
      <c r="AQ91" s="57">
        <v>92500</v>
      </c>
      <c r="AR91" s="57">
        <v>1823</v>
      </c>
      <c r="AS91" s="57">
        <v>0</v>
      </c>
      <c r="AT91" s="57">
        <v>0</v>
      </c>
      <c r="AU91" s="57">
        <v>0</v>
      </c>
      <c r="AV91" s="57">
        <v>0</v>
      </c>
      <c r="AW91" s="57">
        <v>0</v>
      </c>
      <c r="AX91" s="57"/>
      <c r="AY91" s="57">
        <v>0</v>
      </c>
    </row>
    <row r="92" spans="1:51" x14ac:dyDescent="0.2">
      <c r="A92" s="54">
        <v>6824</v>
      </c>
      <c r="B92" s="54">
        <v>2018</v>
      </c>
      <c r="C92" s="91" t="s">
        <v>81</v>
      </c>
      <c r="D92" s="54" t="s">
        <v>7</v>
      </c>
      <c r="E92" s="54" t="s">
        <v>78</v>
      </c>
      <c r="F92" s="54" t="str">
        <f>_xlfn.CONCAT(Table13[[#This Row],[Geographic Scope]],": ",Table13[[#This Row],[Sub-Type/Focus]])</f>
        <v>Local: Multiple Related Topics</v>
      </c>
      <c r="G92" s="54" t="str">
        <f>_xlfn.CONCAT(Table13[[#This Row],[Geographic Scope]],": ",Table13[[#This Row],[Sub-Type/Focus]],": ",Table13[[#This Row],[Content Type]])</f>
        <v>Local: Multiple Related Topics: Investigative</v>
      </c>
      <c r="H92" s="54" t="str">
        <f>_xlfn.CONCAT(Table13[[#This Row],[Geographic Scope]],": ",Table13[[#This Row],[Content Type]])</f>
        <v>Local: Investigative</v>
      </c>
      <c r="I92" s="55">
        <f>Table13[[#This Row],[Total Contributed Income]]+Table13[[#This Row],[Total Earned Income]]</f>
        <v>110289</v>
      </c>
      <c r="J92" s="55">
        <f>Table13[[#This Row],[Cont. Income - Foundation]]+Table13[[#This Row],[Cont. Income - Membership]]+Table13[[#This Row],[Cont. Income - Small Donors]]+Table13[[#This Row],[Cont. Income - Med. Donors]]+Table13[[#This Row],[Cont. Income - Major Donors]]+Table13[[#This Row],[Cont. Income - Other]]</f>
        <v>104289</v>
      </c>
      <c r="K92" s="55">
        <f>Table13[[#This Row],[Earned Income - Advertising]]+Table13[[#This Row],[Earned Income - Sponsorships/Underwriting]]+Table13[[#This Row],[Earned Income - Events]]+Table13[[#This Row],[Earned Income - Subscriptions]]+Table13[[#This Row],[Earned Income - Syndication]]+Table13[[#This Row],[Earned Income - Other]]</f>
        <v>6000</v>
      </c>
      <c r="L92" s="56">
        <v>101148</v>
      </c>
      <c r="M92" s="56">
        <v>0</v>
      </c>
      <c r="N92" s="71">
        <f>SUM(Table13[[#This Row],[Cont. Income - Small Donors]:[Cont. Income - Major Donors]])</f>
        <v>3141</v>
      </c>
      <c r="O92" s="56">
        <v>3141</v>
      </c>
      <c r="P92" s="56">
        <v>0</v>
      </c>
      <c r="Q92" s="56">
        <v>0</v>
      </c>
      <c r="R92" s="56">
        <v>0</v>
      </c>
      <c r="T92" s="56">
        <v>0</v>
      </c>
      <c r="U92" s="56">
        <v>0</v>
      </c>
      <c r="V92" s="56">
        <v>0</v>
      </c>
      <c r="W92" s="56">
        <v>0</v>
      </c>
      <c r="X92" s="56">
        <v>0</v>
      </c>
      <c r="Y92" s="56">
        <v>6000</v>
      </c>
      <c r="Z92" s="54" t="s">
        <v>384</v>
      </c>
      <c r="AA92" s="55">
        <f>Table13[[#This Row],[Expenses - Editorial]]+Table13[[#This Row],[Expenses - Revenue Generation]]+Table13[[#This Row],[Expenses - Tech]]+Table13[[#This Row],[Expenses - Admin]]</f>
        <v>62100</v>
      </c>
      <c r="AB92" s="56">
        <v>33000</v>
      </c>
      <c r="AC92" s="71">
        <f>SUM(Table13[[#This Row],[Expenses - Revenue Generation]:[Expenses - Admin]])</f>
        <v>29100</v>
      </c>
      <c r="AD92" s="56">
        <v>8000</v>
      </c>
      <c r="AE92" s="56">
        <v>2100</v>
      </c>
      <c r="AF92" s="56">
        <v>19000</v>
      </c>
      <c r="AG92" s="59">
        <f>Table13[[#This Row],[Total FTE - Editorial]]+Table13[[#This Row],[Total FTE - Non-Editorial]]</f>
        <v>1.55</v>
      </c>
      <c r="AH92" s="59">
        <f>Table13[[#This Row],[FTE Salaried - Editorial]]+Table13[[#This Row],[FTE Contractors - Editorial]]</f>
        <v>1.55</v>
      </c>
      <c r="AI92" s="57">
        <v>1.25</v>
      </c>
      <c r="AJ92" s="57">
        <v>0.3</v>
      </c>
      <c r="AK92" s="60">
        <f>Table13[[#This Row],[FTE Salaried - Non-Editorial]]+Table13[[#This Row],[FTE Contractors - Non-Editorial]]</f>
        <v>0</v>
      </c>
      <c r="AL92" s="57">
        <v>0</v>
      </c>
      <c r="AM92" s="57">
        <v>0</v>
      </c>
      <c r="AN92" s="54" t="s">
        <v>351</v>
      </c>
      <c r="AO92" s="54" t="s">
        <v>351</v>
      </c>
      <c r="AQ92" s="57">
        <v>0</v>
      </c>
      <c r="AR92" s="57">
        <v>1200</v>
      </c>
      <c r="AS92" s="57">
        <v>0</v>
      </c>
      <c r="AT92" s="57">
        <v>0</v>
      </c>
      <c r="AU92" s="57">
        <v>0</v>
      </c>
      <c r="AV92" s="57">
        <v>0</v>
      </c>
      <c r="AW92" s="57">
        <v>0</v>
      </c>
      <c r="AX92" s="57"/>
      <c r="AY92" s="57">
        <v>0</v>
      </c>
    </row>
    <row r="93" spans="1:51" x14ac:dyDescent="0.2">
      <c r="A93" s="54">
        <v>3040</v>
      </c>
      <c r="B93" s="54">
        <v>2020</v>
      </c>
      <c r="C93" s="91" t="s">
        <v>81</v>
      </c>
      <c r="D93" s="54" t="s">
        <v>7</v>
      </c>
      <c r="E93" s="54" t="s">
        <v>79</v>
      </c>
      <c r="F93" s="54" t="str">
        <f>_xlfn.CONCAT(Table13[[#This Row],[Geographic Scope]],": ",Table13[[#This Row],[Sub-Type/Focus]])</f>
        <v>Local: Single-Topic</v>
      </c>
      <c r="G93" s="54" t="str">
        <f>_xlfn.CONCAT(Table13[[#This Row],[Geographic Scope]],": ",Table13[[#This Row],[Sub-Type/Focus]],": ",Table13[[#This Row],[Content Type]])</f>
        <v>Local: Single-Topic: Investigative</v>
      </c>
      <c r="H93" s="54" t="str">
        <f>_xlfn.CONCAT(Table13[[#This Row],[Geographic Scope]],": ",Table13[[#This Row],[Content Type]])</f>
        <v>Local: Investigative</v>
      </c>
      <c r="I93" s="55">
        <f>Table13[[#This Row],[Total Contributed Income]]+Table13[[#This Row],[Total Earned Income]]</f>
        <v>0</v>
      </c>
      <c r="J93" s="55">
        <f>Table13[[#This Row],[Cont. Income - Foundation]]+Table13[[#This Row],[Cont. Income - Membership]]+Table13[[#This Row],[Cont. Income - Small Donors]]+Table13[[#This Row],[Cont. Income - Med. Donors]]+Table13[[#This Row],[Cont. Income - Major Donors]]+Table13[[#This Row],[Cont. Income - Other]]</f>
        <v>0</v>
      </c>
      <c r="K93" s="55">
        <f>Table13[[#This Row],[Earned Income - Advertising]]+Table13[[#This Row],[Earned Income - Sponsorships/Underwriting]]+Table13[[#This Row],[Earned Income - Events]]+Table13[[#This Row],[Earned Income - Subscriptions]]+Table13[[#This Row],[Earned Income - Syndication]]+Table13[[#This Row],[Earned Income - Other]]</f>
        <v>0</v>
      </c>
      <c r="L93" s="56"/>
      <c r="M93" s="56"/>
      <c r="N93" s="71">
        <f>SUM(Table13[[#This Row],[Cont. Income - Small Donors]:[Cont. Income - Major Donors]])</f>
        <v>0</v>
      </c>
      <c r="O93" s="56"/>
      <c r="P93" s="56"/>
      <c r="Q93" s="56"/>
      <c r="R93" s="56"/>
      <c r="T93" s="56"/>
      <c r="U93" s="56"/>
      <c r="V93" s="56"/>
      <c r="W93" s="56"/>
      <c r="X93" s="56"/>
      <c r="Y93" s="56"/>
      <c r="AA93" s="55">
        <f>Table13[[#This Row],[Expenses - Editorial]]+Table13[[#This Row],[Expenses - Revenue Generation]]+Table13[[#This Row],[Expenses - Tech]]+Table13[[#This Row],[Expenses - Admin]]</f>
        <v>0</v>
      </c>
      <c r="AB93" s="57"/>
      <c r="AC93" s="71">
        <f>SUM(Table13[[#This Row],[Expenses - Revenue Generation]:[Expenses - Admin]])</f>
        <v>0</v>
      </c>
      <c r="AD93" s="57"/>
      <c r="AE93" s="57"/>
      <c r="AF93" s="57"/>
      <c r="AG93" s="59">
        <f>Table13[[#This Row],[Total FTE - Editorial]]+Table13[[#This Row],[Total FTE - Non-Editorial]]</f>
        <v>0</v>
      </c>
      <c r="AH93" s="59">
        <f>Table13[[#This Row],[FTE Salaried - Editorial]]+Table13[[#This Row],[FTE Contractors - Editorial]]</f>
        <v>0</v>
      </c>
      <c r="AI93" s="57">
        <v>0</v>
      </c>
      <c r="AJ93" s="57">
        <v>0</v>
      </c>
      <c r="AK93" s="60">
        <f>Table13[[#This Row],[FTE Salaried - Non-Editorial]]+Table13[[#This Row],[FTE Contractors - Non-Editorial]]</f>
        <v>0</v>
      </c>
      <c r="AL93" s="57">
        <v>0</v>
      </c>
      <c r="AM93" s="57">
        <v>0</v>
      </c>
      <c r="AN93" s="54" t="s">
        <v>347</v>
      </c>
      <c r="AO93" s="54" t="s">
        <v>443</v>
      </c>
      <c r="AQ93" s="57">
        <v>0</v>
      </c>
      <c r="AR93" s="57">
        <v>0</v>
      </c>
      <c r="AS93" s="57">
        <v>0</v>
      </c>
      <c r="AT93" s="57">
        <v>0</v>
      </c>
      <c r="AU93" s="57">
        <v>0</v>
      </c>
      <c r="AV93" s="57">
        <v>0</v>
      </c>
      <c r="AW93" s="57">
        <v>0</v>
      </c>
      <c r="AX93" s="57"/>
      <c r="AY93" s="57">
        <v>0</v>
      </c>
    </row>
    <row r="94" spans="1:51" x14ac:dyDescent="0.2">
      <c r="A94" s="54">
        <v>443</v>
      </c>
      <c r="B94" s="54">
        <v>2008</v>
      </c>
      <c r="C94" s="91" t="s">
        <v>82</v>
      </c>
      <c r="D94" s="54" t="s">
        <v>6</v>
      </c>
      <c r="E94" s="54" t="s">
        <v>77</v>
      </c>
      <c r="F94" s="54" t="str">
        <f>_xlfn.CONCAT(Table13[[#This Row],[Geographic Scope]],": ",Table13[[#This Row],[Sub-Type/Focus]])</f>
        <v>National: General</v>
      </c>
      <c r="G94" s="54" t="str">
        <f>_xlfn.CONCAT(Table13[[#This Row],[Geographic Scope]],": ",Table13[[#This Row],[Sub-Type/Focus]],": ",Table13[[#This Row],[Content Type]])</f>
        <v>National: General: Current News &amp; Events</v>
      </c>
      <c r="H94" s="54" t="str">
        <f>_xlfn.CONCAT(Table13[[#This Row],[Geographic Scope]],": ",Table13[[#This Row],[Content Type]])</f>
        <v>National: Current News &amp; Events</v>
      </c>
      <c r="I94" s="55">
        <f>Table13[[#This Row],[Total Contributed Income]]+Table13[[#This Row],[Total Earned Income]]</f>
        <v>35603713</v>
      </c>
      <c r="J94" s="55">
        <f>Table13[[#This Row],[Cont. Income - Foundation]]+Table13[[#This Row],[Cont. Income - Membership]]+Table13[[#This Row],[Cont. Income - Small Donors]]+Table13[[#This Row],[Cont. Income - Med. Donors]]+Table13[[#This Row],[Cont. Income - Major Donors]]+Table13[[#This Row],[Cont. Income - Other]]</f>
        <v>35067713</v>
      </c>
      <c r="K94" s="55">
        <f>Table13[[#This Row],[Earned Income - Advertising]]+Table13[[#This Row],[Earned Income - Sponsorships/Underwriting]]+Table13[[#This Row],[Earned Income - Events]]+Table13[[#This Row],[Earned Income - Subscriptions]]+Table13[[#This Row],[Earned Income - Syndication]]+Table13[[#This Row],[Earned Income - Other]]</f>
        <v>536000</v>
      </c>
      <c r="L94" s="56">
        <v>12562535</v>
      </c>
      <c r="M94" s="56">
        <v>0</v>
      </c>
      <c r="N94" s="71">
        <f>SUM(Table13[[#This Row],[Cont. Income - Small Donors]:[Cont. Income - Major Donors]])</f>
        <v>22155229</v>
      </c>
      <c r="O94" s="56">
        <v>4058045</v>
      </c>
      <c r="P94" s="56">
        <v>1561277</v>
      </c>
      <c r="Q94" s="56">
        <v>16535907</v>
      </c>
      <c r="R94" s="56">
        <v>349949</v>
      </c>
      <c r="S94" s="55" t="s">
        <v>444</v>
      </c>
      <c r="T94" s="56">
        <v>174000</v>
      </c>
      <c r="U94" s="56">
        <v>0</v>
      </c>
      <c r="V94" s="56">
        <v>0</v>
      </c>
      <c r="W94" s="56">
        <v>0</v>
      </c>
      <c r="X94" s="56">
        <v>138000</v>
      </c>
      <c r="Y94" s="56">
        <v>224000</v>
      </c>
      <c r="Z94" s="54" t="s">
        <v>445</v>
      </c>
      <c r="AA94" s="55">
        <f>Table13[[#This Row],[Expenses - Editorial]]+Table13[[#This Row],[Expenses - Revenue Generation]]+Table13[[#This Row],[Expenses - Tech]]+Table13[[#This Row],[Expenses - Admin]]</f>
        <v>29960945</v>
      </c>
      <c r="AB94" s="56">
        <v>23652908</v>
      </c>
      <c r="AC94" s="71">
        <f>SUM(Table13[[#This Row],[Expenses - Revenue Generation]:[Expenses - Admin]])</f>
        <v>6308037</v>
      </c>
      <c r="AD94" s="56">
        <v>1089034</v>
      </c>
      <c r="AE94" s="56">
        <v>1213937</v>
      </c>
      <c r="AF94" s="56">
        <v>4005066</v>
      </c>
      <c r="AG94" s="59">
        <f>Table13[[#This Row],[Total FTE - Editorial]]+Table13[[#This Row],[Total FTE - Non-Editorial]]</f>
        <v>148</v>
      </c>
      <c r="AH94" s="59">
        <f>Table13[[#This Row],[FTE Salaried - Editorial]]+Table13[[#This Row],[FTE Contractors - Editorial]]</f>
        <v>127</v>
      </c>
      <c r="AI94" s="57">
        <v>127</v>
      </c>
      <c r="AJ94" s="57">
        <v>0</v>
      </c>
      <c r="AK94" s="60">
        <f>Table13[[#This Row],[FTE Salaried - Non-Editorial]]+Table13[[#This Row],[FTE Contractors - Non-Editorial]]</f>
        <v>21</v>
      </c>
      <c r="AL94" s="57">
        <v>21</v>
      </c>
      <c r="AM94" s="57">
        <v>0</v>
      </c>
      <c r="AN94" s="54" t="s">
        <v>352</v>
      </c>
      <c r="AO94" s="54" t="s">
        <v>446</v>
      </c>
      <c r="AQ94" s="57">
        <v>4900000</v>
      </c>
      <c r="AR94" s="57">
        <v>400000</v>
      </c>
      <c r="AS94" s="57">
        <v>0</v>
      </c>
      <c r="AT94" s="57">
        <v>0</v>
      </c>
      <c r="AU94" s="57">
        <v>0</v>
      </c>
      <c r="AV94" s="57">
        <v>0</v>
      </c>
      <c r="AW94" s="57">
        <v>0</v>
      </c>
      <c r="AX94" s="57"/>
      <c r="AY94" s="57">
        <v>0</v>
      </c>
    </row>
    <row r="95" spans="1:51" x14ac:dyDescent="0.2">
      <c r="A95" s="54">
        <v>6799</v>
      </c>
      <c r="B95" s="54">
        <v>2018</v>
      </c>
      <c r="C95" s="91" t="s">
        <v>82</v>
      </c>
      <c r="D95" s="54" t="s">
        <v>6</v>
      </c>
      <c r="E95" s="54" t="s">
        <v>77</v>
      </c>
      <c r="F95" s="54" t="str">
        <f>_xlfn.CONCAT(Table13[[#This Row],[Geographic Scope]],": ",Table13[[#This Row],[Sub-Type/Focus]])</f>
        <v>National: General</v>
      </c>
      <c r="G95" s="54" t="str">
        <f>_xlfn.CONCAT(Table13[[#This Row],[Geographic Scope]],": ",Table13[[#This Row],[Sub-Type/Focus]],": ",Table13[[#This Row],[Content Type]])</f>
        <v>National: General: Current News &amp; Events</v>
      </c>
      <c r="H95" s="54" t="str">
        <f>_xlfn.CONCAT(Table13[[#This Row],[Geographic Scope]],": ",Table13[[#This Row],[Content Type]])</f>
        <v>National: Current News &amp; Events</v>
      </c>
      <c r="I95" s="55">
        <f>Table13[[#This Row],[Total Contributed Income]]+Table13[[#This Row],[Total Earned Income]]</f>
        <v>1906250</v>
      </c>
      <c r="J95" s="55">
        <f>Table13[[#This Row],[Cont. Income - Foundation]]+Table13[[#This Row],[Cont. Income - Membership]]+Table13[[#This Row],[Cont. Income - Small Donors]]+Table13[[#This Row],[Cont. Income - Med. Donors]]+Table13[[#This Row],[Cont. Income - Major Donors]]+Table13[[#This Row],[Cont. Income - Other]]</f>
        <v>1362750</v>
      </c>
      <c r="K95" s="55">
        <f>Table13[[#This Row],[Earned Income - Advertising]]+Table13[[#This Row],[Earned Income - Sponsorships/Underwriting]]+Table13[[#This Row],[Earned Income - Events]]+Table13[[#This Row],[Earned Income - Subscriptions]]+Table13[[#This Row],[Earned Income - Syndication]]+Table13[[#This Row],[Earned Income - Other]]</f>
        <v>543500</v>
      </c>
      <c r="L95" s="56">
        <v>435000</v>
      </c>
      <c r="M95" s="56">
        <v>0</v>
      </c>
      <c r="N95" s="71">
        <f>SUM(Table13[[#This Row],[Cont. Income - Small Donors]:[Cont. Income - Major Donors]])</f>
        <v>102750</v>
      </c>
      <c r="O95" s="56">
        <v>78750</v>
      </c>
      <c r="P95" s="56">
        <v>9000</v>
      </c>
      <c r="Q95" s="56">
        <v>15000</v>
      </c>
      <c r="R95" s="56">
        <v>825000</v>
      </c>
      <c r="S95" s="55" t="s">
        <v>447</v>
      </c>
      <c r="T95" s="56">
        <v>443000</v>
      </c>
      <c r="U95" s="56">
        <v>100500</v>
      </c>
      <c r="V95" s="56">
        <v>0</v>
      </c>
      <c r="W95" s="56">
        <v>0</v>
      </c>
      <c r="X95" s="56">
        <v>0</v>
      </c>
      <c r="Y95" s="56">
        <v>0</v>
      </c>
      <c r="AA95" s="55">
        <f>Table13[[#This Row],[Expenses - Editorial]]+Table13[[#This Row],[Expenses - Revenue Generation]]+Table13[[#This Row],[Expenses - Tech]]+Table13[[#This Row],[Expenses - Admin]]</f>
        <v>2275078</v>
      </c>
      <c r="AB95" s="56">
        <v>1992151</v>
      </c>
      <c r="AC95" s="71">
        <f>SUM(Table13[[#This Row],[Expenses - Revenue Generation]:[Expenses - Admin]])</f>
        <v>282927</v>
      </c>
      <c r="AD95" s="56">
        <v>113709</v>
      </c>
      <c r="AE95" s="56">
        <v>0</v>
      </c>
      <c r="AF95" s="56">
        <v>169218</v>
      </c>
      <c r="AG95" s="59">
        <f>Table13[[#This Row],[Total FTE - Editorial]]+Table13[[#This Row],[Total FTE - Non-Editorial]]</f>
        <v>23</v>
      </c>
      <c r="AH95" s="59">
        <f>Table13[[#This Row],[FTE Salaried - Editorial]]+Table13[[#This Row],[FTE Contractors - Editorial]]</f>
        <v>17.5</v>
      </c>
      <c r="AI95" s="57">
        <v>13.5</v>
      </c>
      <c r="AJ95" s="57">
        <v>4</v>
      </c>
      <c r="AK95" s="60">
        <f>Table13[[#This Row],[FTE Salaried - Non-Editorial]]+Table13[[#This Row],[FTE Contractors - Non-Editorial]]</f>
        <v>5.5</v>
      </c>
      <c r="AL95" s="57">
        <v>3.5</v>
      </c>
      <c r="AM95" s="57">
        <v>2</v>
      </c>
      <c r="AN95" s="54" t="s">
        <v>352</v>
      </c>
      <c r="AO95" s="54" t="s">
        <v>448</v>
      </c>
      <c r="AP95" s="54" t="s">
        <v>449</v>
      </c>
      <c r="AQ95" s="57">
        <v>309000</v>
      </c>
      <c r="AR95" s="57">
        <v>63435</v>
      </c>
      <c r="AS95" s="57">
        <v>0</v>
      </c>
      <c r="AT95" s="57">
        <v>0</v>
      </c>
      <c r="AU95" s="57">
        <v>0</v>
      </c>
      <c r="AV95" s="57">
        <v>0</v>
      </c>
      <c r="AW95" s="57">
        <v>0</v>
      </c>
      <c r="AX95" s="57"/>
      <c r="AY95" s="57">
        <v>0</v>
      </c>
    </row>
    <row r="96" spans="1:51" x14ac:dyDescent="0.2">
      <c r="A96" s="54">
        <v>384</v>
      </c>
      <c r="B96" s="54">
        <v>1976</v>
      </c>
      <c r="C96" s="91" t="s">
        <v>82</v>
      </c>
      <c r="D96" s="54" t="s">
        <v>6</v>
      </c>
      <c r="E96" s="54" t="s">
        <v>78</v>
      </c>
      <c r="F96" s="54" t="str">
        <f>_xlfn.CONCAT(Table13[[#This Row],[Geographic Scope]],": ",Table13[[#This Row],[Sub-Type/Focus]])</f>
        <v>National: Multiple Related Topics</v>
      </c>
      <c r="G96" s="54" t="str">
        <f>_xlfn.CONCAT(Table13[[#This Row],[Geographic Scope]],": ",Table13[[#This Row],[Sub-Type/Focus]],": ",Table13[[#This Row],[Content Type]])</f>
        <v>National: Multiple Related Topics: Current News &amp; Events</v>
      </c>
      <c r="H96" s="54" t="str">
        <f>_xlfn.CONCAT(Table13[[#This Row],[Geographic Scope]],": ",Table13[[#This Row],[Content Type]])</f>
        <v>National: Current News &amp; Events</v>
      </c>
      <c r="I96" s="55">
        <f>Table13[[#This Row],[Total Contributed Income]]+Table13[[#This Row],[Total Earned Income]]</f>
        <v>2358327</v>
      </c>
      <c r="J96" s="55">
        <f>Table13[[#This Row],[Cont. Income - Foundation]]+Table13[[#This Row],[Cont. Income - Membership]]+Table13[[#This Row],[Cont. Income - Small Donors]]+Table13[[#This Row],[Cont. Income - Med. Donors]]+Table13[[#This Row],[Cont. Income - Major Donors]]+Table13[[#This Row],[Cont. Income - Other]]</f>
        <v>1865508</v>
      </c>
      <c r="K96" s="55">
        <f>Table13[[#This Row],[Earned Income - Advertising]]+Table13[[#This Row],[Earned Income - Sponsorships/Underwriting]]+Table13[[#This Row],[Earned Income - Events]]+Table13[[#This Row],[Earned Income - Subscriptions]]+Table13[[#This Row],[Earned Income - Syndication]]+Table13[[#This Row],[Earned Income - Other]]</f>
        <v>492819</v>
      </c>
      <c r="L96" s="56">
        <v>199560</v>
      </c>
      <c r="M96" s="56">
        <v>131951</v>
      </c>
      <c r="N96" s="71">
        <f>SUM(Table13[[#This Row],[Cont. Income - Small Donors]:[Cont. Income - Major Donors]])</f>
        <v>1533997</v>
      </c>
      <c r="O96" s="56">
        <v>304700</v>
      </c>
      <c r="P96" s="56">
        <v>152715</v>
      </c>
      <c r="Q96" s="56">
        <v>1076582</v>
      </c>
      <c r="R96" s="56">
        <v>0</v>
      </c>
      <c r="T96" s="56">
        <v>47395</v>
      </c>
      <c r="U96" s="56">
        <v>0</v>
      </c>
      <c r="V96" s="56">
        <v>0</v>
      </c>
      <c r="W96" s="56">
        <v>330373</v>
      </c>
      <c r="X96" s="56">
        <v>5274</v>
      </c>
      <c r="Y96" s="56">
        <v>109777</v>
      </c>
      <c r="Z96" s="54" t="s">
        <v>450</v>
      </c>
      <c r="AA96" s="55">
        <f>Table13[[#This Row],[Expenses - Editorial]]+Table13[[#This Row],[Expenses - Revenue Generation]]+Table13[[#This Row],[Expenses - Tech]]+Table13[[#This Row],[Expenses - Admin]]</f>
        <v>2263515</v>
      </c>
      <c r="AB96" s="56">
        <v>1656601</v>
      </c>
      <c r="AC96" s="71">
        <f>SUM(Table13[[#This Row],[Expenses - Revenue Generation]:[Expenses - Admin]])</f>
        <v>606914</v>
      </c>
      <c r="AD96" s="56">
        <v>305528</v>
      </c>
      <c r="AE96" s="56">
        <v>33856</v>
      </c>
      <c r="AF96" s="56">
        <v>267530</v>
      </c>
      <c r="AG96" s="59">
        <f>Table13[[#This Row],[Total FTE - Editorial]]+Table13[[#This Row],[Total FTE - Non-Editorial]]</f>
        <v>13</v>
      </c>
      <c r="AH96" s="59">
        <f>Table13[[#This Row],[FTE Salaried - Editorial]]+Table13[[#This Row],[FTE Contractors - Editorial]]</f>
        <v>8.25</v>
      </c>
      <c r="AI96" s="57">
        <v>8</v>
      </c>
      <c r="AJ96" s="57">
        <v>0.25</v>
      </c>
      <c r="AK96" s="60">
        <f>Table13[[#This Row],[FTE Salaried - Non-Editorial]]+Table13[[#This Row],[FTE Contractors - Non-Editorial]]</f>
        <v>4.75</v>
      </c>
      <c r="AL96" s="57">
        <v>4.5</v>
      </c>
      <c r="AM96" s="57">
        <v>0.25</v>
      </c>
      <c r="AN96" s="54" t="s">
        <v>347</v>
      </c>
      <c r="AO96" s="54" t="s">
        <v>380</v>
      </c>
      <c r="AQ96" s="57">
        <v>348500</v>
      </c>
      <c r="AR96" s="57">
        <v>70000</v>
      </c>
      <c r="AS96" s="57">
        <v>40000</v>
      </c>
      <c r="AT96" s="57">
        <v>12</v>
      </c>
      <c r="AU96" s="57">
        <v>0</v>
      </c>
      <c r="AV96" s="57">
        <v>0</v>
      </c>
      <c r="AW96" s="57">
        <v>0</v>
      </c>
      <c r="AX96" s="57"/>
      <c r="AY96" s="57">
        <v>300</v>
      </c>
    </row>
    <row r="97" spans="1:51" x14ac:dyDescent="0.2">
      <c r="A97" s="54">
        <v>420</v>
      </c>
      <c r="B97" s="54">
        <v>2005</v>
      </c>
      <c r="C97" s="91" t="s">
        <v>82</v>
      </c>
      <c r="D97" s="54" t="s">
        <v>6</v>
      </c>
      <c r="E97" s="54" t="s">
        <v>78</v>
      </c>
      <c r="F97" s="54" t="str">
        <f>_xlfn.CONCAT(Table13[[#This Row],[Geographic Scope]],": ",Table13[[#This Row],[Sub-Type/Focus]])</f>
        <v>National: Multiple Related Topics</v>
      </c>
      <c r="G97" s="54" t="str">
        <f>_xlfn.CONCAT(Table13[[#This Row],[Geographic Scope]],": ",Table13[[#This Row],[Sub-Type/Focus]],": ",Table13[[#This Row],[Content Type]])</f>
        <v>National: Multiple Related Topics: Current News &amp; Events</v>
      </c>
      <c r="H97" s="54" t="str">
        <f>_xlfn.CONCAT(Table13[[#This Row],[Geographic Scope]],": ",Table13[[#This Row],[Content Type]])</f>
        <v>National: Current News &amp; Events</v>
      </c>
      <c r="I97" s="55">
        <f>Table13[[#This Row],[Total Contributed Income]]+Table13[[#This Row],[Total Earned Income]]</f>
        <v>105099.62999999999</v>
      </c>
      <c r="J97" s="55">
        <f>Table13[[#This Row],[Cont. Income - Foundation]]+Table13[[#This Row],[Cont. Income - Membership]]+Table13[[#This Row],[Cont. Income - Small Donors]]+Table13[[#This Row],[Cont. Income - Med. Donors]]+Table13[[#This Row],[Cont. Income - Major Donors]]+Table13[[#This Row],[Cont. Income - Other]]</f>
        <v>92432.26</v>
      </c>
      <c r="K97" s="55">
        <f>Table13[[#This Row],[Earned Income - Advertising]]+Table13[[#This Row],[Earned Income - Sponsorships/Underwriting]]+Table13[[#This Row],[Earned Income - Events]]+Table13[[#This Row],[Earned Income - Subscriptions]]+Table13[[#This Row],[Earned Income - Syndication]]+Table13[[#This Row],[Earned Income - Other]]</f>
        <v>12667.37</v>
      </c>
      <c r="L97" s="56">
        <v>24999</v>
      </c>
      <c r="M97" s="56">
        <v>0</v>
      </c>
      <c r="N97" s="71">
        <f>SUM(Table13[[#This Row],[Cont. Income - Small Donors]:[Cont. Income - Major Donors]])</f>
        <v>38183.259999999995</v>
      </c>
      <c r="O97" s="56">
        <v>32183.26</v>
      </c>
      <c r="P97" s="56">
        <v>1000</v>
      </c>
      <c r="Q97" s="56">
        <v>5000</v>
      </c>
      <c r="R97" s="56">
        <v>29250</v>
      </c>
      <c r="S97" s="55" t="s">
        <v>451</v>
      </c>
      <c r="T97" s="56">
        <v>12667.37</v>
      </c>
      <c r="U97" s="56">
        <v>0</v>
      </c>
      <c r="V97" s="56">
        <v>0</v>
      </c>
      <c r="W97" s="56">
        <v>0</v>
      </c>
      <c r="X97" s="56">
        <v>0</v>
      </c>
      <c r="Y97" s="56">
        <v>0</v>
      </c>
      <c r="AA97" s="55">
        <f>Table13[[#This Row],[Expenses - Editorial]]+Table13[[#This Row],[Expenses - Revenue Generation]]+Table13[[#This Row],[Expenses - Tech]]+Table13[[#This Row],[Expenses - Admin]]</f>
        <v>70666</v>
      </c>
      <c r="AB97" s="56">
        <v>56880</v>
      </c>
      <c r="AC97" s="71">
        <f>SUM(Table13[[#This Row],[Expenses - Revenue Generation]:[Expenses - Admin]])</f>
        <v>13786</v>
      </c>
      <c r="AD97" s="56">
        <v>3500</v>
      </c>
      <c r="AE97" s="56">
        <v>2000</v>
      </c>
      <c r="AF97" s="56">
        <v>8286</v>
      </c>
      <c r="AG97" s="59">
        <f>Table13[[#This Row],[Total FTE - Editorial]]+Table13[[#This Row],[Total FTE - Non-Editorial]]</f>
        <v>1.75</v>
      </c>
      <c r="AH97" s="59">
        <f>Table13[[#This Row],[FTE Salaried - Editorial]]+Table13[[#This Row],[FTE Contractors - Editorial]]</f>
        <v>1.25</v>
      </c>
      <c r="AI97" s="57">
        <v>1</v>
      </c>
      <c r="AJ97" s="57">
        <v>0.25</v>
      </c>
      <c r="AK97" s="60">
        <f>Table13[[#This Row],[FTE Salaried - Non-Editorial]]+Table13[[#This Row],[FTE Contractors - Non-Editorial]]</f>
        <v>0.5</v>
      </c>
      <c r="AL97" s="57">
        <v>0</v>
      </c>
      <c r="AM97" s="57">
        <v>0.5</v>
      </c>
      <c r="AN97" s="54" t="s">
        <v>351</v>
      </c>
      <c r="AO97" s="54" t="s">
        <v>359</v>
      </c>
      <c r="AQ97" s="57">
        <v>237627</v>
      </c>
      <c r="AR97" s="57">
        <v>6523</v>
      </c>
      <c r="AS97" s="57">
        <v>0</v>
      </c>
      <c r="AT97" s="57">
        <v>0</v>
      </c>
      <c r="AU97" s="57">
        <v>0</v>
      </c>
      <c r="AV97" s="57">
        <v>0</v>
      </c>
      <c r="AW97" s="57">
        <v>0</v>
      </c>
      <c r="AX97" s="57"/>
      <c r="AY97" s="57">
        <v>8500</v>
      </c>
    </row>
    <row r="98" spans="1:51" x14ac:dyDescent="0.2">
      <c r="A98" s="54">
        <v>6816</v>
      </c>
      <c r="B98" s="54">
        <v>2019</v>
      </c>
      <c r="C98" s="91" t="s">
        <v>82</v>
      </c>
      <c r="D98" s="54" t="s">
        <v>6</v>
      </c>
      <c r="E98" s="54" t="s">
        <v>78</v>
      </c>
      <c r="F98" s="54" t="str">
        <f>_xlfn.CONCAT(Table13[[#This Row],[Geographic Scope]],": ",Table13[[#This Row],[Sub-Type/Focus]])</f>
        <v>National: Multiple Related Topics</v>
      </c>
      <c r="G98" s="54" t="str">
        <f>_xlfn.CONCAT(Table13[[#This Row],[Geographic Scope]],": ",Table13[[#This Row],[Sub-Type/Focus]],": ",Table13[[#This Row],[Content Type]])</f>
        <v>National: Multiple Related Topics: Current News &amp; Events</v>
      </c>
      <c r="H98" s="54" t="str">
        <f>_xlfn.CONCAT(Table13[[#This Row],[Geographic Scope]],": ",Table13[[#This Row],[Content Type]])</f>
        <v>National: Current News &amp; Events</v>
      </c>
      <c r="I98" s="55">
        <f>Table13[[#This Row],[Total Contributed Income]]+Table13[[#This Row],[Total Earned Income]]</f>
        <v>1763612</v>
      </c>
      <c r="J98" s="55">
        <f>Table13[[#This Row],[Cont. Income - Foundation]]+Table13[[#This Row],[Cont. Income - Membership]]+Table13[[#This Row],[Cont. Income - Small Donors]]+Table13[[#This Row],[Cont. Income - Med. Donors]]+Table13[[#This Row],[Cont. Income - Major Donors]]+Table13[[#This Row],[Cont. Income - Other]]</f>
        <v>1132057</v>
      </c>
      <c r="K98" s="55">
        <f>Table13[[#This Row],[Earned Income - Advertising]]+Table13[[#This Row],[Earned Income - Sponsorships/Underwriting]]+Table13[[#This Row],[Earned Income - Events]]+Table13[[#This Row],[Earned Income - Subscriptions]]+Table13[[#This Row],[Earned Income - Syndication]]+Table13[[#This Row],[Earned Income - Other]]</f>
        <v>631555</v>
      </c>
      <c r="L98" s="56">
        <v>968000</v>
      </c>
      <c r="M98" s="56">
        <v>0</v>
      </c>
      <c r="N98" s="71">
        <f>SUM(Table13[[#This Row],[Cont. Income - Small Donors]:[Cont. Income - Major Donors]])</f>
        <v>164057</v>
      </c>
      <c r="O98" s="56">
        <v>35257</v>
      </c>
      <c r="P98" s="56">
        <v>3800</v>
      </c>
      <c r="Q98" s="56">
        <v>125000</v>
      </c>
      <c r="R98" s="56">
        <v>0</v>
      </c>
      <c r="T98" s="56">
        <v>0</v>
      </c>
      <c r="U98" s="56">
        <v>0</v>
      </c>
      <c r="V98" s="56">
        <v>0</v>
      </c>
      <c r="W98" s="56">
        <v>0</v>
      </c>
      <c r="X98" s="56">
        <v>0</v>
      </c>
      <c r="Y98" s="56">
        <v>631555</v>
      </c>
      <c r="Z98" s="54" t="s">
        <v>452</v>
      </c>
      <c r="AA98" s="55">
        <f>Table13[[#This Row],[Expenses - Editorial]]+Table13[[#This Row],[Expenses - Revenue Generation]]+Table13[[#This Row],[Expenses - Tech]]+Table13[[#This Row],[Expenses - Admin]]</f>
        <v>1391000</v>
      </c>
      <c r="AB98" s="56">
        <v>815000</v>
      </c>
      <c r="AC98" s="71">
        <f>SUM(Table13[[#This Row],[Expenses - Revenue Generation]:[Expenses - Admin]])</f>
        <v>576000</v>
      </c>
      <c r="AD98" s="56">
        <v>3000</v>
      </c>
      <c r="AE98" s="56">
        <v>50000</v>
      </c>
      <c r="AF98" s="56">
        <v>523000</v>
      </c>
      <c r="AG98" s="59">
        <f>Table13[[#This Row],[Total FTE - Editorial]]+Table13[[#This Row],[Total FTE - Non-Editorial]]</f>
        <v>9.5</v>
      </c>
      <c r="AH98" s="59">
        <f>Table13[[#This Row],[FTE Salaried - Editorial]]+Table13[[#This Row],[FTE Contractors - Editorial]]</f>
        <v>6.5</v>
      </c>
      <c r="AI98" s="57">
        <v>6</v>
      </c>
      <c r="AJ98" s="57">
        <v>0.5</v>
      </c>
      <c r="AK98" s="60">
        <f>Table13[[#This Row],[FTE Salaried - Non-Editorial]]+Table13[[#This Row],[FTE Contractors - Non-Editorial]]</f>
        <v>3</v>
      </c>
      <c r="AL98" s="57">
        <v>3</v>
      </c>
      <c r="AM98" s="57">
        <v>0</v>
      </c>
      <c r="AN98" s="54" t="s">
        <v>351</v>
      </c>
      <c r="AQ98" s="57">
        <v>52239</v>
      </c>
      <c r="AR98" s="57">
        <v>5651</v>
      </c>
      <c r="AS98" s="57">
        <v>0</v>
      </c>
      <c r="AT98" s="57">
        <v>0</v>
      </c>
      <c r="AU98" s="57">
        <v>0</v>
      </c>
      <c r="AV98" s="57">
        <v>0</v>
      </c>
      <c r="AW98" s="57">
        <v>0</v>
      </c>
      <c r="AX98" s="57"/>
      <c r="AY98" s="57">
        <v>0</v>
      </c>
    </row>
    <row r="99" spans="1:51" x14ac:dyDescent="0.2">
      <c r="A99" s="54">
        <v>346</v>
      </c>
      <c r="B99" s="54">
        <v>2013</v>
      </c>
      <c r="C99" s="91" t="s">
        <v>82</v>
      </c>
      <c r="D99" s="54" t="s">
        <v>6</v>
      </c>
      <c r="E99" s="54" t="s">
        <v>79</v>
      </c>
      <c r="F99" s="54" t="str">
        <f>_xlfn.CONCAT(Table13[[#This Row],[Geographic Scope]],": ",Table13[[#This Row],[Sub-Type/Focus]])</f>
        <v>National: Single-Topic</v>
      </c>
      <c r="G99" s="54" t="str">
        <f>_xlfn.CONCAT(Table13[[#This Row],[Geographic Scope]],": ",Table13[[#This Row],[Sub-Type/Focus]],": ",Table13[[#This Row],[Content Type]])</f>
        <v>National: Single-Topic: Current News &amp; Events</v>
      </c>
      <c r="H99" s="54" t="str">
        <f>_xlfn.CONCAT(Table13[[#This Row],[Geographic Scope]],": ",Table13[[#This Row],[Content Type]])</f>
        <v>National: Current News &amp; Events</v>
      </c>
      <c r="I99" s="55">
        <f>Table13[[#This Row],[Total Contributed Income]]+Table13[[#This Row],[Total Earned Income]]</f>
        <v>7433703.1699999999</v>
      </c>
      <c r="J99" s="55">
        <f>Table13[[#This Row],[Cont. Income - Foundation]]+Table13[[#This Row],[Cont. Income - Membership]]+Table13[[#This Row],[Cont. Income - Small Donors]]+Table13[[#This Row],[Cont. Income - Med. Donors]]+Table13[[#This Row],[Cont. Income - Major Donors]]+Table13[[#This Row],[Cont. Income - Other]]</f>
        <v>6960703.1699999999</v>
      </c>
      <c r="K99" s="55">
        <f>Table13[[#This Row],[Earned Income - Advertising]]+Table13[[#This Row],[Earned Income - Sponsorships/Underwriting]]+Table13[[#This Row],[Earned Income - Events]]+Table13[[#This Row],[Earned Income - Subscriptions]]+Table13[[#This Row],[Earned Income - Syndication]]+Table13[[#This Row],[Earned Income - Other]]</f>
        <v>473000</v>
      </c>
      <c r="L99" s="56">
        <v>6303082</v>
      </c>
      <c r="M99" s="56">
        <v>116705.05</v>
      </c>
      <c r="N99" s="71">
        <f>SUM(Table13[[#This Row],[Cont. Income - Small Donors]:[Cont. Income - Major Donors]])</f>
        <v>540916.12</v>
      </c>
      <c r="O99" s="56">
        <v>0</v>
      </c>
      <c r="P99" s="56">
        <v>18394.7</v>
      </c>
      <c r="Q99" s="56">
        <v>522521.42</v>
      </c>
      <c r="R99" s="56">
        <v>0</v>
      </c>
      <c r="T99" s="56">
        <v>0</v>
      </c>
      <c r="U99" s="56">
        <v>421000</v>
      </c>
      <c r="V99" s="56">
        <v>3000</v>
      </c>
      <c r="W99" s="56">
        <v>13000</v>
      </c>
      <c r="X99" s="56">
        <v>3000</v>
      </c>
      <c r="Y99" s="56">
        <v>33000</v>
      </c>
      <c r="Z99" s="54" t="s">
        <v>453</v>
      </c>
      <c r="AA99" s="55">
        <f>Table13[[#This Row],[Expenses - Editorial]]+Table13[[#This Row],[Expenses - Revenue Generation]]+Table13[[#This Row],[Expenses - Tech]]+Table13[[#This Row],[Expenses - Admin]]</f>
        <v>7297438</v>
      </c>
      <c r="AB99" s="56">
        <v>4255738</v>
      </c>
      <c r="AC99" s="71">
        <f>SUM(Table13[[#This Row],[Expenses - Revenue Generation]:[Expenses - Admin]])</f>
        <v>3041700</v>
      </c>
      <c r="AD99" s="56">
        <v>928564</v>
      </c>
      <c r="AE99" s="56">
        <v>557020</v>
      </c>
      <c r="AF99" s="56">
        <v>1556116</v>
      </c>
      <c r="AG99" s="59">
        <f>Table13[[#This Row],[Total FTE - Editorial]]+Table13[[#This Row],[Total FTE - Non-Editorial]]</f>
        <v>71</v>
      </c>
      <c r="AH99" s="59">
        <f>Table13[[#This Row],[FTE Salaried - Editorial]]+Table13[[#This Row],[FTE Contractors - Editorial]]</f>
        <v>42</v>
      </c>
      <c r="AI99" s="57">
        <v>40</v>
      </c>
      <c r="AJ99" s="57">
        <v>2</v>
      </c>
      <c r="AK99" s="60">
        <f>Table13[[#This Row],[FTE Salaried - Non-Editorial]]+Table13[[#This Row],[FTE Contractors - Non-Editorial]]</f>
        <v>29</v>
      </c>
      <c r="AL99" s="57">
        <v>26</v>
      </c>
      <c r="AM99" s="57">
        <v>3</v>
      </c>
      <c r="AN99" s="54" t="s">
        <v>351</v>
      </c>
      <c r="AQ99" s="57">
        <v>900000</v>
      </c>
      <c r="AR99" s="57">
        <v>70040</v>
      </c>
      <c r="AS99" s="57">
        <v>0</v>
      </c>
      <c r="AT99" s="57">
        <v>0</v>
      </c>
      <c r="AU99" s="57">
        <v>0</v>
      </c>
      <c r="AV99" s="57">
        <v>0</v>
      </c>
      <c r="AW99" s="57">
        <v>0</v>
      </c>
      <c r="AX99" s="57"/>
      <c r="AY99" s="57">
        <v>0</v>
      </c>
    </row>
    <row r="100" spans="1:51" x14ac:dyDescent="0.2">
      <c r="A100" s="54">
        <v>2934</v>
      </c>
      <c r="B100" s="54">
        <v>2003</v>
      </c>
      <c r="C100" s="91" t="s">
        <v>82</v>
      </c>
      <c r="D100" s="54" t="s">
        <v>6</v>
      </c>
      <c r="E100" s="54" t="s">
        <v>79</v>
      </c>
      <c r="F100" s="54" t="str">
        <f>_xlfn.CONCAT(Table13[[#This Row],[Geographic Scope]],": ",Table13[[#This Row],[Sub-Type/Focus]])</f>
        <v>National: Single-Topic</v>
      </c>
      <c r="G100" s="54" t="str">
        <f>_xlfn.CONCAT(Table13[[#This Row],[Geographic Scope]],": ",Table13[[#This Row],[Sub-Type/Focus]],": ",Table13[[#This Row],[Content Type]])</f>
        <v>National: Single-Topic: Current News &amp; Events</v>
      </c>
      <c r="H100" s="54" t="str">
        <f>_xlfn.CONCAT(Table13[[#This Row],[Geographic Scope]],": ",Table13[[#This Row],[Content Type]])</f>
        <v>National: Current News &amp; Events</v>
      </c>
      <c r="I100" s="55">
        <f>Table13[[#This Row],[Total Contributed Income]]+Table13[[#This Row],[Total Earned Income]]</f>
        <v>3013373.73</v>
      </c>
      <c r="J100" s="55">
        <f>Table13[[#This Row],[Cont. Income - Foundation]]+Table13[[#This Row],[Cont. Income - Membership]]+Table13[[#This Row],[Cont. Income - Small Donors]]+Table13[[#This Row],[Cont. Income - Med. Donors]]+Table13[[#This Row],[Cont. Income - Major Donors]]+Table13[[#This Row],[Cont. Income - Other]]</f>
        <v>2310159.73</v>
      </c>
      <c r="K100" s="55">
        <f>Table13[[#This Row],[Earned Income - Advertising]]+Table13[[#This Row],[Earned Income - Sponsorships/Underwriting]]+Table13[[#This Row],[Earned Income - Events]]+Table13[[#This Row],[Earned Income - Subscriptions]]+Table13[[#This Row],[Earned Income - Syndication]]+Table13[[#This Row],[Earned Income - Other]]</f>
        <v>703214</v>
      </c>
      <c r="L100" s="56">
        <v>2002779</v>
      </c>
      <c r="M100" s="56">
        <v>0</v>
      </c>
      <c r="N100" s="71">
        <f>SUM(Table13[[#This Row],[Cont. Income - Small Donors]:[Cont. Income - Major Donors]])</f>
        <v>307380.73</v>
      </c>
      <c r="O100" s="56">
        <v>11169.11</v>
      </c>
      <c r="P100" s="56">
        <v>11532.7</v>
      </c>
      <c r="Q100" s="56">
        <v>284678.92</v>
      </c>
      <c r="R100" s="56">
        <v>0</v>
      </c>
      <c r="T100" s="56">
        <v>8186</v>
      </c>
      <c r="U100" s="56">
        <v>689563</v>
      </c>
      <c r="V100" s="56">
        <v>5465</v>
      </c>
      <c r="W100" s="56">
        <v>0</v>
      </c>
      <c r="X100" s="56">
        <v>0</v>
      </c>
      <c r="Y100" s="56">
        <v>0</v>
      </c>
      <c r="AA100" s="55">
        <f>Table13[[#This Row],[Expenses - Editorial]]+Table13[[#This Row],[Expenses - Revenue Generation]]+Table13[[#This Row],[Expenses - Tech]]+Table13[[#This Row],[Expenses - Admin]]</f>
        <v>3200242</v>
      </c>
      <c r="AB100" s="56">
        <v>2184425</v>
      </c>
      <c r="AC100" s="71">
        <f>SUM(Table13[[#This Row],[Expenses - Revenue Generation]:[Expenses - Admin]])</f>
        <v>1015817</v>
      </c>
      <c r="AD100" s="56">
        <v>231984</v>
      </c>
      <c r="AE100" s="56">
        <v>186465</v>
      </c>
      <c r="AF100" s="56">
        <v>597368</v>
      </c>
      <c r="AG100" s="59">
        <f>Table13[[#This Row],[Total FTE - Editorial]]+Table13[[#This Row],[Total FTE - Non-Editorial]]</f>
        <v>42.4</v>
      </c>
      <c r="AH100" s="59">
        <f>Table13[[#This Row],[FTE Salaried - Editorial]]+Table13[[#This Row],[FTE Contractors - Editorial]]</f>
        <v>18</v>
      </c>
      <c r="AI100" s="57">
        <v>17</v>
      </c>
      <c r="AJ100" s="57">
        <v>1</v>
      </c>
      <c r="AK100" s="60">
        <f>Table13[[#This Row],[FTE Salaried - Non-Editorial]]+Table13[[#This Row],[FTE Contractors - Non-Editorial]]</f>
        <v>24.4</v>
      </c>
      <c r="AL100" s="57">
        <v>3.2</v>
      </c>
      <c r="AM100" s="57">
        <v>21.2</v>
      </c>
      <c r="AN100" s="54" t="s">
        <v>352</v>
      </c>
      <c r="AO100" s="54" t="s">
        <v>454</v>
      </c>
      <c r="AP100" s="54" t="s">
        <v>455</v>
      </c>
      <c r="AQ100" s="57">
        <v>900000</v>
      </c>
      <c r="AR100" s="57">
        <v>75545</v>
      </c>
      <c r="AS100" s="57">
        <v>0</v>
      </c>
      <c r="AT100" s="57">
        <v>0</v>
      </c>
      <c r="AU100" s="57">
        <v>1600000</v>
      </c>
      <c r="AV100" s="57">
        <v>0</v>
      </c>
      <c r="AW100" s="57">
        <v>0</v>
      </c>
      <c r="AX100" s="57"/>
      <c r="AY100" s="57">
        <v>75000</v>
      </c>
    </row>
    <row r="101" spans="1:51" x14ac:dyDescent="0.2">
      <c r="A101" s="54">
        <v>6821</v>
      </c>
      <c r="B101" s="54">
        <v>2015</v>
      </c>
      <c r="C101" s="91" t="s">
        <v>82</v>
      </c>
      <c r="D101" s="54" t="s">
        <v>6</v>
      </c>
      <c r="E101" s="54" t="s">
        <v>79</v>
      </c>
      <c r="F101" s="54" t="str">
        <f>_xlfn.CONCAT(Table13[[#This Row],[Geographic Scope]],": ",Table13[[#This Row],[Sub-Type/Focus]])</f>
        <v>National: Single-Topic</v>
      </c>
      <c r="G101" s="54" t="str">
        <f>_xlfn.CONCAT(Table13[[#This Row],[Geographic Scope]],": ",Table13[[#This Row],[Sub-Type/Focus]],": ",Table13[[#This Row],[Content Type]])</f>
        <v>National: Single-Topic: Current News &amp; Events</v>
      </c>
      <c r="H101" s="54" t="str">
        <f>_xlfn.CONCAT(Table13[[#This Row],[Geographic Scope]],": ",Table13[[#This Row],[Content Type]])</f>
        <v>National: Current News &amp; Events</v>
      </c>
      <c r="I101" s="55">
        <f>Table13[[#This Row],[Total Contributed Income]]+Table13[[#This Row],[Total Earned Income]]</f>
        <v>3028954</v>
      </c>
      <c r="J101" s="55">
        <f>Table13[[#This Row],[Cont. Income - Foundation]]+Table13[[#This Row],[Cont. Income - Membership]]+Table13[[#This Row],[Cont. Income - Small Donors]]+Table13[[#This Row],[Cont. Income - Med. Donors]]+Table13[[#This Row],[Cont. Income - Major Donors]]+Table13[[#This Row],[Cont. Income - Other]]</f>
        <v>3016654</v>
      </c>
      <c r="K101" s="55">
        <f>Table13[[#This Row],[Earned Income - Advertising]]+Table13[[#This Row],[Earned Income - Sponsorships/Underwriting]]+Table13[[#This Row],[Earned Income - Events]]+Table13[[#This Row],[Earned Income - Subscriptions]]+Table13[[#This Row],[Earned Income - Syndication]]+Table13[[#This Row],[Earned Income - Other]]</f>
        <v>12300</v>
      </c>
      <c r="L101" s="56">
        <v>3001800</v>
      </c>
      <c r="M101" s="56">
        <v>0</v>
      </c>
      <c r="N101" s="71">
        <f>SUM(Table13[[#This Row],[Cont. Income - Small Donors]:[Cont. Income - Major Donors]])</f>
        <v>14854</v>
      </c>
      <c r="O101" s="56">
        <v>11354</v>
      </c>
      <c r="P101" s="56">
        <v>3500</v>
      </c>
      <c r="Q101" s="56">
        <v>0</v>
      </c>
      <c r="R101" s="56">
        <v>0</v>
      </c>
      <c r="T101" s="56">
        <v>0</v>
      </c>
      <c r="U101" s="56">
        <v>0</v>
      </c>
      <c r="V101" s="56">
        <v>0</v>
      </c>
      <c r="W101" s="56">
        <v>0</v>
      </c>
      <c r="X101" s="56">
        <v>0</v>
      </c>
      <c r="Y101" s="56">
        <v>12300</v>
      </c>
      <c r="Z101" s="54" t="s">
        <v>456</v>
      </c>
      <c r="AA101" s="55">
        <f>Table13[[#This Row],[Expenses - Editorial]]+Table13[[#This Row],[Expenses - Revenue Generation]]+Table13[[#This Row],[Expenses - Tech]]+Table13[[#This Row],[Expenses - Admin]]</f>
        <v>2660500</v>
      </c>
      <c r="AB101" s="56">
        <v>2400000</v>
      </c>
      <c r="AC101" s="71">
        <f>SUM(Table13[[#This Row],[Expenses - Revenue Generation]:[Expenses - Admin]])</f>
        <v>260500</v>
      </c>
      <c r="AD101" s="56">
        <v>140000</v>
      </c>
      <c r="AE101" s="56">
        <v>20500</v>
      </c>
      <c r="AF101" s="56">
        <v>100000</v>
      </c>
      <c r="AG101" s="59">
        <f>Table13[[#This Row],[Total FTE - Editorial]]+Table13[[#This Row],[Total FTE - Non-Editorial]]</f>
        <v>20</v>
      </c>
      <c r="AH101" s="59">
        <f>Table13[[#This Row],[FTE Salaried - Editorial]]+Table13[[#This Row],[FTE Contractors - Editorial]]</f>
        <v>18</v>
      </c>
      <c r="AI101" s="57">
        <v>14</v>
      </c>
      <c r="AJ101" s="57">
        <v>4</v>
      </c>
      <c r="AK101" s="60">
        <f>Table13[[#This Row],[FTE Salaried - Non-Editorial]]+Table13[[#This Row],[FTE Contractors - Non-Editorial]]</f>
        <v>2</v>
      </c>
      <c r="AL101" s="57">
        <v>2</v>
      </c>
      <c r="AM101" s="57">
        <v>0</v>
      </c>
      <c r="AN101" s="54" t="s">
        <v>351</v>
      </c>
      <c r="AO101" s="54" t="s">
        <v>356</v>
      </c>
      <c r="AP101" s="54" t="s">
        <v>385</v>
      </c>
      <c r="AQ101" s="57">
        <v>327770</v>
      </c>
      <c r="AR101" s="57">
        <v>34000</v>
      </c>
      <c r="AS101" s="57">
        <v>0</v>
      </c>
      <c r="AT101" s="57">
        <v>0</v>
      </c>
      <c r="AU101" s="57">
        <v>0</v>
      </c>
      <c r="AV101" s="57">
        <v>0</v>
      </c>
      <c r="AW101" s="57">
        <v>0</v>
      </c>
      <c r="AX101" s="57"/>
      <c r="AY101" s="57">
        <v>0</v>
      </c>
    </row>
    <row r="102" spans="1:51" x14ac:dyDescent="0.2">
      <c r="A102" s="54">
        <v>374</v>
      </c>
      <c r="B102" s="54">
        <v>2010</v>
      </c>
      <c r="C102" s="91" t="s">
        <v>80</v>
      </c>
      <c r="D102" s="54" t="s">
        <v>6</v>
      </c>
      <c r="E102" s="54" t="s">
        <v>77</v>
      </c>
      <c r="F102" s="54" t="str">
        <f>_xlfn.CONCAT(Table13[[#This Row],[Geographic Scope]],": ",Table13[[#This Row],[Sub-Type/Focus]])</f>
        <v>National: General</v>
      </c>
      <c r="G102" s="54" t="str">
        <f>_xlfn.CONCAT(Table13[[#This Row],[Geographic Scope]],": ",Table13[[#This Row],[Sub-Type/Focus]],": ",Table13[[#This Row],[Content Type]])</f>
        <v>National: General: Explanatory &amp; Analysis</v>
      </c>
      <c r="H102" s="54" t="str">
        <f>_xlfn.CONCAT(Table13[[#This Row],[Geographic Scope]],": ",Table13[[#This Row],[Content Type]])</f>
        <v>National: Explanatory &amp; Analysis</v>
      </c>
      <c r="I102" s="55">
        <f>Table13[[#This Row],[Total Contributed Income]]+Table13[[#This Row],[Total Earned Income]]</f>
        <v>2363500</v>
      </c>
      <c r="J102" s="55">
        <f>Table13[[#This Row],[Cont. Income - Foundation]]+Table13[[#This Row],[Cont. Income - Membership]]+Table13[[#This Row],[Cont. Income - Small Donors]]+Table13[[#This Row],[Cont. Income - Med. Donors]]+Table13[[#This Row],[Cont. Income - Major Donors]]+Table13[[#This Row],[Cont. Income - Other]]</f>
        <v>2090500</v>
      </c>
      <c r="K102" s="55">
        <f>Table13[[#This Row],[Earned Income - Advertising]]+Table13[[#This Row],[Earned Income - Sponsorships/Underwriting]]+Table13[[#This Row],[Earned Income - Events]]+Table13[[#This Row],[Earned Income - Subscriptions]]+Table13[[#This Row],[Earned Income - Syndication]]+Table13[[#This Row],[Earned Income - Other]]</f>
        <v>273000</v>
      </c>
      <c r="L102" s="56">
        <v>2000000</v>
      </c>
      <c r="M102" s="56">
        <v>0</v>
      </c>
      <c r="N102" s="71">
        <f>SUM(Table13[[#This Row],[Cont. Income - Small Donors]:[Cont. Income - Major Donors]])</f>
        <v>90500</v>
      </c>
      <c r="O102" s="56">
        <v>7500</v>
      </c>
      <c r="P102" s="56">
        <v>8000</v>
      </c>
      <c r="Q102" s="56">
        <v>75000</v>
      </c>
      <c r="R102" s="56">
        <v>0</v>
      </c>
      <c r="T102" s="56">
        <v>30000</v>
      </c>
      <c r="U102" s="56">
        <v>8000</v>
      </c>
      <c r="V102" s="56">
        <v>0</v>
      </c>
      <c r="W102" s="56">
        <v>0</v>
      </c>
      <c r="X102" s="56">
        <v>235000</v>
      </c>
      <c r="Y102" s="56">
        <v>0</v>
      </c>
      <c r="AA102" s="55">
        <f>Table13[[#This Row],[Expenses - Editorial]]+Table13[[#This Row],[Expenses - Revenue Generation]]+Table13[[#This Row],[Expenses - Tech]]+Table13[[#This Row],[Expenses - Admin]]</f>
        <v>2525000</v>
      </c>
      <c r="AB102" s="56">
        <v>2000000</v>
      </c>
      <c r="AC102" s="71">
        <f>SUM(Table13[[#This Row],[Expenses - Revenue Generation]:[Expenses - Admin]])</f>
        <v>525000</v>
      </c>
      <c r="AD102" s="56">
        <v>200000</v>
      </c>
      <c r="AE102" s="56">
        <v>25000</v>
      </c>
      <c r="AF102" s="56">
        <v>300000</v>
      </c>
      <c r="AG102" s="59">
        <f>Table13[[#This Row],[Total FTE - Editorial]]+Table13[[#This Row],[Total FTE - Non-Editorial]]</f>
        <v>28</v>
      </c>
      <c r="AH102" s="59">
        <f>Table13[[#This Row],[FTE Salaried - Editorial]]+Table13[[#This Row],[FTE Contractors - Editorial]]</f>
        <v>24</v>
      </c>
      <c r="AI102" s="57">
        <v>17</v>
      </c>
      <c r="AJ102" s="57">
        <v>7</v>
      </c>
      <c r="AK102" s="60">
        <f>Table13[[#This Row],[FTE Salaried - Non-Editorial]]+Table13[[#This Row],[FTE Contractors - Non-Editorial]]</f>
        <v>4</v>
      </c>
      <c r="AL102" s="57">
        <v>3</v>
      </c>
      <c r="AM102" s="57">
        <v>1</v>
      </c>
      <c r="AN102" s="54" t="s">
        <v>351</v>
      </c>
      <c r="AO102" s="54" t="s">
        <v>457</v>
      </c>
      <c r="AQ102" s="57">
        <v>0</v>
      </c>
      <c r="AR102" s="57">
        <v>0</v>
      </c>
      <c r="AS102" s="57">
        <v>0</v>
      </c>
      <c r="AT102" s="57">
        <v>0</v>
      </c>
      <c r="AU102" s="57">
        <v>225</v>
      </c>
      <c r="AV102" s="57" t="s">
        <v>458</v>
      </c>
      <c r="AW102" s="57">
        <v>0</v>
      </c>
      <c r="AX102" s="57"/>
      <c r="AY102" s="57">
        <v>85000</v>
      </c>
    </row>
    <row r="103" spans="1:51" x14ac:dyDescent="0.2">
      <c r="A103" s="54">
        <v>396</v>
      </c>
      <c r="B103" s="54">
        <v>2009</v>
      </c>
      <c r="C103" s="91" t="s">
        <v>80</v>
      </c>
      <c r="D103" s="54" t="s">
        <v>6</v>
      </c>
      <c r="E103" s="54" t="s">
        <v>77</v>
      </c>
      <c r="F103" s="54" t="str">
        <f>_xlfn.CONCAT(Table13[[#This Row],[Geographic Scope]],": ",Table13[[#This Row],[Sub-Type/Focus]])</f>
        <v>National: General</v>
      </c>
      <c r="G103" s="54" t="str">
        <f>_xlfn.CONCAT(Table13[[#This Row],[Geographic Scope]],": ",Table13[[#This Row],[Sub-Type/Focus]],": ",Table13[[#This Row],[Content Type]])</f>
        <v>National: General: Explanatory &amp; Analysis</v>
      </c>
      <c r="H103" s="54" t="str">
        <f>_xlfn.CONCAT(Table13[[#This Row],[Geographic Scope]],": ",Table13[[#This Row],[Content Type]])</f>
        <v>National: Explanatory &amp; Analysis</v>
      </c>
      <c r="I103" s="55">
        <f>Table13[[#This Row],[Total Contributed Income]]+Table13[[#This Row],[Total Earned Income]]</f>
        <v>814892</v>
      </c>
      <c r="J103" s="55">
        <f>Table13[[#This Row],[Cont. Income - Foundation]]+Table13[[#This Row],[Cont. Income - Membership]]+Table13[[#This Row],[Cont. Income - Small Donors]]+Table13[[#This Row],[Cont. Income - Med. Donors]]+Table13[[#This Row],[Cont. Income - Major Donors]]+Table13[[#This Row],[Cont. Income - Other]]</f>
        <v>779792</v>
      </c>
      <c r="K103" s="55">
        <f>Table13[[#This Row],[Earned Income - Advertising]]+Table13[[#This Row],[Earned Income - Sponsorships/Underwriting]]+Table13[[#This Row],[Earned Income - Events]]+Table13[[#This Row],[Earned Income - Subscriptions]]+Table13[[#This Row],[Earned Income - Syndication]]+Table13[[#This Row],[Earned Income - Other]]</f>
        <v>35100</v>
      </c>
      <c r="L103" s="56">
        <v>497046</v>
      </c>
      <c r="M103" s="56">
        <v>0</v>
      </c>
      <c r="N103" s="71">
        <f>SUM(Table13[[#This Row],[Cont. Income - Small Donors]:[Cont. Income - Major Donors]])</f>
        <v>17000</v>
      </c>
      <c r="O103" s="56">
        <v>7000</v>
      </c>
      <c r="P103" s="56">
        <v>0</v>
      </c>
      <c r="Q103" s="56">
        <v>10000</v>
      </c>
      <c r="R103" s="56">
        <v>265746</v>
      </c>
      <c r="S103" s="55" t="s">
        <v>459</v>
      </c>
      <c r="T103" s="56">
        <v>5000</v>
      </c>
      <c r="U103" s="56">
        <v>0</v>
      </c>
      <c r="V103" s="56">
        <v>0</v>
      </c>
      <c r="W103" s="56">
        <v>25000</v>
      </c>
      <c r="X103" s="56">
        <v>0</v>
      </c>
      <c r="Y103" s="56">
        <v>5100</v>
      </c>
      <c r="Z103" s="54" t="s">
        <v>460</v>
      </c>
      <c r="AA103" s="55">
        <f>Table13[[#This Row],[Expenses - Editorial]]+Table13[[#This Row],[Expenses - Revenue Generation]]+Table13[[#This Row],[Expenses - Tech]]+Table13[[#This Row],[Expenses - Admin]]</f>
        <v>729670</v>
      </c>
      <c r="AB103" s="56">
        <v>554436</v>
      </c>
      <c r="AC103" s="71">
        <f>SUM(Table13[[#This Row],[Expenses - Revenue Generation]:[Expenses - Admin]])</f>
        <v>175234</v>
      </c>
      <c r="AD103" s="56">
        <v>11255</v>
      </c>
      <c r="AE103" s="56">
        <v>15727</v>
      </c>
      <c r="AF103" s="56">
        <v>148252</v>
      </c>
      <c r="AG103" s="59">
        <f>Table13[[#This Row],[Total FTE - Editorial]]+Table13[[#This Row],[Total FTE - Non-Editorial]]</f>
        <v>12</v>
      </c>
      <c r="AH103" s="59">
        <f>Table13[[#This Row],[FTE Salaried - Editorial]]+Table13[[#This Row],[FTE Contractors - Editorial]]</f>
        <v>7</v>
      </c>
      <c r="AI103" s="57">
        <v>4</v>
      </c>
      <c r="AJ103" s="57">
        <v>3</v>
      </c>
      <c r="AK103" s="60">
        <f>Table13[[#This Row],[FTE Salaried - Non-Editorial]]+Table13[[#This Row],[FTE Contractors - Non-Editorial]]</f>
        <v>5</v>
      </c>
      <c r="AL103" s="57">
        <v>4</v>
      </c>
      <c r="AM103" s="57">
        <v>1</v>
      </c>
      <c r="AN103" s="54" t="s">
        <v>351</v>
      </c>
      <c r="AO103" s="54" t="s">
        <v>356</v>
      </c>
      <c r="AP103" s="54" t="s">
        <v>461</v>
      </c>
      <c r="AQ103" s="57">
        <v>72851</v>
      </c>
      <c r="AR103" s="57">
        <v>12600</v>
      </c>
      <c r="AS103" s="57">
        <v>5000</v>
      </c>
      <c r="AT103" s="57">
        <v>1</v>
      </c>
      <c r="AU103" s="57">
        <v>0</v>
      </c>
      <c r="AV103" s="57">
        <v>0</v>
      </c>
      <c r="AW103" s="57">
        <v>0</v>
      </c>
      <c r="AX103" s="57"/>
      <c r="AY103" s="57">
        <v>0</v>
      </c>
    </row>
    <row r="104" spans="1:51" x14ac:dyDescent="0.2">
      <c r="A104" s="54">
        <v>448</v>
      </c>
      <c r="B104" s="54">
        <v>2013</v>
      </c>
      <c r="C104" s="91" t="s">
        <v>80</v>
      </c>
      <c r="D104" s="54" t="s">
        <v>6</v>
      </c>
      <c r="E104" s="54" t="s">
        <v>77</v>
      </c>
      <c r="F104" s="54" t="str">
        <f>_xlfn.CONCAT(Table13[[#This Row],[Geographic Scope]],": ",Table13[[#This Row],[Sub-Type/Focus]])</f>
        <v>National: General</v>
      </c>
      <c r="G104" s="54" t="str">
        <f>_xlfn.CONCAT(Table13[[#This Row],[Geographic Scope]],": ",Table13[[#This Row],[Sub-Type/Focus]],": ",Table13[[#This Row],[Content Type]])</f>
        <v>National: General: Explanatory &amp; Analysis</v>
      </c>
      <c r="H104" s="54" t="str">
        <f>_xlfn.CONCAT(Table13[[#This Row],[Geographic Scope]],": ",Table13[[#This Row],[Content Type]])</f>
        <v>National: Explanatory &amp; Analysis</v>
      </c>
      <c r="I104" s="55">
        <f>Table13[[#This Row],[Total Contributed Income]]+Table13[[#This Row],[Total Earned Income]]</f>
        <v>676676.42999999993</v>
      </c>
      <c r="J104" s="55">
        <f>Table13[[#This Row],[Cont. Income - Foundation]]+Table13[[#This Row],[Cont. Income - Membership]]+Table13[[#This Row],[Cont. Income - Small Donors]]+Table13[[#This Row],[Cont. Income - Med. Donors]]+Table13[[#This Row],[Cont. Income - Major Donors]]+Table13[[#This Row],[Cont. Income - Other]]</f>
        <v>669512.68999999994</v>
      </c>
      <c r="K104" s="55">
        <f>Table13[[#This Row],[Earned Income - Advertising]]+Table13[[#This Row],[Earned Income - Sponsorships/Underwriting]]+Table13[[#This Row],[Earned Income - Events]]+Table13[[#This Row],[Earned Income - Subscriptions]]+Table13[[#This Row],[Earned Income - Syndication]]+Table13[[#This Row],[Earned Income - Other]]</f>
        <v>7163.74</v>
      </c>
      <c r="L104" s="56">
        <v>355494</v>
      </c>
      <c r="M104" s="56">
        <v>0</v>
      </c>
      <c r="N104" s="71">
        <f>SUM(Table13[[#This Row],[Cont. Income - Small Donors]:[Cont. Income - Major Donors]])</f>
        <v>314018.69</v>
      </c>
      <c r="O104" s="56">
        <v>12292.4</v>
      </c>
      <c r="P104" s="56">
        <v>16191.24</v>
      </c>
      <c r="Q104" s="56">
        <v>285535.05</v>
      </c>
      <c r="R104" s="56">
        <v>0</v>
      </c>
      <c r="T104" s="56">
        <v>2108.39</v>
      </c>
      <c r="U104" s="56">
        <v>0</v>
      </c>
      <c r="V104" s="56">
        <v>0</v>
      </c>
      <c r="W104" s="56">
        <v>0</v>
      </c>
      <c r="X104" s="56">
        <v>0</v>
      </c>
      <c r="Y104" s="56">
        <v>5055.3500000000004</v>
      </c>
      <c r="Z104" s="54" t="s">
        <v>462</v>
      </c>
      <c r="AA104" s="55">
        <f>Table13[[#This Row],[Expenses - Editorial]]+Table13[[#This Row],[Expenses - Revenue Generation]]+Table13[[#This Row],[Expenses - Tech]]+Table13[[#This Row],[Expenses - Admin]]</f>
        <v>10416134.23</v>
      </c>
      <c r="AB104" s="56">
        <v>1853960</v>
      </c>
      <c r="AC104" s="71">
        <f>SUM(Table13[[#This Row],[Expenses - Revenue Generation]:[Expenses - Admin]])</f>
        <v>8562174.2300000004</v>
      </c>
      <c r="AD104" s="56">
        <v>5000150</v>
      </c>
      <c r="AE104" s="56">
        <v>95454.23</v>
      </c>
      <c r="AF104" s="56">
        <v>3466570</v>
      </c>
      <c r="AG104" s="59">
        <f>Table13[[#This Row],[Total FTE - Editorial]]+Table13[[#This Row],[Total FTE - Non-Editorial]]</f>
        <v>43</v>
      </c>
      <c r="AH104" s="59">
        <f>Table13[[#This Row],[FTE Salaried - Editorial]]+Table13[[#This Row],[FTE Contractors - Editorial]]</f>
        <v>41</v>
      </c>
      <c r="AI104" s="57">
        <v>41</v>
      </c>
      <c r="AJ104" s="57">
        <v>0</v>
      </c>
      <c r="AK104" s="60">
        <f>Table13[[#This Row],[FTE Salaried - Non-Editorial]]+Table13[[#This Row],[FTE Contractors - Non-Editorial]]</f>
        <v>2</v>
      </c>
      <c r="AL104" s="57">
        <v>2</v>
      </c>
      <c r="AM104" s="57">
        <v>0</v>
      </c>
      <c r="AN104" s="54" t="s">
        <v>351</v>
      </c>
      <c r="AO104" s="54" t="s">
        <v>356</v>
      </c>
      <c r="AP104" s="54" t="s">
        <v>463</v>
      </c>
      <c r="AQ104" s="57">
        <v>12000</v>
      </c>
      <c r="AR104" s="57">
        <v>5300</v>
      </c>
      <c r="AS104" s="57">
        <v>0</v>
      </c>
      <c r="AT104" s="57">
        <v>0</v>
      </c>
      <c r="AU104" s="57">
        <v>0</v>
      </c>
      <c r="AV104" s="57">
        <v>0</v>
      </c>
      <c r="AW104" s="57">
        <v>0</v>
      </c>
      <c r="AX104" s="57"/>
      <c r="AY104" s="57">
        <v>0</v>
      </c>
    </row>
    <row r="105" spans="1:51" x14ac:dyDescent="0.2">
      <c r="A105" s="54">
        <v>518</v>
      </c>
      <c r="B105" s="54">
        <v>1993</v>
      </c>
      <c r="C105" s="91" t="s">
        <v>80</v>
      </c>
      <c r="D105" s="54" t="s">
        <v>6</v>
      </c>
      <c r="E105" s="54" t="s">
        <v>77</v>
      </c>
      <c r="F105" s="54" t="str">
        <f>_xlfn.CONCAT(Table13[[#This Row],[Geographic Scope]],": ",Table13[[#This Row],[Sub-Type/Focus]])</f>
        <v>National: General</v>
      </c>
      <c r="G105" s="54" t="str">
        <f>_xlfn.CONCAT(Table13[[#This Row],[Geographic Scope]],": ",Table13[[#This Row],[Sub-Type/Focus]],": ",Table13[[#This Row],[Content Type]])</f>
        <v>National: General: Explanatory &amp; Analysis</v>
      </c>
      <c r="H105" s="54" t="str">
        <f>_xlfn.CONCAT(Table13[[#This Row],[Geographic Scope]],": ",Table13[[#This Row],[Content Type]])</f>
        <v>National: Explanatory &amp; Analysis</v>
      </c>
      <c r="I105" s="55">
        <f>Table13[[#This Row],[Total Contributed Income]]+Table13[[#This Row],[Total Earned Income]]</f>
        <v>6067854</v>
      </c>
      <c r="J105" s="55">
        <f>Table13[[#This Row],[Cont. Income - Foundation]]+Table13[[#This Row],[Cont. Income - Membership]]+Table13[[#This Row],[Cont. Income - Small Donors]]+Table13[[#This Row],[Cont. Income - Med. Donors]]+Table13[[#This Row],[Cont. Income - Major Donors]]+Table13[[#This Row],[Cont. Income - Other]]</f>
        <v>6047019</v>
      </c>
      <c r="K105" s="55">
        <f>Table13[[#This Row],[Earned Income - Advertising]]+Table13[[#This Row],[Earned Income - Sponsorships/Underwriting]]+Table13[[#This Row],[Earned Income - Events]]+Table13[[#This Row],[Earned Income - Subscriptions]]+Table13[[#This Row],[Earned Income - Syndication]]+Table13[[#This Row],[Earned Income - Other]]</f>
        <v>20835</v>
      </c>
      <c r="L105" s="56">
        <v>4797599</v>
      </c>
      <c r="M105" s="56">
        <v>0</v>
      </c>
      <c r="N105" s="71">
        <f>SUM(Table13[[#This Row],[Cont. Income - Small Donors]:[Cont. Income - Major Donors]])</f>
        <v>135724</v>
      </c>
      <c r="O105" s="56">
        <v>26674</v>
      </c>
      <c r="P105" s="56">
        <v>30350</v>
      </c>
      <c r="Q105" s="56">
        <v>78700</v>
      </c>
      <c r="R105" s="56">
        <v>1113696</v>
      </c>
      <c r="S105" s="55" t="s">
        <v>464</v>
      </c>
      <c r="T105" s="56">
        <v>0</v>
      </c>
      <c r="U105" s="56">
        <v>0</v>
      </c>
      <c r="V105" s="56">
        <v>0</v>
      </c>
      <c r="W105" s="56">
        <v>0</v>
      </c>
      <c r="X105" s="56">
        <v>20835</v>
      </c>
      <c r="Y105" s="56">
        <v>0</v>
      </c>
      <c r="AA105" s="55">
        <f>Table13[[#This Row],[Expenses - Editorial]]+Table13[[#This Row],[Expenses - Revenue Generation]]+Table13[[#This Row],[Expenses - Tech]]+Table13[[#This Row],[Expenses - Admin]]</f>
        <v>6058303</v>
      </c>
      <c r="AB105" s="56">
        <v>3166840</v>
      </c>
      <c r="AC105" s="71">
        <f>SUM(Table13[[#This Row],[Expenses - Revenue Generation]:[Expenses - Admin]])</f>
        <v>2891463</v>
      </c>
      <c r="AD105" s="56">
        <v>275379</v>
      </c>
      <c r="AE105" s="56">
        <v>550754</v>
      </c>
      <c r="AF105" s="56">
        <v>2065330</v>
      </c>
      <c r="AG105" s="59">
        <f>Table13[[#This Row],[Total FTE - Editorial]]+Table13[[#This Row],[Total FTE - Non-Editorial]]</f>
        <v>44</v>
      </c>
      <c r="AH105" s="59">
        <f>Table13[[#This Row],[FTE Salaried - Editorial]]+Table13[[#This Row],[FTE Contractors - Editorial]]</f>
        <v>22</v>
      </c>
      <c r="AI105" s="57">
        <v>22</v>
      </c>
      <c r="AJ105" s="57">
        <v>0</v>
      </c>
      <c r="AK105" s="60">
        <f>Table13[[#This Row],[FTE Salaried - Non-Editorial]]+Table13[[#This Row],[FTE Contractors - Non-Editorial]]</f>
        <v>22</v>
      </c>
      <c r="AL105" s="57">
        <v>22</v>
      </c>
      <c r="AM105" s="57">
        <v>0</v>
      </c>
      <c r="AN105" s="54" t="s">
        <v>351</v>
      </c>
      <c r="AO105" s="54" t="s">
        <v>465</v>
      </c>
      <c r="AQ105" s="57">
        <v>50000</v>
      </c>
      <c r="AR105" s="57">
        <v>4738</v>
      </c>
      <c r="AS105" s="57">
        <v>0</v>
      </c>
      <c r="AT105" s="57">
        <v>0</v>
      </c>
      <c r="AU105" s="57">
        <v>0</v>
      </c>
      <c r="AV105" s="57">
        <v>21000000</v>
      </c>
      <c r="AW105" s="57">
        <v>0</v>
      </c>
      <c r="AX105" s="57"/>
      <c r="AY105" s="57">
        <v>26299</v>
      </c>
    </row>
    <row r="106" spans="1:51" x14ac:dyDescent="0.2">
      <c r="A106" s="54">
        <v>85</v>
      </c>
      <c r="B106" s="54">
        <v>2017</v>
      </c>
      <c r="C106" s="91" t="s">
        <v>80</v>
      </c>
      <c r="D106" s="54" t="s">
        <v>6</v>
      </c>
      <c r="E106" s="54" t="s">
        <v>78</v>
      </c>
      <c r="F106" s="54" t="str">
        <f>_xlfn.CONCAT(Table13[[#This Row],[Geographic Scope]],": ",Table13[[#This Row],[Sub-Type/Focus]])</f>
        <v>National: Multiple Related Topics</v>
      </c>
      <c r="G106" s="54" t="str">
        <f>_xlfn.CONCAT(Table13[[#This Row],[Geographic Scope]],": ",Table13[[#This Row],[Sub-Type/Focus]],": ",Table13[[#This Row],[Content Type]])</f>
        <v>National: Multiple Related Topics: Explanatory &amp; Analysis</v>
      </c>
      <c r="H106" s="54" t="str">
        <f>_xlfn.CONCAT(Table13[[#This Row],[Geographic Scope]],": ",Table13[[#This Row],[Content Type]])</f>
        <v>National: Explanatory &amp; Analysis</v>
      </c>
      <c r="I106" s="55">
        <f>Table13[[#This Row],[Total Contributed Income]]+Table13[[#This Row],[Total Earned Income]]</f>
        <v>904884</v>
      </c>
      <c r="J106" s="55">
        <f>Table13[[#This Row],[Cont. Income - Foundation]]+Table13[[#This Row],[Cont. Income - Membership]]+Table13[[#This Row],[Cont. Income - Small Donors]]+Table13[[#This Row],[Cont. Income - Med. Donors]]+Table13[[#This Row],[Cont. Income - Major Donors]]+Table13[[#This Row],[Cont. Income - Other]]</f>
        <v>876424</v>
      </c>
      <c r="K106" s="55">
        <f>Table13[[#This Row],[Earned Income - Advertising]]+Table13[[#This Row],[Earned Income - Sponsorships/Underwriting]]+Table13[[#This Row],[Earned Income - Events]]+Table13[[#This Row],[Earned Income - Subscriptions]]+Table13[[#This Row],[Earned Income - Syndication]]+Table13[[#This Row],[Earned Income - Other]]</f>
        <v>28460</v>
      </c>
      <c r="L106" s="56">
        <v>824500</v>
      </c>
      <c r="M106" s="56">
        <v>0</v>
      </c>
      <c r="N106" s="71">
        <f>SUM(Table13[[#This Row],[Cont. Income - Small Donors]:[Cont. Income - Major Donors]])</f>
        <v>51924</v>
      </c>
      <c r="O106" s="56">
        <v>35424</v>
      </c>
      <c r="P106" s="56">
        <v>11500</v>
      </c>
      <c r="Q106" s="56">
        <v>5000</v>
      </c>
      <c r="R106" s="56">
        <v>0</v>
      </c>
      <c r="T106" s="56">
        <v>0</v>
      </c>
      <c r="U106" s="56">
        <v>0</v>
      </c>
      <c r="V106" s="56">
        <v>28460</v>
      </c>
      <c r="W106" s="56">
        <v>0</v>
      </c>
      <c r="X106" s="56">
        <v>0</v>
      </c>
      <c r="Y106" s="56">
        <v>0</v>
      </c>
      <c r="AA106" s="55">
        <f>Table13[[#This Row],[Expenses - Editorial]]+Table13[[#This Row],[Expenses - Revenue Generation]]+Table13[[#This Row],[Expenses - Tech]]+Table13[[#This Row],[Expenses - Admin]]</f>
        <v>868580</v>
      </c>
      <c r="AB106" s="56">
        <v>691260</v>
      </c>
      <c r="AC106" s="71">
        <f>SUM(Table13[[#This Row],[Expenses - Revenue Generation]:[Expenses - Admin]])</f>
        <v>177320</v>
      </c>
      <c r="AD106" s="56">
        <v>58160</v>
      </c>
      <c r="AE106" s="56">
        <v>39150</v>
      </c>
      <c r="AF106" s="56">
        <v>80010</v>
      </c>
      <c r="AG106" s="59">
        <f>Table13[[#This Row],[Total FTE - Editorial]]+Table13[[#This Row],[Total FTE - Non-Editorial]]</f>
        <v>8</v>
      </c>
      <c r="AH106" s="59">
        <f>Table13[[#This Row],[FTE Salaried - Editorial]]+Table13[[#This Row],[FTE Contractors - Editorial]]</f>
        <v>7</v>
      </c>
      <c r="AI106" s="57">
        <v>4</v>
      </c>
      <c r="AJ106" s="57">
        <v>3</v>
      </c>
      <c r="AK106" s="60">
        <f>Table13[[#This Row],[FTE Salaried - Non-Editorial]]+Table13[[#This Row],[FTE Contractors - Non-Editorial]]</f>
        <v>1</v>
      </c>
      <c r="AL106" s="57">
        <v>1</v>
      </c>
      <c r="AM106" s="57">
        <v>0</v>
      </c>
      <c r="AN106" s="54" t="s">
        <v>351</v>
      </c>
      <c r="AO106" s="54" t="s">
        <v>359</v>
      </c>
      <c r="AQ106" s="57">
        <v>67000</v>
      </c>
      <c r="AR106" s="57">
        <v>12400</v>
      </c>
      <c r="AS106" s="57">
        <v>0</v>
      </c>
      <c r="AT106" s="57">
        <v>0</v>
      </c>
      <c r="AU106" s="57">
        <v>0</v>
      </c>
      <c r="AV106" s="57">
        <v>0</v>
      </c>
      <c r="AW106" s="57">
        <v>0</v>
      </c>
      <c r="AX106" s="57"/>
      <c r="AY106" s="57">
        <v>0</v>
      </c>
    </row>
    <row r="107" spans="1:51" x14ac:dyDescent="0.2">
      <c r="A107" s="54">
        <v>354</v>
      </c>
      <c r="B107" s="54">
        <v>2009</v>
      </c>
      <c r="C107" s="91" t="s">
        <v>80</v>
      </c>
      <c r="D107" s="54" t="s">
        <v>6</v>
      </c>
      <c r="E107" s="54" t="s">
        <v>78</v>
      </c>
      <c r="F107" s="54" t="str">
        <f>_xlfn.CONCAT(Table13[[#This Row],[Geographic Scope]],": ",Table13[[#This Row],[Sub-Type/Focus]])</f>
        <v>National: Multiple Related Topics</v>
      </c>
      <c r="G107" s="54" t="str">
        <f>_xlfn.CONCAT(Table13[[#This Row],[Geographic Scope]],": ",Table13[[#This Row],[Sub-Type/Focus]],": ",Table13[[#This Row],[Content Type]])</f>
        <v>National: Multiple Related Topics: Explanatory &amp; Analysis</v>
      </c>
      <c r="H107" s="54" t="str">
        <f>_xlfn.CONCAT(Table13[[#This Row],[Geographic Scope]],": ",Table13[[#This Row],[Content Type]])</f>
        <v>National: Explanatory &amp; Analysis</v>
      </c>
      <c r="I107" s="55">
        <f>Table13[[#This Row],[Total Contributed Income]]+Table13[[#This Row],[Total Earned Income]]</f>
        <v>749760</v>
      </c>
      <c r="J107" s="55">
        <f>Table13[[#This Row],[Cont. Income - Foundation]]+Table13[[#This Row],[Cont. Income - Membership]]+Table13[[#This Row],[Cont. Income - Small Donors]]+Table13[[#This Row],[Cont. Income - Med. Donors]]+Table13[[#This Row],[Cont. Income - Major Donors]]+Table13[[#This Row],[Cont. Income - Other]]</f>
        <v>634500</v>
      </c>
      <c r="K107" s="55">
        <f>Table13[[#This Row],[Earned Income - Advertising]]+Table13[[#This Row],[Earned Income - Sponsorships/Underwriting]]+Table13[[#This Row],[Earned Income - Events]]+Table13[[#This Row],[Earned Income - Subscriptions]]+Table13[[#This Row],[Earned Income - Syndication]]+Table13[[#This Row],[Earned Income - Other]]</f>
        <v>115260</v>
      </c>
      <c r="L107" s="56">
        <v>549000</v>
      </c>
      <c r="M107" s="56">
        <v>0</v>
      </c>
      <c r="N107" s="71">
        <f>SUM(Table13[[#This Row],[Cont. Income - Small Donors]:[Cont. Income - Major Donors]])</f>
        <v>75500</v>
      </c>
      <c r="O107" s="56">
        <v>28050</v>
      </c>
      <c r="P107" s="56">
        <v>17450</v>
      </c>
      <c r="Q107" s="56">
        <v>30000</v>
      </c>
      <c r="R107" s="56">
        <v>10000</v>
      </c>
      <c r="S107" s="55" t="s">
        <v>466</v>
      </c>
      <c r="T107" s="56">
        <v>0</v>
      </c>
      <c r="U107" s="56">
        <v>11000</v>
      </c>
      <c r="V107" s="56">
        <v>0</v>
      </c>
      <c r="W107" s="56">
        <v>94760</v>
      </c>
      <c r="X107" s="56">
        <v>4500</v>
      </c>
      <c r="Y107" s="56">
        <v>5000</v>
      </c>
      <c r="Z107" s="54" t="s">
        <v>467</v>
      </c>
      <c r="AA107" s="55">
        <f>Table13[[#This Row],[Expenses - Editorial]]+Table13[[#This Row],[Expenses - Revenue Generation]]+Table13[[#This Row],[Expenses - Tech]]+Table13[[#This Row],[Expenses - Admin]]</f>
        <v>521000</v>
      </c>
      <c r="AB107" s="56">
        <v>421000</v>
      </c>
      <c r="AC107" s="71">
        <f>SUM(Table13[[#This Row],[Expenses - Revenue Generation]:[Expenses - Admin]])</f>
        <v>100000</v>
      </c>
      <c r="AD107" s="56">
        <v>0</v>
      </c>
      <c r="AE107" s="56">
        <v>0</v>
      </c>
      <c r="AF107" s="56">
        <v>100000</v>
      </c>
      <c r="AG107" s="59">
        <f>Table13[[#This Row],[Total FTE - Editorial]]+Table13[[#This Row],[Total FTE - Non-Editorial]]</f>
        <v>2.5</v>
      </c>
      <c r="AH107" s="59">
        <f>Table13[[#This Row],[FTE Salaried - Editorial]]+Table13[[#This Row],[FTE Contractors - Editorial]]</f>
        <v>2.5</v>
      </c>
      <c r="AI107" s="57">
        <v>0</v>
      </c>
      <c r="AJ107" s="57">
        <v>2.5</v>
      </c>
      <c r="AK107" s="60">
        <f>Table13[[#This Row],[FTE Salaried - Non-Editorial]]+Table13[[#This Row],[FTE Contractors - Non-Editorial]]</f>
        <v>0</v>
      </c>
      <c r="AL107" s="57">
        <v>0</v>
      </c>
      <c r="AM107" s="57">
        <v>0</v>
      </c>
      <c r="AN107" s="54" t="s">
        <v>351</v>
      </c>
      <c r="AQ107" s="57">
        <v>180605</v>
      </c>
      <c r="AR107" s="57">
        <v>10802</v>
      </c>
      <c r="AS107" s="57">
        <v>0</v>
      </c>
      <c r="AT107" s="57">
        <v>0</v>
      </c>
      <c r="AU107" s="57">
        <v>0</v>
      </c>
      <c r="AV107" s="57">
        <v>0</v>
      </c>
      <c r="AW107" s="57">
        <v>0</v>
      </c>
      <c r="AX107" s="57"/>
      <c r="AY107" s="57">
        <v>0</v>
      </c>
    </row>
    <row r="108" spans="1:51" x14ac:dyDescent="0.2">
      <c r="A108" s="54">
        <v>368</v>
      </c>
      <c r="B108" s="54">
        <v>2010</v>
      </c>
      <c r="C108" s="91" t="s">
        <v>80</v>
      </c>
      <c r="D108" s="54" t="s">
        <v>6</v>
      </c>
      <c r="E108" s="54" t="s">
        <v>78</v>
      </c>
      <c r="F108" s="54" t="str">
        <f>_xlfn.CONCAT(Table13[[#This Row],[Geographic Scope]],": ",Table13[[#This Row],[Sub-Type/Focus]])</f>
        <v>National: Multiple Related Topics</v>
      </c>
      <c r="G108" s="54" t="str">
        <f>_xlfn.CONCAT(Table13[[#This Row],[Geographic Scope]],": ",Table13[[#This Row],[Sub-Type/Focus]],": ",Table13[[#This Row],[Content Type]])</f>
        <v>National: Multiple Related Topics: Explanatory &amp; Analysis</v>
      </c>
      <c r="H108" s="54" t="str">
        <f>_xlfn.CONCAT(Table13[[#This Row],[Geographic Scope]],": ",Table13[[#This Row],[Content Type]])</f>
        <v>National: Explanatory &amp; Analysis</v>
      </c>
      <c r="I108" s="55">
        <f>Table13[[#This Row],[Total Contributed Income]]+Table13[[#This Row],[Total Earned Income]]</f>
        <v>431110</v>
      </c>
      <c r="J108" s="55">
        <f>Table13[[#This Row],[Cont. Income - Foundation]]+Table13[[#This Row],[Cont. Income - Membership]]+Table13[[#This Row],[Cont. Income - Small Donors]]+Table13[[#This Row],[Cont. Income - Med. Donors]]+Table13[[#This Row],[Cont. Income - Major Donors]]+Table13[[#This Row],[Cont. Income - Other]]</f>
        <v>427710</v>
      </c>
      <c r="K108" s="55">
        <f>Table13[[#This Row],[Earned Income - Advertising]]+Table13[[#This Row],[Earned Income - Sponsorships/Underwriting]]+Table13[[#This Row],[Earned Income - Events]]+Table13[[#This Row],[Earned Income - Subscriptions]]+Table13[[#This Row],[Earned Income - Syndication]]+Table13[[#This Row],[Earned Income - Other]]</f>
        <v>3400</v>
      </c>
      <c r="L108" s="56">
        <v>100000</v>
      </c>
      <c r="M108" s="56">
        <v>0</v>
      </c>
      <c r="N108" s="71">
        <f>SUM(Table13[[#This Row],[Cont. Income - Small Donors]:[Cont. Income - Major Donors]])</f>
        <v>267410</v>
      </c>
      <c r="O108" s="56">
        <v>40000</v>
      </c>
      <c r="P108" s="56">
        <v>18750</v>
      </c>
      <c r="Q108" s="56">
        <v>208660</v>
      </c>
      <c r="R108" s="56">
        <v>60300</v>
      </c>
      <c r="S108" s="55" t="s">
        <v>430</v>
      </c>
      <c r="T108" s="56">
        <v>0</v>
      </c>
      <c r="U108" s="56">
        <v>0</v>
      </c>
      <c r="V108" s="56">
        <v>0</v>
      </c>
      <c r="W108" s="56">
        <v>0</v>
      </c>
      <c r="X108" s="56">
        <v>1500</v>
      </c>
      <c r="Y108" s="56">
        <v>1900</v>
      </c>
      <c r="Z108" s="54" t="s">
        <v>362</v>
      </c>
      <c r="AA108" s="55">
        <f>Table13[[#This Row],[Expenses - Editorial]]+Table13[[#This Row],[Expenses - Revenue Generation]]+Table13[[#This Row],[Expenses - Tech]]+Table13[[#This Row],[Expenses - Admin]]</f>
        <v>437300</v>
      </c>
      <c r="AB108" s="56">
        <v>375000</v>
      </c>
      <c r="AC108" s="71">
        <f>SUM(Table13[[#This Row],[Expenses - Revenue Generation]:[Expenses - Admin]])</f>
        <v>62300</v>
      </c>
      <c r="AD108" s="56">
        <v>25000</v>
      </c>
      <c r="AE108" s="56">
        <v>7300</v>
      </c>
      <c r="AF108" s="56">
        <v>30000</v>
      </c>
      <c r="AG108" s="59">
        <f>Table13[[#This Row],[Total FTE - Editorial]]+Table13[[#This Row],[Total FTE - Non-Editorial]]</f>
        <v>4</v>
      </c>
      <c r="AH108" s="59">
        <f>Table13[[#This Row],[FTE Salaried - Editorial]]+Table13[[#This Row],[FTE Contractors - Editorial]]</f>
        <v>4</v>
      </c>
      <c r="AI108" s="57">
        <v>3</v>
      </c>
      <c r="AJ108" s="57">
        <v>1</v>
      </c>
      <c r="AK108" s="60">
        <f>Table13[[#This Row],[FTE Salaried - Non-Editorial]]+Table13[[#This Row],[FTE Contractors - Non-Editorial]]</f>
        <v>0</v>
      </c>
      <c r="AL108" s="57">
        <v>0</v>
      </c>
      <c r="AM108" s="57">
        <v>0</v>
      </c>
      <c r="AN108" s="54" t="s">
        <v>351</v>
      </c>
      <c r="AQ108" s="57">
        <v>22000</v>
      </c>
      <c r="AR108" s="57">
        <v>5100</v>
      </c>
      <c r="AS108" s="57">
        <v>0</v>
      </c>
      <c r="AT108" s="57">
        <v>0</v>
      </c>
      <c r="AU108" s="57">
        <v>0</v>
      </c>
      <c r="AV108" s="57">
        <v>0</v>
      </c>
      <c r="AW108" s="57">
        <v>0</v>
      </c>
      <c r="AX108" s="57"/>
      <c r="AY108" s="57">
        <v>0</v>
      </c>
    </row>
    <row r="109" spans="1:51" x14ac:dyDescent="0.2">
      <c r="A109" s="54">
        <v>416</v>
      </c>
      <c r="B109" s="54">
        <v>1976</v>
      </c>
      <c r="C109" s="91" t="s">
        <v>80</v>
      </c>
      <c r="D109" s="54" t="s">
        <v>6</v>
      </c>
      <c r="E109" s="54" t="s">
        <v>78</v>
      </c>
      <c r="F109" s="54" t="str">
        <f>_xlfn.CONCAT(Table13[[#This Row],[Geographic Scope]],": ",Table13[[#This Row],[Sub-Type/Focus]])</f>
        <v>National: Multiple Related Topics</v>
      </c>
      <c r="G109" s="54" t="str">
        <f>_xlfn.CONCAT(Table13[[#This Row],[Geographic Scope]],": ",Table13[[#This Row],[Sub-Type/Focus]],": ",Table13[[#This Row],[Content Type]])</f>
        <v>National: Multiple Related Topics: Explanatory &amp; Analysis</v>
      </c>
      <c r="H109" s="54" t="str">
        <f>_xlfn.CONCAT(Table13[[#This Row],[Geographic Scope]],": ",Table13[[#This Row],[Content Type]])</f>
        <v>National: Explanatory &amp; Analysis</v>
      </c>
      <c r="I109" s="55">
        <f>Table13[[#This Row],[Total Contributed Income]]+Table13[[#This Row],[Total Earned Income]]</f>
        <v>0</v>
      </c>
      <c r="J109" s="55">
        <f>Table13[[#This Row],[Cont. Income - Foundation]]+Table13[[#This Row],[Cont. Income - Membership]]+Table13[[#This Row],[Cont. Income - Small Donors]]+Table13[[#This Row],[Cont. Income - Med. Donors]]+Table13[[#This Row],[Cont. Income - Major Donors]]+Table13[[#This Row],[Cont. Income - Other]]</f>
        <v>0</v>
      </c>
      <c r="K109" s="55">
        <f>Table13[[#This Row],[Earned Income - Advertising]]+Table13[[#This Row],[Earned Income - Sponsorships/Underwriting]]+Table13[[#This Row],[Earned Income - Events]]+Table13[[#This Row],[Earned Income - Subscriptions]]+Table13[[#This Row],[Earned Income - Syndication]]+Table13[[#This Row],[Earned Income - Other]]</f>
        <v>0</v>
      </c>
      <c r="L109" s="56"/>
      <c r="M109" s="56"/>
      <c r="N109" s="71">
        <f>SUM(Table13[[#This Row],[Cont. Income - Small Donors]:[Cont. Income - Major Donors]])</f>
        <v>0</v>
      </c>
      <c r="O109" s="56"/>
      <c r="P109" s="56"/>
      <c r="Q109" s="56"/>
      <c r="R109" s="56"/>
      <c r="T109" s="56"/>
      <c r="U109" s="56"/>
      <c r="V109" s="56"/>
      <c r="W109" s="56"/>
      <c r="X109" s="56"/>
      <c r="Y109" s="56"/>
      <c r="AA109" s="55">
        <f>Table13[[#This Row],[Expenses - Editorial]]+Table13[[#This Row],[Expenses - Revenue Generation]]+Table13[[#This Row],[Expenses - Tech]]+Table13[[#This Row],[Expenses - Admin]]</f>
        <v>0</v>
      </c>
      <c r="AB109" s="56"/>
      <c r="AC109" s="71">
        <f>SUM(Table13[[#This Row],[Expenses - Revenue Generation]:[Expenses - Admin]])</f>
        <v>0</v>
      </c>
      <c r="AD109" s="56"/>
      <c r="AE109" s="56"/>
      <c r="AF109" s="56"/>
      <c r="AG109" s="59">
        <f>Table13[[#This Row],[Total FTE - Editorial]]+Table13[[#This Row],[Total FTE - Non-Editorial]]</f>
        <v>98.5</v>
      </c>
      <c r="AH109" s="59">
        <f>Table13[[#This Row],[FTE Salaried - Editorial]]+Table13[[#This Row],[FTE Contractors - Editorial]]</f>
        <v>59</v>
      </c>
      <c r="AI109" s="57">
        <v>53</v>
      </c>
      <c r="AJ109" s="57">
        <v>6</v>
      </c>
      <c r="AK109" s="60">
        <f>Table13[[#This Row],[FTE Salaried - Non-Editorial]]+Table13[[#This Row],[FTE Contractors - Non-Editorial]]</f>
        <v>39.5</v>
      </c>
      <c r="AL109" s="57">
        <v>39</v>
      </c>
      <c r="AM109" s="57">
        <v>0.5</v>
      </c>
      <c r="AN109" s="54" t="s">
        <v>352</v>
      </c>
      <c r="AO109" s="54" t="s">
        <v>468</v>
      </c>
      <c r="AQ109" s="57">
        <v>6993175</v>
      </c>
      <c r="AR109" s="57">
        <v>308026</v>
      </c>
      <c r="AS109" s="57">
        <v>1131995</v>
      </c>
      <c r="AT109" s="57">
        <v>6</v>
      </c>
      <c r="AU109" s="57">
        <v>0</v>
      </c>
      <c r="AV109" s="57">
        <v>0</v>
      </c>
      <c r="AW109" s="57">
        <v>0</v>
      </c>
      <c r="AX109" s="57"/>
      <c r="AY109" s="57">
        <v>160000</v>
      </c>
    </row>
    <row r="110" spans="1:51" x14ac:dyDescent="0.2">
      <c r="A110" s="54">
        <v>428</v>
      </c>
      <c r="B110" s="54">
        <v>1999</v>
      </c>
      <c r="C110" s="91" t="s">
        <v>80</v>
      </c>
      <c r="D110" s="54" t="s">
        <v>6</v>
      </c>
      <c r="E110" s="54" t="s">
        <v>78</v>
      </c>
      <c r="F110" s="54" t="str">
        <f>_xlfn.CONCAT(Table13[[#This Row],[Geographic Scope]],": ",Table13[[#This Row],[Sub-Type/Focus]])</f>
        <v>National: Multiple Related Topics</v>
      </c>
      <c r="G110" s="54" t="str">
        <f>_xlfn.CONCAT(Table13[[#This Row],[Geographic Scope]],": ",Table13[[#This Row],[Sub-Type/Focus]],": ",Table13[[#This Row],[Content Type]])</f>
        <v>National: Multiple Related Topics: Explanatory &amp; Analysis</v>
      </c>
      <c r="H110" s="54" t="str">
        <f>_xlfn.CONCAT(Table13[[#This Row],[Geographic Scope]],": ",Table13[[#This Row],[Content Type]])</f>
        <v>National: Explanatory &amp; Analysis</v>
      </c>
      <c r="I110" s="55">
        <f>Table13[[#This Row],[Total Contributed Income]]+Table13[[#This Row],[Total Earned Income]]</f>
        <v>2172500</v>
      </c>
      <c r="J110" s="55">
        <f>Table13[[#This Row],[Cont. Income - Foundation]]+Table13[[#This Row],[Cont. Income - Membership]]+Table13[[#This Row],[Cont. Income - Small Donors]]+Table13[[#This Row],[Cont. Income - Med. Donors]]+Table13[[#This Row],[Cont. Income - Major Donors]]+Table13[[#This Row],[Cont. Income - Other]]</f>
        <v>1235500</v>
      </c>
      <c r="K110" s="55">
        <f>Table13[[#This Row],[Earned Income - Advertising]]+Table13[[#This Row],[Earned Income - Sponsorships/Underwriting]]+Table13[[#This Row],[Earned Income - Events]]+Table13[[#This Row],[Earned Income - Subscriptions]]+Table13[[#This Row],[Earned Income - Syndication]]+Table13[[#This Row],[Earned Income - Other]]</f>
        <v>937000</v>
      </c>
      <c r="L110" s="56">
        <v>850000</v>
      </c>
      <c r="M110" s="56">
        <v>372000</v>
      </c>
      <c r="N110" s="71">
        <f>SUM(Table13[[#This Row],[Cont. Income - Small Donors]:[Cont. Income - Major Donors]])</f>
        <v>13500</v>
      </c>
      <c r="O110" s="56">
        <v>8000</v>
      </c>
      <c r="P110" s="56">
        <v>5500</v>
      </c>
      <c r="Q110" s="56">
        <v>0</v>
      </c>
      <c r="R110" s="56">
        <v>0</v>
      </c>
      <c r="T110" s="56">
        <v>725000</v>
      </c>
      <c r="U110" s="56">
        <v>0</v>
      </c>
      <c r="V110" s="56">
        <v>0</v>
      </c>
      <c r="W110" s="56">
        <v>146000</v>
      </c>
      <c r="X110" s="56">
        <v>66000</v>
      </c>
      <c r="Y110" s="56">
        <v>0</v>
      </c>
      <c r="AA110" s="55">
        <f>Table13[[#This Row],[Expenses - Editorial]]+Table13[[#This Row],[Expenses - Revenue Generation]]+Table13[[#This Row],[Expenses - Tech]]+Table13[[#This Row],[Expenses - Admin]]</f>
        <v>2352367</v>
      </c>
      <c r="AB110" s="56">
        <v>1500000</v>
      </c>
      <c r="AC110" s="71">
        <f>SUM(Table13[[#This Row],[Expenses - Revenue Generation]:[Expenses - Admin]])</f>
        <v>852367</v>
      </c>
      <c r="AD110" s="56">
        <v>549000</v>
      </c>
      <c r="AE110" s="56">
        <v>100000</v>
      </c>
      <c r="AF110" s="56">
        <v>203367</v>
      </c>
      <c r="AG110" s="59">
        <f>Table13[[#This Row],[Total FTE - Editorial]]+Table13[[#This Row],[Total FTE - Non-Editorial]]</f>
        <v>12</v>
      </c>
      <c r="AH110" s="59">
        <f>Table13[[#This Row],[FTE Salaried - Editorial]]+Table13[[#This Row],[FTE Contractors - Editorial]]</f>
        <v>6</v>
      </c>
      <c r="AI110" s="57">
        <v>6</v>
      </c>
      <c r="AJ110" s="57">
        <v>0</v>
      </c>
      <c r="AK110" s="60">
        <f>Table13[[#This Row],[FTE Salaried - Non-Editorial]]+Table13[[#This Row],[FTE Contractors - Non-Editorial]]</f>
        <v>6</v>
      </c>
      <c r="AL110" s="57">
        <v>4</v>
      </c>
      <c r="AM110" s="57">
        <v>2</v>
      </c>
      <c r="AN110" s="54" t="s">
        <v>352</v>
      </c>
      <c r="AO110" s="54" t="s">
        <v>468</v>
      </c>
      <c r="AQ110" s="57">
        <v>350000</v>
      </c>
      <c r="AR110" s="57">
        <v>71000</v>
      </c>
      <c r="AS110" s="57">
        <v>4000</v>
      </c>
      <c r="AT110" s="57">
        <v>4</v>
      </c>
      <c r="AU110" s="57">
        <v>0</v>
      </c>
      <c r="AV110" s="57">
        <v>0</v>
      </c>
      <c r="AW110" s="57">
        <v>0</v>
      </c>
      <c r="AX110" s="57"/>
      <c r="AY110" s="57">
        <v>10000</v>
      </c>
    </row>
    <row r="111" spans="1:51" x14ac:dyDescent="0.2">
      <c r="A111" s="54">
        <v>480</v>
      </c>
      <c r="B111" s="54">
        <v>1897</v>
      </c>
      <c r="C111" s="91" t="s">
        <v>80</v>
      </c>
      <c r="D111" s="54" t="s">
        <v>6</v>
      </c>
      <c r="E111" s="54" t="s">
        <v>78</v>
      </c>
      <c r="F111" s="54" t="str">
        <f>_xlfn.CONCAT(Table13[[#This Row],[Geographic Scope]],": ",Table13[[#This Row],[Sub-Type/Focus]])</f>
        <v>National: Multiple Related Topics</v>
      </c>
      <c r="G111" s="54" t="str">
        <f>_xlfn.CONCAT(Table13[[#This Row],[Geographic Scope]],": ",Table13[[#This Row],[Sub-Type/Focus]],": ",Table13[[#This Row],[Content Type]])</f>
        <v>National: Multiple Related Topics: Explanatory &amp; Analysis</v>
      </c>
      <c r="H111" s="54" t="str">
        <f>_xlfn.CONCAT(Table13[[#This Row],[Geographic Scope]],": ",Table13[[#This Row],[Content Type]])</f>
        <v>National: Explanatory &amp; Analysis</v>
      </c>
      <c r="I111" s="55">
        <f>Table13[[#This Row],[Total Contributed Income]]+Table13[[#This Row],[Total Earned Income]]</f>
        <v>4489425.55</v>
      </c>
      <c r="J111" s="55">
        <f>Table13[[#This Row],[Cont. Income - Foundation]]+Table13[[#This Row],[Cont. Income - Membership]]+Table13[[#This Row],[Cont. Income - Small Donors]]+Table13[[#This Row],[Cont. Income - Med. Donors]]+Table13[[#This Row],[Cont. Income - Major Donors]]+Table13[[#This Row],[Cont. Income - Other]]</f>
        <v>3168155.55</v>
      </c>
      <c r="K111" s="55">
        <f>Table13[[#This Row],[Earned Income - Advertising]]+Table13[[#This Row],[Earned Income - Sponsorships/Underwriting]]+Table13[[#This Row],[Earned Income - Events]]+Table13[[#This Row],[Earned Income - Subscriptions]]+Table13[[#This Row],[Earned Income - Syndication]]+Table13[[#This Row],[Earned Income - Other]]</f>
        <v>1321270</v>
      </c>
      <c r="L111" s="56">
        <v>917700</v>
      </c>
      <c r="M111" s="56">
        <v>0</v>
      </c>
      <c r="N111" s="71">
        <f>SUM(Table13[[#This Row],[Cont. Income - Small Donors]:[Cont. Income - Major Donors]])</f>
        <v>1654253.55</v>
      </c>
      <c r="O111" s="56">
        <v>356092.75</v>
      </c>
      <c r="P111" s="56">
        <v>160610.79999999999</v>
      </c>
      <c r="Q111" s="56">
        <v>1137550</v>
      </c>
      <c r="R111" s="56">
        <v>596202</v>
      </c>
      <c r="S111" s="55" t="s">
        <v>469</v>
      </c>
      <c r="T111" s="56">
        <v>318000</v>
      </c>
      <c r="U111" s="56">
        <v>0</v>
      </c>
      <c r="V111" s="56">
        <v>227270</v>
      </c>
      <c r="W111" s="56">
        <v>655000</v>
      </c>
      <c r="X111" s="56">
        <v>0</v>
      </c>
      <c r="Y111" s="56">
        <v>121000</v>
      </c>
      <c r="Z111" s="54" t="s">
        <v>470</v>
      </c>
      <c r="AA111" s="55">
        <f>Table13[[#This Row],[Expenses - Editorial]]+Table13[[#This Row],[Expenses - Revenue Generation]]+Table13[[#This Row],[Expenses - Tech]]+Table13[[#This Row],[Expenses - Admin]]</f>
        <v>5634060</v>
      </c>
      <c r="AB111" s="56">
        <v>2017712</v>
      </c>
      <c r="AC111" s="71">
        <f>SUM(Table13[[#This Row],[Expenses - Revenue Generation]:[Expenses - Admin]])</f>
        <v>3616348</v>
      </c>
      <c r="AD111" s="56">
        <v>1075780</v>
      </c>
      <c r="AE111" s="56">
        <v>937511</v>
      </c>
      <c r="AF111" s="56">
        <v>1603057</v>
      </c>
      <c r="AG111" s="59">
        <f>Table13[[#This Row],[Total FTE - Editorial]]+Table13[[#This Row],[Total FTE - Non-Editorial]]</f>
        <v>29.6</v>
      </c>
      <c r="AH111" s="59">
        <f>Table13[[#This Row],[FTE Salaried - Editorial]]+Table13[[#This Row],[FTE Contractors - Editorial]]</f>
        <v>14.4</v>
      </c>
      <c r="AI111" s="57">
        <v>14.4</v>
      </c>
      <c r="AJ111" s="57">
        <v>0</v>
      </c>
      <c r="AK111" s="60">
        <f>Table13[[#This Row],[FTE Salaried - Non-Editorial]]+Table13[[#This Row],[FTE Contractors - Non-Editorial]]</f>
        <v>15.2</v>
      </c>
      <c r="AL111" s="57">
        <v>13.5</v>
      </c>
      <c r="AM111" s="57">
        <v>1.7</v>
      </c>
      <c r="AN111" s="54" t="s">
        <v>351</v>
      </c>
      <c r="AQ111" s="57">
        <v>1860888</v>
      </c>
      <c r="AR111" s="57">
        <v>153551</v>
      </c>
      <c r="AS111" s="57">
        <v>0</v>
      </c>
      <c r="AT111" s="57">
        <v>0</v>
      </c>
      <c r="AU111" s="57">
        <v>0</v>
      </c>
      <c r="AV111" s="57">
        <v>0</v>
      </c>
      <c r="AW111" s="57">
        <v>0</v>
      </c>
      <c r="AX111" s="57"/>
      <c r="AY111" s="57">
        <v>0</v>
      </c>
    </row>
    <row r="112" spans="1:51" x14ac:dyDescent="0.2">
      <c r="A112" s="54">
        <v>3068</v>
      </c>
      <c r="B112" s="54">
        <v>2019</v>
      </c>
      <c r="C112" s="91" t="s">
        <v>80</v>
      </c>
      <c r="D112" s="54" t="s">
        <v>6</v>
      </c>
      <c r="E112" s="54" t="s">
        <v>78</v>
      </c>
      <c r="F112" s="54" t="str">
        <f>_xlfn.CONCAT(Table13[[#This Row],[Geographic Scope]],": ",Table13[[#This Row],[Sub-Type/Focus]])</f>
        <v>National: Multiple Related Topics</v>
      </c>
      <c r="G112" s="54" t="str">
        <f>_xlfn.CONCAT(Table13[[#This Row],[Geographic Scope]],": ",Table13[[#This Row],[Sub-Type/Focus]],": ",Table13[[#This Row],[Content Type]])</f>
        <v>National: Multiple Related Topics: Explanatory &amp; Analysis</v>
      </c>
      <c r="H112" s="54" t="str">
        <f>_xlfn.CONCAT(Table13[[#This Row],[Geographic Scope]],": ",Table13[[#This Row],[Content Type]])</f>
        <v>National: Explanatory &amp; Analysis</v>
      </c>
      <c r="I112" s="55">
        <f>Table13[[#This Row],[Total Contributed Income]]+Table13[[#This Row],[Total Earned Income]]</f>
        <v>496478.11</v>
      </c>
      <c r="J112" s="55">
        <f>Table13[[#This Row],[Cont. Income - Foundation]]+Table13[[#This Row],[Cont. Income - Membership]]+Table13[[#This Row],[Cont. Income - Small Donors]]+Table13[[#This Row],[Cont. Income - Med. Donors]]+Table13[[#This Row],[Cont. Income - Major Donors]]+Table13[[#This Row],[Cont. Income - Other]]</f>
        <v>319964.38</v>
      </c>
      <c r="K112" s="55">
        <f>Table13[[#This Row],[Earned Income - Advertising]]+Table13[[#This Row],[Earned Income - Sponsorships/Underwriting]]+Table13[[#This Row],[Earned Income - Events]]+Table13[[#This Row],[Earned Income - Subscriptions]]+Table13[[#This Row],[Earned Income - Syndication]]+Table13[[#This Row],[Earned Income - Other]]</f>
        <v>176513.73</v>
      </c>
      <c r="L112" s="56">
        <v>295587</v>
      </c>
      <c r="M112" s="56">
        <v>0</v>
      </c>
      <c r="N112" s="71">
        <f>SUM(Table13[[#This Row],[Cont. Income - Small Donors]:[Cont. Income - Major Donors]])</f>
        <v>24377.38</v>
      </c>
      <c r="O112" s="56">
        <v>17300.23</v>
      </c>
      <c r="P112" s="56">
        <v>2077.15</v>
      </c>
      <c r="Q112" s="56">
        <v>5000</v>
      </c>
      <c r="R112" s="56">
        <v>0</v>
      </c>
      <c r="T112" s="56">
        <v>1513.73</v>
      </c>
      <c r="U112" s="56">
        <v>0</v>
      </c>
      <c r="V112" s="56">
        <v>0</v>
      </c>
      <c r="W112" s="56">
        <v>0</v>
      </c>
      <c r="X112" s="56">
        <v>0</v>
      </c>
      <c r="Y112" s="56">
        <v>175000</v>
      </c>
      <c r="Z112" s="54" t="s">
        <v>471</v>
      </c>
      <c r="AA112" s="55">
        <f>Table13[[#This Row],[Expenses - Editorial]]+Table13[[#This Row],[Expenses - Revenue Generation]]+Table13[[#This Row],[Expenses - Tech]]+Table13[[#This Row],[Expenses - Admin]]</f>
        <v>611598</v>
      </c>
      <c r="AB112" s="56">
        <v>432867</v>
      </c>
      <c r="AC112" s="71">
        <f>SUM(Table13[[#This Row],[Expenses - Revenue Generation]:[Expenses - Admin]])</f>
        <v>178731</v>
      </c>
      <c r="AD112" s="56">
        <v>98064</v>
      </c>
      <c r="AE112" s="56">
        <v>6312</v>
      </c>
      <c r="AF112" s="56">
        <v>74355</v>
      </c>
      <c r="AG112" s="59">
        <f>Table13[[#This Row],[Total FTE - Editorial]]+Table13[[#This Row],[Total FTE - Non-Editorial]]</f>
        <v>6.8</v>
      </c>
      <c r="AH112" s="59">
        <f>Table13[[#This Row],[FTE Salaried - Editorial]]+Table13[[#This Row],[FTE Contractors - Editorial]]</f>
        <v>4.8</v>
      </c>
      <c r="AI112" s="57">
        <v>4</v>
      </c>
      <c r="AJ112" s="57">
        <v>0.8</v>
      </c>
      <c r="AK112" s="60">
        <f>Table13[[#This Row],[FTE Salaried - Non-Editorial]]+Table13[[#This Row],[FTE Contractors - Non-Editorial]]</f>
        <v>2</v>
      </c>
      <c r="AL112" s="57">
        <v>1</v>
      </c>
      <c r="AM112" s="57">
        <v>1</v>
      </c>
      <c r="AN112" s="54" t="s">
        <v>351</v>
      </c>
      <c r="AO112" s="54" t="s">
        <v>351</v>
      </c>
      <c r="AQ112" s="57">
        <v>3800</v>
      </c>
      <c r="AR112" s="57">
        <v>716</v>
      </c>
      <c r="AS112" s="57">
        <v>0</v>
      </c>
      <c r="AT112" s="57">
        <v>0</v>
      </c>
      <c r="AU112" s="57">
        <v>0</v>
      </c>
      <c r="AV112" s="57">
        <v>0</v>
      </c>
      <c r="AW112" s="57">
        <v>0</v>
      </c>
      <c r="AX112" s="57"/>
      <c r="AY112" s="57">
        <v>40000</v>
      </c>
    </row>
    <row r="113" spans="1:51" x14ac:dyDescent="0.2">
      <c r="A113" s="54">
        <v>6805</v>
      </c>
      <c r="B113" s="54">
        <v>1996</v>
      </c>
      <c r="C113" s="91" t="s">
        <v>80</v>
      </c>
      <c r="D113" s="54" t="s">
        <v>6</v>
      </c>
      <c r="E113" s="54" t="s">
        <v>78</v>
      </c>
      <c r="F113" s="54" t="str">
        <f>_xlfn.CONCAT(Table13[[#This Row],[Geographic Scope]],": ",Table13[[#This Row],[Sub-Type/Focus]])</f>
        <v>National: Multiple Related Topics</v>
      </c>
      <c r="G113" s="54" t="str">
        <f>_xlfn.CONCAT(Table13[[#This Row],[Geographic Scope]],": ",Table13[[#This Row],[Sub-Type/Focus]],": ",Table13[[#This Row],[Content Type]])</f>
        <v>National: Multiple Related Topics: Explanatory &amp; Analysis</v>
      </c>
      <c r="H113" s="54" t="str">
        <f>_xlfn.CONCAT(Table13[[#This Row],[Geographic Scope]],": ",Table13[[#This Row],[Content Type]])</f>
        <v>National: Explanatory &amp; Analysis</v>
      </c>
      <c r="I113" s="55">
        <f>Table13[[#This Row],[Total Contributed Income]]+Table13[[#This Row],[Total Earned Income]]</f>
        <v>3099654</v>
      </c>
      <c r="J113" s="55">
        <f>Table13[[#This Row],[Cont. Income - Foundation]]+Table13[[#This Row],[Cont. Income - Membership]]+Table13[[#This Row],[Cont. Income - Small Donors]]+Table13[[#This Row],[Cont. Income - Med. Donors]]+Table13[[#This Row],[Cont. Income - Major Donors]]+Table13[[#This Row],[Cont. Income - Other]]</f>
        <v>2645920</v>
      </c>
      <c r="K113" s="55">
        <f>Table13[[#This Row],[Earned Income - Advertising]]+Table13[[#This Row],[Earned Income - Sponsorships/Underwriting]]+Table13[[#This Row],[Earned Income - Events]]+Table13[[#This Row],[Earned Income - Subscriptions]]+Table13[[#This Row],[Earned Income - Syndication]]+Table13[[#This Row],[Earned Income - Other]]</f>
        <v>453734</v>
      </c>
      <c r="L113" s="56">
        <v>901000</v>
      </c>
      <c r="M113" s="56">
        <v>430061</v>
      </c>
      <c r="N113" s="71">
        <f>SUM(Table13[[#This Row],[Cont. Income - Small Donors]:[Cont. Income - Major Donors]])</f>
        <v>1036514</v>
      </c>
      <c r="O113" s="56">
        <v>346514</v>
      </c>
      <c r="P113" s="56">
        <v>325000</v>
      </c>
      <c r="Q113" s="56">
        <v>365000</v>
      </c>
      <c r="R113" s="56">
        <v>278345</v>
      </c>
      <c r="S113" s="55" t="s">
        <v>472</v>
      </c>
      <c r="T113" s="56">
        <v>0</v>
      </c>
      <c r="U113" s="56">
        <v>0</v>
      </c>
      <c r="V113" s="56">
        <v>0</v>
      </c>
      <c r="W113" s="56">
        <v>453734</v>
      </c>
      <c r="X113" s="56">
        <v>0</v>
      </c>
      <c r="Y113" s="56">
        <v>0</v>
      </c>
      <c r="AA113" s="55">
        <f>Table13[[#This Row],[Expenses - Editorial]]+Table13[[#This Row],[Expenses - Revenue Generation]]+Table13[[#This Row],[Expenses - Tech]]+Table13[[#This Row],[Expenses - Admin]]</f>
        <v>2863833</v>
      </c>
      <c r="AB113" s="56">
        <v>1630058</v>
      </c>
      <c r="AC113" s="71">
        <f>SUM(Table13[[#This Row],[Expenses - Revenue Generation]:[Expenses - Admin]])</f>
        <v>1233775</v>
      </c>
      <c r="AD113" s="56">
        <v>658938</v>
      </c>
      <c r="AE113" s="56">
        <v>202392</v>
      </c>
      <c r="AF113" s="56">
        <v>372445</v>
      </c>
      <c r="AG113" s="59">
        <f>Table13[[#This Row],[Total FTE - Editorial]]+Table13[[#This Row],[Total FTE - Non-Editorial]]</f>
        <v>19</v>
      </c>
      <c r="AH113" s="59">
        <f>Table13[[#This Row],[FTE Salaried - Editorial]]+Table13[[#This Row],[FTE Contractors - Editorial]]</f>
        <v>10</v>
      </c>
      <c r="AI113" s="57">
        <v>9.5</v>
      </c>
      <c r="AJ113" s="57">
        <v>0.5</v>
      </c>
      <c r="AK113" s="60">
        <f>Table13[[#This Row],[FTE Salaried - Non-Editorial]]+Table13[[#This Row],[FTE Contractors - Non-Editorial]]</f>
        <v>9</v>
      </c>
      <c r="AL113" s="57">
        <v>9</v>
      </c>
      <c r="AM113" s="57">
        <v>0</v>
      </c>
      <c r="AN113" s="54" t="s">
        <v>352</v>
      </c>
      <c r="AO113" s="54" t="s">
        <v>393</v>
      </c>
      <c r="AQ113" s="57">
        <v>604000</v>
      </c>
      <c r="AR113" s="57">
        <v>88116</v>
      </c>
      <c r="AS113" s="57">
        <v>48500</v>
      </c>
      <c r="AT113" s="57">
        <v>4</v>
      </c>
      <c r="AU113" s="57">
        <v>24336014</v>
      </c>
      <c r="AV113" s="57">
        <v>0</v>
      </c>
      <c r="AW113" s="57">
        <v>0</v>
      </c>
      <c r="AX113" s="57"/>
      <c r="AY113" s="57">
        <v>0</v>
      </c>
    </row>
    <row r="114" spans="1:51" x14ac:dyDescent="0.2">
      <c r="A114" s="54">
        <v>6830</v>
      </c>
      <c r="B114" s="54">
        <v>2020</v>
      </c>
      <c r="C114" s="91" t="s">
        <v>80</v>
      </c>
      <c r="D114" s="54" t="s">
        <v>6</v>
      </c>
      <c r="E114" s="54" t="s">
        <v>78</v>
      </c>
      <c r="F114" s="54" t="str">
        <f>_xlfn.CONCAT(Table13[[#This Row],[Geographic Scope]],": ",Table13[[#This Row],[Sub-Type/Focus]])</f>
        <v>National: Multiple Related Topics</v>
      </c>
      <c r="G114" s="54" t="str">
        <f>_xlfn.CONCAT(Table13[[#This Row],[Geographic Scope]],": ",Table13[[#This Row],[Sub-Type/Focus]],": ",Table13[[#This Row],[Content Type]])</f>
        <v>National: Multiple Related Topics: Explanatory &amp; Analysis</v>
      </c>
      <c r="H114" s="54" t="str">
        <f>_xlfn.CONCAT(Table13[[#This Row],[Geographic Scope]],": ",Table13[[#This Row],[Content Type]])</f>
        <v>National: Explanatory &amp; Analysis</v>
      </c>
      <c r="I114" s="55">
        <f>Table13[[#This Row],[Total Contributed Income]]+Table13[[#This Row],[Total Earned Income]]</f>
        <v>0</v>
      </c>
      <c r="J114" s="55">
        <f>Table13[[#This Row],[Cont. Income - Foundation]]+Table13[[#This Row],[Cont. Income - Membership]]+Table13[[#This Row],[Cont. Income - Small Donors]]+Table13[[#This Row],[Cont. Income - Med. Donors]]+Table13[[#This Row],[Cont. Income - Major Donors]]+Table13[[#This Row],[Cont. Income - Other]]</f>
        <v>0</v>
      </c>
      <c r="K114" s="55">
        <f>Table13[[#This Row],[Earned Income - Advertising]]+Table13[[#This Row],[Earned Income - Sponsorships/Underwriting]]+Table13[[#This Row],[Earned Income - Events]]+Table13[[#This Row],[Earned Income - Subscriptions]]+Table13[[#This Row],[Earned Income - Syndication]]+Table13[[#This Row],[Earned Income - Other]]</f>
        <v>0</v>
      </c>
      <c r="L114" s="56"/>
      <c r="M114" s="56"/>
      <c r="N114" s="71">
        <f>SUM(Table13[[#This Row],[Cont. Income - Small Donors]:[Cont. Income - Major Donors]])</f>
        <v>0</v>
      </c>
      <c r="O114" s="56"/>
      <c r="P114" s="56"/>
      <c r="Q114" s="56"/>
      <c r="R114" s="56"/>
      <c r="T114" s="56"/>
      <c r="U114" s="56"/>
      <c r="V114" s="56"/>
      <c r="W114" s="56"/>
      <c r="X114" s="56"/>
      <c r="Y114" s="56"/>
      <c r="AA114" s="55">
        <f>Table13[[#This Row],[Expenses - Editorial]]+Table13[[#This Row],[Expenses - Revenue Generation]]+Table13[[#This Row],[Expenses - Tech]]+Table13[[#This Row],[Expenses - Admin]]</f>
        <v>0</v>
      </c>
      <c r="AB114" s="57"/>
      <c r="AC114" s="71">
        <f>SUM(Table13[[#This Row],[Expenses - Revenue Generation]:[Expenses - Admin]])</f>
        <v>0</v>
      </c>
      <c r="AD114" s="57"/>
      <c r="AE114" s="57"/>
      <c r="AF114" s="57"/>
      <c r="AG114" s="59">
        <f>Table13[[#This Row],[Total FTE - Editorial]]+Table13[[#This Row],[Total FTE - Non-Editorial]]</f>
        <v>24</v>
      </c>
      <c r="AH114" s="59">
        <f>Table13[[#This Row],[FTE Salaried - Editorial]]+Table13[[#This Row],[FTE Contractors - Editorial]]</f>
        <v>11</v>
      </c>
      <c r="AI114" s="57">
        <v>11</v>
      </c>
      <c r="AJ114" s="57">
        <v>0</v>
      </c>
      <c r="AK114" s="60">
        <f>Table13[[#This Row],[FTE Salaried - Non-Editorial]]+Table13[[#This Row],[FTE Contractors - Non-Editorial]]</f>
        <v>13</v>
      </c>
      <c r="AL114" s="57">
        <v>13</v>
      </c>
      <c r="AM114" s="57">
        <v>0</v>
      </c>
      <c r="AN114" s="54" t="s">
        <v>351</v>
      </c>
      <c r="AO114" s="54" t="s">
        <v>356</v>
      </c>
      <c r="AP114" s="54" t="s">
        <v>473</v>
      </c>
      <c r="AQ114" s="57">
        <v>289500</v>
      </c>
      <c r="AR114" s="57">
        <v>36700</v>
      </c>
      <c r="AS114" s="57">
        <v>0</v>
      </c>
      <c r="AT114" s="57">
        <v>0</v>
      </c>
      <c r="AU114" s="57">
        <v>0</v>
      </c>
      <c r="AV114" s="57">
        <v>0</v>
      </c>
      <c r="AW114" s="57">
        <v>0</v>
      </c>
      <c r="AX114" s="57">
        <v>0</v>
      </c>
      <c r="AY114" s="57">
        <v>0</v>
      </c>
    </row>
    <row r="115" spans="1:51" x14ac:dyDescent="0.2">
      <c r="A115" s="54">
        <v>6851</v>
      </c>
      <c r="B115" s="54">
        <v>2018</v>
      </c>
      <c r="C115" s="91" t="s">
        <v>80</v>
      </c>
      <c r="D115" s="54" t="s">
        <v>6</v>
      </c>
      <c r="E115" s="54" t="s">
        <v>78</v>
      </c>
      <c r="F115" s="54" t="str">
        <f>_xlfn.CONCAT(Table13[[#This Row],[Geographic Scope]],": ",Table13[[#This Row],[Sub-Type/Focus]])</f>
        <v>National: Multiple Related Topics</v>
      </c>
      <c r="G115" s="54" t="str">
        <f>_xlfn.CONCAT(Table13[[#This Row],[Geographic Scope]],": ",Table13[[#This Row],[Sub-Type/Focus]],": ",Table13[[#This Row],[Content Type]])</f>
        <v>National: Multiple Related Topics: Explanatory &amp; Analysis</v>
      </c>
      <c r="H115" s="54" t="str">
        <f>_xlfn.CONCAT(Table13[[#This Row],[Geographic Scope]],": ",Table13[[#This Row],[Content Type]])</f>
        <v>National: Explanatory &amp; Analysis</v>
      </c>
      <c r="I115" s="55">
        <f>Table13[[#This Row],[Total Contributed Income]]+Table13[[#This Row],[Total Earned Income]]</f>
        <v>168694</v>
      </c>
      <c r="J115" s="55">
        <f>Table13[[#This Row],[Cont. Income - Foundation]]+Table13[[#This Row],[Cont. Income - Membership]]+Table13[[#This Row],[Cont. Income - Small Donors]]+Table13[[#This Row],[Cont. Income - Med. Donors]]+Table13[[#This Row],[Cont. Income - Major Donors]]+Table13[[#This Row],[Cont. Income - Other]]</f>
        <v>168694</v>
      </c>
      <c r="K115" s="55">
        <f>Table13[[#This Row],[Earned Income - Advertising]]+Table13[[#This Row],[Earned Income - Sponsorships/Underwriting]]+Table13[[#This Row],[Earned Income - Events]]+Table13[[#This Row],[Earned Income - Subscriptions]]+Table13[[#This Row],[Earned Income - Syndication]]+Table13[[#This Row],[Earned Income - Other]]</f>
        <v>0</v>
      </c>
      <c r="L115" s="56">
        <v>116770</v>
      </c>
      <c r="M115" s="56">
        <v>28186</v>
      </c>
      <c r="N115" s="71">
        <f>SUM(Table13[[#This Row],[Cont. Income - Small Donors]:[Cont. Income - Major Donors]])</f>
        <v>23738</v>
      </c>
      <c r="O115" s="56">
        <v>11738</v>
      </c>
      <c r="P115" s="56">
        <v>2000</v>
      </c>
      <c r="Q115" s="56">
        <v>10000</v>
      </c>
      <c r="R115" s="56">
        <v>0</v>
      </c>
      <c r="T115" s="56">
        <v>0</v>
      </c>
      <c r="U115" s="56">
        <v>0</v>
      </c>
      <c r="V115" s="56">
        <v>0</v>
      </c>
      <c r="W115" s="56">
        <v>0</v>
      </c>
      <c r="X115" s="56">
        <v>0</v>
      </c>
      <c r="Y115" s="56">
        <v>0</v>
      </c>
      <c r="AA115" s="55">
        <f>Table13[[#This Row],[Expenses - Editorial]]+Table13[[#This Row],[Expenses - Revenue Generation]]+Table13[[#This Row],[Expenses - Tech]]+Table13[[#This Row],[Expenses - Admin]]</f>
        <v>125000</v>
      </c>
      <c r="AB115" s="56">
        <v>100000</v>
      </c>
      <c r="AC115" s="71">
        <f>SUM(Table13[[#This Row],[Expenses - Revenue Generation]:[Expenses - Admin]])</f>
        <v>25000</v>
      </c>
      <c r="AD115" s="56">
        <v>0</v>
      </c>
      <c r="AE115" s="56">
        <v>15000</v>
      </c>
      <c r="AF115" s="56">
        <v>10000</v>
      </c>
      <c r="AG115" s="59">
        <f>Table13[[#This Row],[Total FTE - Editorial]]+Table13[[#This Row],[Total FTE - Non-Editorial]]</f>
        <v>2</v>
      </c>
      <c r="AH115" s="59">
        <f>Table13[[#This Row],[FTE Salaried - Editorial]]+Table13[[#This Row],[FTE Contractors - Editorial]]</f>
        <v>2</v>
      </c>
      <c r="AI115" s="57">
        <v>2</v>
      </c>
      <c r="AJ115" s="57">
        <v>0</v>
      </c>
      <c r="AK115" s="60">
        <f>Table13[[#This Row],[FTE Salaried - Non-Editorial]]+Table13[[#This Row],[FTE Contractors - Non-Editorial]]</f>
        <v>0</v>
      </c>
      <c r="AL115" s="57">
        <v>0</v>
      </c>
      <c r="AM115" s="57">
        <v>0</v>
      </c>
      <c r="AN115" s="54" t="s">
        <v>351</v>
      </c>
      <c r="AO115" s="54" t="s">
        <v>366</v>
      </c>
      <c r="AP115" s="54" t="s">
        <v>474</v>
      </c>
      <c r="AQ115" s="57">
        <v>100000</v>
      </c>
      <c r="AR115" s="57">
        <v>15000</v>
      </c>
      <c r="AS115" s="57">
        <v>300</v>
      </c>
      <c r="AT115" s="57">
        <v>1</v>
      </c>
      <c r="AU115" s="57">
        <v>0</v>
      </c>
      <c r="AV115" s="57">
        <v>0</v>
      </c>
      <c r="AW115" s="57">
        <v>0</v>
      </c>
      <c r="AX115" s="57"/>
      <c r="AY115" s="57">
        <v>0</v>
      </c>
    </row>
    <row r="116" spans="1:51" x14ac:dyDescent="0.2">
      <c r="A116" s="54">
        <v>359</v>
      </c>
      <c r="B116" s="54">
        <v>1980</v>
      </c>
      <c r="C116" s="91" t="s">
        <v>80</v>
      </c>
      <c r="D116" s="54" t="s">
        <v>6</v>
      </c>
      <c r="E116" s="54" t="s">
        <v>79</v>
      </c>
      <c r="F116" s="54" t="str">
        <f>_xlfn.CONCAT(Table13[[#This Row],[Geographic Scope]],": ",Table13[[#This Row],[Sub-Type/Focus]])</f>
        <v>National: Single-Topic</v>
      </c>
      <c r="G116" s="54" t="str">
        <f>_xlfn.CONCAT(Table13[[#This Row],[Geographic Scope]],": ",Table13[[#This Row],[Sub-Type/Focus]],": ",Table13[[#This Row],[Content Type]])</f>
        <v>National: Single-Topic: Explanatory &amp; Analysis</v>
      </c>
      <c r="H116" s="54" t="str">
        <f>_xlfn.CONCAT(Table13[[#This Row],[Geographic Scope]],": ",Table13[[#This Row],[Content Type]])</f>
        <v>National: Explanatory &amp; Analysis</v>
      </c>
      <c r="I116" s="55">
        <f>Table13[[#This Row],[Total Contributed Income]]+Table13[[#This Row],[Total Earned Income]]</f>
        <v>1013183</v>
      </c>
      <c r="J116" s="55">
        <f>Table13[[#This Row],[Cont. Income - Foundation]]+Table13[[#This Row],[Cont. Income - Membership]]+Table13[[#This Row],[Cont. Income - Small Donors]]+Table13[[#This Row],[Cont. Income - Med. Donors]]+Table13[[#This Row],[Cont. Income - Major Donors]]+Table13[[#This Row],[Cont. Income - Other]]</f>
        <v>366607</v>
      </c>
      <c r="K116" s="55">
        <f>Table13[[#This Row],[Earned Income - Advertising]]+Table13[[#This Row],[Earned Income - Sponsorships/Underwriting]]+Table13[[#This Row],[Earned Income - Events]]+Table13[[#This Row],[Earned Income - Subscriptions]]+Table13[[#This Row],[Earned Income - Syndication]]+Table13[[#This Row],[Earned Income - Other]]</f>
        <v>646576</v>
      </c>
      <c r="L116" s="56">
        <v>300000</v>
      </c>
      <c r="M116" s="56">
        <v>0</v>
      </c>
      <c r="N116" s="71">
        <f>SUM(Table13[[#This Row],[Cont. Income - Small Donors]:[Cont. Income - Major Donors]])</f>
        <v>34607</v>
      </c>
      <c r="O116" s="56">
        <v>21733</v>
      </c>
      <c r="P116" s="56">
        <v>12874</v>
      </c>
      <c r="Q116" s="56">
        <v>0</v>
      </c>
      <c r="R116" s="56">
        <v>32000</v>
      </c>
      <c r="S116" s="55" t="s">
        <v>475</v>
      </c>
      <c r="T116" s="56">
        <v>350328</v>
      </c>
      <c r="U116" s="56">
        <v>0</v>
      </c>
      <c r="V116" s="56">
        <v>0</v>
      </c>
      <c r="W116" s="56">
        <v>296248</v>
      </c>
      <c r="X116" s="56">
        <v>0</v>
      </c>
      <c r="Y116" s="56">
        <v>0</v>
      </c>
      <c r="AA116" s="55">
        <f>Table13[[#This Row],[Expenses - Editorial]]+Table13[[#This Row],[Expenses - Revenue Generation]]+Table13[[#This Row],[Expenses - Tech]]+Table13[[#This Row],[Expenses - Admin]]</f>
        <v>827717</v>
      </c>
      <c r="AB116" s="56">
        <v>662156</v>
      </c>
      <c r="AC116" s="71">
        <f>SUM(Table13[[#This Row],[Expenses - Revenue Generation]:[Expenses - Admin]])</f>
        <v>165561</v>
      </c>
      <c r="AD116" s="56">
        <v>99323</v>
      </c>
      <c r="AE116" s="56">
        <v>8299</v>
      </c>
      <c r="AF116" s="56">
        <v>57939</v>
      </c>
      <c r="AG116" s="59">
        <f>Table13[[#This Row],[Total FTE - Editorial]]+Table13[[#This Row],[Total FTE - Non-Editorial]]</f>
        <v>7.75</v>
      </c>
      <c r="AH116" s="59">
        <f>Table13[[#This Row],[FTE Salaried - Editorial]]+Table13[[#This Row],[FTE Contractors - Editorial]]</f>
        <v>4.5</v>
      </c>
      <c r="AI116" s="57">
        <v>4.5</v>
      </c>
      <c r="AJ116" s="57">
        <v>0</v>
      </c>
      <c r="AK116" s="60">
        <f>Table13[[#This Row],[FTE Salaried - Non-Editorial]]+Table13[[#This Row],[FTE Contractors - Non-Editorial]]</f>
        <v>3.25</v>
      </c>
      <c r="AL116" s="57">
        <v>1.5</v>
      </c>
      <c r="AM116" s="57">
        <v>1.75</v>
      </c>
      <c r="AN116" s="54" t="s">
        <v>347</v>
      </c>
      <c r="AO116" s="54" t="s">
        <v>363</v>
      </c>
      <c r="AQ116" s="57">
        <v>58222</v>
      </c>
      <c r="AR116" s="57">
        <v>5155</v>
      </c>
      <c r="AS116" s="57">
        <v>2400</v>
      </c>
      <c r="AT116" s="57">
        <v>7</v>
      </c>
      <c r="AU116" s="57">
        <v>0</v>
      </c>
      <c r="AV116" s="57">
        <v>0</v>
      </c>
      <c r="AW116" s="57">
        <v>0</v>
      </c>
      <c r="AX116" s="57"/>
      <c r="AY116" s="57">
        <v>0</v>
      </c>
    </row>
    <row r="117" spans="1:51" x14ac:dyDescent="0.2">
      <c r="A117" s="54">
        <v>373</v>
      </c>
      <c r="B117" s="54">
        <v>2011</v>
      </c>
      <c r="C117" s="91" t="s">
        <v>80</v>
      </c>
      <c r="D117" s="54" t="s">
        <v>6</v>
      </c>
      <c r="E117" s="54" t="s">
        <v>79</v>
      </c>
      <c r="F117" s="54" t="str">
        <f>_xlfn.CONCAT(Table13[[#This Row],[Geographic Scope]],": ",Table13[[#This Row],[Sub-Type/Focus]])</f>
        <v>National: Single-Topic</v>
      </c>
      <c r="G117" s="54" t="str">
        <f>_xlfn.CONCAT(Table13[[#This Row],[Geographic Scope]],": ",Table13[[#This Row],[Sub-Type/Focus]],": ",Table13[[#This Row],[Content Type]])</f>
        <v>National: Single-Topic: Explanatory &amp; Analysis</v>
      </c>
      <c r="H117" s="54" t="str">
        <f>_xlfn.CONCAT(Table13[[#This Row],[Geographic Scope]],": ",Table13[[#This Row],[Content Type]])</f>
        <v>National: Explanatory &amp; Analysis</v>
      </c>
      <c r="I117" s="55">
        <f>Table13[[#This Row],[Total Contributed Income]]+Table13[[#This Row],[Total Earned Income]]</f>
        <v>1040245</v>
      </c>
      <c r="J117" s="55">
        <f>Table13[[#This Row],[Cont. Income - Foundation]]+Table13[[#This Row],[Cont. Income - Membership]]+Table13[[#This Row],[Cont. Income - Small Donors]]+Table13[[#This Row],[Cont. Income - Med. Donors]]+Table13[[#This Row],[Cont. Income - Major Donors]]+Table13[[#This Row],[Cont. Income - Other]]</f>
        <v>891052</v>
      </c>
      <c r="K117" s="55">
        <f>Table13[[#This Row],[Earned Income - Advertising]]+Table13[[#This Row],[Earned Income - Sponsorships/Underwriting]]+Table13[[#This Row],[Earned Income - Events]]+Table13[[#This Row],[Earned Income - Subscriptions]]+Table13[[#This Row],[Earned Income - Syndication]]+Table13[[#This Row],[Earned Income - Other]]</f>
        <v>149193</v>
      </c>
      <c r="L117" s="56">
        <v>555138</v>
      </c>
      <c r="M117" s="56">
        <v>0</v>
      </c>
      <c r="N117" s="71">
        <f>SUM(Table13[[#This Row],[Cont. Income - Small Donors]:[Cont. Income - Major Donors]])</f>
        <v>320914</v>
      </c>
      <c r="O117" s="56">
        <v>25740</v>
      </c>
      <c r="P117" s="56">
        <v>25808</v>
      </c>
      <c r="Q117" s="56">
        <v>269366</v>
      </c>
      <c r="R117" s="56">
        <v>15000</v>
      </c>
      <c r="S117" s="55" t="s">
        <v>476</v>
      </c>
      <c r="T117" s="56">
        <v>0</v>
      </c>
      <c r="U117" s="56">
        <v>0</v>
      </c>
      <c r="V117" s="56">
        <v>29575</v>
      </c>
      <c r="W117" s="56">
        <v>38369</v>
      </c>
      <c r="X117" s="56">
        <v>76505</v>
      </c>
      <c r="Y117" s="56">
        <v>4744</v>
      </c>
      <c r="Z117" s="54" t="s">
        <v>477</v>
      </c>
      <c r="AA117" s="55">
        <f>Table13[[#This Row],[Expenses - Editorial]]+Table13[[#This Row],[Expenses - Revenue Generation]]+Table13[[#This Row],[Expenses - Tech]]+Table13[[#This Row],[Expenses - Admin]]</f>
        <v>969707</v>
      </c>
      <c r="AB117" s="56">
        <v>739157</v>
      </c>
      <c r="AC117" s="71">
        <f>SUM(Table13[[#This Row],[Expenses - Revenue Generation]:[Expenses - Admin]])</f>
        <v>230550</v>
      </c>
      <c r="AD117" s="56">
        <v>29879</v>
      </c>
      <c r="AE117" s="56">
        <v>10000</v>
      </c>
      <c r="AF117" s="56">
        <v>190671</v>
      </c>
      <c r="AG117" s="59">
        <f>Table13[[#This Row],[Total FTE - Editorial]]+Table13[[#This Row],[Total FTE - Non-Editorial]]</f>
        <v>9.75</v>
      </c>
      <c r="AH117" s="59">
        <f>Table13[[#This Row],[FTE Salaried - Editorial]]+Table13[[#This Row],[FTE Contractors - Editorial]]</f>
        <v>7.5</v>
      </c>
      <c r="AI117" s="57">
        <v>5</v>
      </c>
      <c r="AJ117" s="57">
        <v>2.5</v>
      </c>
      <c r="AK117" s="60">
        <f>Table13[[#This Row],[FTE Salaried - Non-Editorial]]+Table13[[#This Row],[FTE Contractors - Non-Editorial]]</f>
        <v>2.25</v>
      </c>
      <c r="AL117" s="57">
        <v>2</v>
      </c>
      <c r="AM117" s="57">
        <v>0.25</v>
      </c>
      <c r="AN117" s="54" t="s">
        <v>352</v>
      </c>
      <c r="AO117" s="54" t="s">
        <v>446</v>
      </c>
      <c r="AQ117" s="57">
        <v>42000</v>
      </c>
      <c r="AR117" s="57">
        <v>12475</v>
      </c>
      <c r="AS117" s="57">
        <v>500</v>
      </c>
      <c r="AT117" s="57">
        <v>1</v>
      </c>
      <c r="AU117" s="57">
        <v>0</v>
      </c>
      <c r="AV117" s="57">
        <v>0</v>
      </c>
      <c r="AW117" s="57">
        <v>0</v>
      </c>
      <c r="AX117" s="57"/>
      <c r="AY117" s="57">
        <v>0</v>
      </c>
    </row>
    <row r="118" spans="1:51" x14ac:dyDescent="0.2">
      <c r="A118" s="54">
        <v>379</v>
      </c>
      <c r="B118" s="54">
        <v>1999</v>
      </c>
      <c r="C118" s="91" t="s">
        <v>80</v>
      </c>
      <c r="D118" s="54" t="s">
        <v>6</v>
      </c>
      <c r="E118" s="54" t="s">
        <v>79</v>
      </c>
      <c r="F118" s="54" t="str">
        <f>_xlfn.CONCAT(Table13[[#This Row],[Geographic Scope]],": ",Table13[[#This Row],[Sub-Type/Focus]])</f>
        <v>National: Single-Topic</v>
      </c>
      <c r="G118" s="54" t="str">
        <f>_xlfn.CONCAT(Table13[[#This Row],[Geographic Scope]],": ",Table13[[#This Row],[Sub-Type/Focus]],": ",Table13[[#This Row],[Content Type]])</f>
        <v>National: Single-Topic: Explanatory &amp; Analysis</v>
      </c>
      <c r="H118" s="54" t="str">
        <f>_xlfn.CONCAT(Table13[[#This Row],[Geographic Scope]],": ",Table13[[#This Row],[Content Type]])</f>
        <v>National: Explanatory &amp; Analysis</v>
      </c>
      <c r="I118" s="55">
        <f>Table13[[#This Row],[Total Contributed Income]]+Table13[[#This Row],[Total Earned Income]]</f>
        <v>6293227.1699999999</v>
      </c>
      <c r="J118" s="55">
        <f>Table13[[#This Row],[Cont. Income - Foundation]]+Table13[[#This Row],[Cont. Income - Membership]]+Table13[[#This Row],[Cont. Income - Small Donors]]+Table13[[#This Row],[Cont. Income - Med. Donors]]+Table13[[#This Row],[Cont. Income - Major Donors]]+Table13[[#This Row],[Cont. Income - Other]]</f>
        <v>5900968.1699999999</v>
      </c>
      <c r="K118" s="55">
        <f>Table13[[#This Row],[Earned Income - Advertising]]+Table13[[#This Row],[Earned Income - Sponsorships/Underwriting]]+Table13[[#This Row],[Earned Income - Events]]+Table13[[#This Row],[Earned Income - Subscriptions]]+Table13[[#This Row],[Earned Income - Syndication]]+Table13[[#This Row],[Earned Income - Other]]</f>
        <v>392259</v>
      </c>
      <c r="L118" s="56">
        <v>1510500</v>
      </c>
      <c r="M118" s="56">
        <v>278078.27</v>
      </c>
      <c r="N118" s="71">
        <f>SUM(Table13[[#This Row],[Cont. Income - Small Donors]:[Cont. Income - Major Donors]])</f>
        <v>4017389.9</v>
      </c>
      <c r="O118" s="56">
        <v>23671</v>
      </c>
      <c r="P118" s="56">
        <v>78092</v>
      </c>
      <c r="Q118" s="56">
        <v>3915626.9</v>
      </c>
      <c r="R118" s="56">
        <v>95000</v>
      </c>
      <c r="S118" s="55" t="s">
        <v>478</v>
      </c>
      <c r="T118" s="56">
        <v>219292</v>
      </c>
      <c r="U118" s="56">
        <v>60900</v>
      </c>
      <c r="V118" s="56">
        <v>98610</v>
      </c>
      <c r="W118" s="56">
        <v>0</v>
      </c>
      <c r="X118" s="56">
        <v>6093</v>
      </c>
      <c r="Y118" s="56">
        <v>7364</v>
      </c>
      <c r="Z118" s="54" t="s">
        <v>479</v>
      </c>
      <c r="AA118" s="55">
        <f>Table13[[#This Row],[Expenses - Editorial]]+Table13[[#This Row],[Expenses - Revenue Generation]]+Table13[[#This Row],[Expenses - Tech]]+Table13[[#This Row],[Expenses - Admin]]</f>
        <v>6743684</v>
      </c>
      <c r="AB118" s="56">
        <v>4250070</v>
      </c>
      <c r="AC118" s="71">
        <f>SUM(Table13[[#This Row],[Expenses - Revenue Generation]:[Expenses - Admin]])</f>
        <v>2493614</v>
      </c>
      <c r="AD118" s="56">
        <v>971862</v>
      </c>
      <c r="AE118" s="56">
        <v>978576</v>
      </c>
      <c r="AF118" s="56">
        <v>543176</v>
      </c>
      <c r="AG118" s="59">
        <f>Table13[[#This Row],[Total FTE - Editorial]]+Table13[[#This Row],[Total FTE - Non-Editorial]]</f>
        <v>46</v>
      </c>
      <c r="AH118" s="59">
        <f>Table13[[#This Row],[FTE Salaried - Editorial]]+Table13[[#This Row],[FTE Contractors - Editorial]]</f>
        <v>18</v>
      </c>
      <c r="AI118" s="57">
        <v>18</v>
      </c>
      <c r="AJ118" s="57">
        <v>0</v>
      </c>
      <c r="AK118" s="60">
        <f>Table13[[#This Row],[FTE Salaried - Non-Editorial]]+Table13[[#This Row],[FTE Contractors - Non-Editorial]]</f>
        <v>28</v>
      </c>
      <c r="AL118" s="57">
        <v>28</v>
      </c>
      <c r="AM118" s="57">
        <v>0</v>
      </c>
      <c r="AN118" s="54" t="s">
        <v>351</v>
      </c>
      <c r="AO118" s="54" t="s">
        <v>366</v>
      </c>
      <c r="AP118" s="54" t="s">
        <v>480</v>
      </c>
      <c r="AQ118" s="57">
        <v>681614</v>
      </c>
      <c r="AR118" s="57">
        <v>46391</v>
      </c>
      <c r="AS118" s="57">
        <v>0</v>
      </c>
      <c r="AT118" s="57">
        <v>0</v>
      </c>
      <c r="AU118" s="57">
        <v>0</v>
      </c>
      <c r="AV118" s="57">
        <v>0</v>
      </c>
      <c r="AW118" s="57">
        <v>0</v>
      </c>
      <c r="AX118" s="57"/>
      <c r="AY118" s="57">
        <v>450</v>
      </c>
    </row>
    <row r="119" spans="1:51" x14ac:dyDescent="0.2">
      <c r="A119" s="54">
        <v>460</v>
      </c>
      <c r="B119" s="54">
        <v>2009</v>
      </c>
      <c r="C119" s="91" t="s">
        <v>80</v>
      </c>
      <c r="D119" s="54" t="s">
        <v>6</v>
      </c>
      <c r="E119" s="54" t="s">
        <v>79</v>
      </c>
      <c r="F119" s="54" t="str">
        <f>_xlfn.CONCAT(Table13[[#This Row],[Geographic Scope]],": ",Table13[[#This Row],[Sub-Type/Focus]])</f>
        <v>National: Single-Topic</v>
      </c>
      <c r="G119" s="54" t="str">
        <f>_xlfn.CONCAT(Table13[[#This Row],[Geographic Scope]],": ",Table13[[#This Row],[Sub-Type/Focus]],": ",Table13[[#This Row],[Content Type]])</f>
        <v>National: Single-Topic: Explanatory &amp; Analysis</v>
      </c>
      <c r="H119" s="54" t="str">
        <f>_xlfn.CONCAT(Table13[[#This Row],[Geographic Scope]],": ",Table13[[#This Row],[Content Type]])</f>
        <v>National: Explanatory &amp; Analysis</v>
      </c>
      <c r="I119" s="55">
        <f>Table13[[#This Row],[Total Contributed Income]]+Table13[[#This Row],[Total Earned Income]]</f>
        <v>319599.63</v>
      </c>
      <c r="J119" s="55">
        <f>Table13[[#This Row],[Cont. Income - Foundation]]+Table13[[#This Row],[Cont. Income - Membership]]+Table13[[#This Row],[Cont. Income - Small Donors]]+Table13[[#This Row],[Cont. Income - Med. Donors]]+Table13[[#This Row],[Cont. Income - Major Donors]]+Table13[[#This Row],[Cont. Income - Other]]</f>
        <v>319599.63</v>
      </c>
      <c r="K119" s="55">
        <f>Table13[[#This Row],[Earned Income - Advertising]]+Table13[[#This Row],[Earned Income - Sponsorships/Underwriting]]+Table13[[#This Row],[Earned Income - Events]]+Table13[[#This Row],[Earned Income - Subscriptions]]+Table13[[#This Row],[Earned Income - Syndication]]+Table13[[#This Row],[Earned Income - Other]]</f>
        <v>0</v>
      </c>
      <c r="L119" s="56">
        <v>265000</v>
      </c>
      <c r="M119" s="56">
        <v>0</v>
      </c>
      <c r="N119" s="71">
        <f>SUM(Table13[[#This Row],[Cont. Income - Small Donors]:[Cont. Income - Major Donors]])</f>
        <v>54599.630000000005</v>
      </c>
      <c r="O119" s="56">
        <v>26599.63</v>
      </c>
      <c r="P119" s="56">
        <v>18000</v>
      </c>
      <c r="Q119" s="56">
        <v>10000</v>
      </c>
      <c r="R119" s="56">
        <v>0</v>
      </c>
      <c r="T119" s="56">
        <v>0</v>
      </c>
      <c r="U119" s="56">
        <v>0</v>
      </c>
      <c r="V119" s="56">
        <v>0</v>
      </c>
      <c r="W119" s="56">
        <v>0</v>
      </c>
      <c r="X119" s="56">
        <v>0</v>
      </c>
      <c r="Y119" s="56">
        <v>0</v>
      </c>
      <c r="AA119" s="55">
        <f>Table13[[#This Row],[Expenses - Editorial]]+Table13[[#This Row],[Expenses - Revenue Generation]]+Table13[[#This Row],[Expenses - Tech]]+Table13[[#This Row],[Expenses - Admin]]</f>
        <v>232250</v>
      </c>
      <c r="AB119" s="56">
        <v>175000</v>
      </c>
      <c r="AC119" s="71">
        <f>SUM(Table13[[#This Row],[Expenses - Revenue Generation]:[Expenses - Admin]])</f>
        <v>57250</v>
      </c>
      <c r="AD119" s="56">
        <v>15250</v>
      </c>
      <c r="AE119" s="56">
        <v>26500</v>
      </c>
      <c r="AF119" s="56">
        <v>15500</v>
      </c>
      <c r="AG119" s="59">
        <f>Table13[[#This Row],[Total FTE - Editorial]]+Table13[[#This Row],[Total FTE - Non-Editorial]]</f>
        <v>4</v>
      </c>
      <c r="AH119" s="59">
        <f>Table13[[#This Row],[FTE Salaried - Editorial]]+Table13[[#This Row],[FTE Contractors - Editorial]]</f>
        <v>3</v>
      </c>
      <c r="AI119" s="57">
        <v>2.5</v>
      </c>
      <c r="AJ119" s="57">
        <v>0.5</v>
      </c>
      <c r="AK119" s="60">
        <f>Table13[[#This Row],[FTE Salaried - Non-Editorial]]+Table13[[#This Row],[FTE Contractors - Non-Editorial]]</f>
        <v>1</v>
      </c>
      <c r="AL119" s="57">
        <v>0.75</v>
      </c>
      <c r="AM119" s="57">
        <v>0.25</v>
      </c>
      <c r="AN119" s="54" t="s">
        <v>347</v>
      </c>
      <c r="AO119" s="54" t="s">
        <v>356</v>
      </c>
      <c r="AP119" s="54" t="s">
        <v>481</v>
      </c>
      <c r="AQ119" s="57">
        <v>27600</v>
      </c>
      <c r="AR119" s="57">
        <v>2955</v>
      </c>
      <c r="AS119" s="57">
        <v>4660</v>
      </c>
      <c r="AT119" s="57">
        <v>3</v>
      </c>
      <c r="AU119" s="57">
        <v>0</v>
      </c>
      <c r="AV119" s="57">
        <v>0</v>
      </c>
      <c r="AW119" s="57">
        <v>0</v>
      </c>
      <c r="AX119" s="57"/>
      <c r="AY119" s="57">
        <v>0</v>
      </c>
    </row>
    <row r="120" spans="1:51" x14ac:dyDescent="0.2">
      <c r="A120" s="54">
        <v>477</v>
      </c>
      <c r="B120" s="54">
        <v>2010</v>
      </c>
      <c r="C120" s="91" t="s">
        <v>80</v>
      </c>
      <c r="D120" s="54" t="s">
        <v>6</v>
      </c>
      <c r="E120" s="54" t="s">
        <v>79</v>
      </c>
      <c r="F120" s="54" t="str">
        <f>_xlfn.CONCAT(Table13[[#This Row],[Geographic Scope]],": ",Table13[[#This Row],[Sub-Type/Focus]])</f>
        <v>National: Single-Topic</v>
      </c>
      <c r="G120" s="54" t="str">
        <f>_xlfn.CONCAT(Table13[[#This Row],[Geographic Scope]],": ",Table13[[#This Row],[Sub-Type/Focus]],": ",Table13[[#This Row],[Content Type]])</f>
        <v>National: Single-Topic: Explanatory &amp; Analysis</v>
      </c>
      <c r="H120" s="54" t="str">
        <f>_xlfn.CONCAT(Table13[[#This Row],[Geographic Scope]],": ",Table13[[#This Row],[Content Type]])</f>
        <v>National: Explanatory &amp; Analysis</v>
      </c>
      <c r="I120" s="55">
        <f>Table13[[#This Row],[Total Contributed Income]]+Table13[[#This Row],[Total Earned Income]]</f>
        <v>80848.490000000005</v>
      </c>
      <c r="J120" s="55">
        <f>Table13[[#This Row],[Cont. Income - Foundation]]+Table13[[#This Row],[Cont. Income - Membership]]+Table13[[#This Row],[Cont. Income - Small Donors]]+Table13[[#This Row],[Cont. Income - Med. Donors]]+Table13[[#This Row],[Cont. Income - Major Donors]]+Table13[[#This Row],[Cont. Income - Other]]</f>
        <v>35225</v>
      </c>
      <c r="K120" s="55">
        <f>Table13[[#This Row],[Earned Income - Advertising]]+Table13[[#This Row],[Earned Income - Sponsorships/Underwriting]]+Table13[[#This Row],[Earned Income - Events]]+Table13[[#This Row],[Earned Income - Subscriptions]]+Table13[[#This Row],[Earned Income - Syndication]]+Table13[[#This Row],[Earned Income - Other]]</f>
        <v>45623.490000000005</v>
      </c>
      <c r="L120" s="56">
        <v>17500</v>
      </c>
      <c r="M120" s="56">
        <v>0</v>
      </c>
      <c r="N120" s="71">
        <f>SUM(Table13[[#This Row],[Cont. Income - Small Donors]:[Cont. Income - Major Donors]])</f>
        <v>16575</v>
      </c>
      <c r="O120" s="56">
        <v>4075</v>
      </c>
      <c r="P120" s="56">
        <v>2500</v>
      </c>
      <c r="Q120" s="56">
        <v>10000</v>
      </c>
      <c r="R120" s="56">
        <v>1150</v>
      </c>
      <c r="S120" s="55" t="s">
        <v>482</v>
      </c>
      <c r="T120" s="56">
        <v>100</v>
      </c>
      <c r="U120" s="56">
        <v>0</v>
      </c>
      <c r="V120" s="56">
        <v>14791</v>
      </c>
      <c r="W120" s="56">
        <v>30732.49</v>
      </c>
      <c r="X120" s="56">
        <v>0</v>
      </c>
      <c r="Y120" s="56">
        <v>0</v>
      </c>
      <c r="AA120" s="55">
        <f>Table13[[#This Row],[Expenses - Editorial]]+Table13[[#This Row],[Expenses - Revenue Generation]]+Table13[[#This Row],[Expenses - Tech]]+Table13[[#This Row],[Expenses - Admin]]</f>
        <v>80698</v>
      </c>
      <c r="AB120" s="56">
        <v>69989</v>
      </c>
      <c r="AC120" s="71">
        <f>SUM(Table13[[#This Row],[Expenses - Revenue Generation]:[Expenses - Admin]])</f>
        <v>10709</v>
      </c>
      <c r="AD120" s="56">
        <v>5000</v>
      </c>
      <c r="AE120" s="56">
        <v>5709</v>
      </c>
      <c r="AF120" s="56">
        <v>0</v>
      </c>
      <c r="AG120" s="59">
        <f>Table13[[#This Row],[Total FTE - Editorial]]+Table13[[#This Row],[Total FTE - Non-Editorial]]</f>
        <v>3</v>
      </c>
      <c r="AH120" s="59">
        <f>Table13[[#This Row],[FTE Salaried - Editorial]]+Table13[[#This Row],[FTE Contractors - Editorial]]</f>
        <v>2.5</v>
      </c>
      <c r="AI120" s="57">
        <v>2</v>
      </c>
      <c r="AJ120" s="57">
        <v>0.5</v>
      </c>
      <c r="AK120" s="60">
        <f>Table13[[#This Row],[FTE Salaried - Non-Editorial]]+Table13[[#This Row],[FTE Contractors - Non-Editorial]]</f>
        <v>0.5</v>
      </c>
      <c r="AL120" s="57">
        <v>0.5</v>
      </c>
      <c r="AM120" s="57">
        <v>0</v>
      </c>
      <c r="AN120" s="54" t="s">
        <v>351</v>
      </c>
      <c r="AQ120" s="57">
        <v>100000</v>
      </c>
      <c r="AR120" s="57">
        <v>13000</v>
      </c>
      <c r="AS120" s="57">
        <v>0</v>
      </c>
      <c r="AT120" s="57">
        <v>0</v>
      </c>
      <c r="AU120" s="57">
        <v>0</v>
      </c>
      <c r="AV120" s="57">
        <v>0</v>
      </c>
      <c r="AW120" s="57">
        <v>0</v>
      </c>
      <c r="AX120" s="57"/>
      <c r="AY120" s="57">
        <v>0</v>
      </c>
    </row>
    <row r="121" spans="1:51" x14ac:dyDescent="0.2">
      <c r="A121" s="54">
        <v>491</v>
      </c>
      <c r="B121" s="54">
        <v>2015</v>
      </c>
      <c r="C121" s="91" t="s">
        <v>80</v>
      </c>
      <c r="D121" s="54" t="s">
        <v>6</v>
      </c>
      <c r="E121" s="54" t="s">
        <v>79</v>
      </c>
      <c r="F121" s="54" t="str">
        <f>_xlfn.CONCAT(Table13[[#This Row],[Geographic Scope]],": ",Table13[[#This Row],[Sub-Type/Focus]])</f>
        <v>National: Single-Topic</v>
      </c>
      <c r="G121" s="54" t="str">
        <f>_xlfn.CONCAT(Table13[[#This Row],[Geographic Scope]],": ",Table13[[#This Row],[Sub-Type/Focus]],": ",Table13[[#This Row],[Content Type]])</f>
        <v>National: Single-Topic: Explanatory &amp; Analysis</v>
      </c>
      <c r="H121" s="54" t="str">
        <f>_xlfn.CONCAT(Table13[[#This Row],[Geographic Scope]],": ",Table13[[#This Row],[Content Type]])</f>
        <v>National: Explanatory &amp; Analysis</v>
      </c>
      <c r="I121" s="55">
        <f>Table13[[#This Row],[Total Contributed Income]]+Table13[[#This Row],[Total Earned Income]]</f>
        <v>6251805.1299999999</v>
      </c>
      <c r="J121" s="55">
        <f>Table13[[#This Row],[Cont. Income - Foundation]]+Table13[[#This Row],[Cont. Income - Membership]]+Table13[[#This Row],[Cont. Income - Small Donors]]+Table13[[#This Row],[Cont. Income - Med. Donors]]+Table13[[#This Row],[Cont. Income - Major Donors]]+Table13[[#This Row],[Cont. Income - Other]]</f>
        <v>6244507.1299999999</v>
      </c>
      <c r="K121" s="55">
        <f>Table13[[#This Row],[Earned Income - Advertising]]+Table13[[#This Row],[Earned Income - Sponsorships/Underwriting]]+Table13[[#This Row],[Earned Income - Events]]+Table13[[#This Row],[Earned Income - Subscriptions]]+Table13[[#This Row],[Earned Income - Syndication]]+Table13[[#This Row],[Earned Income - Other]]</f>
        <v>7298</v>
      </c>
      <c r="L121" s="56">
        <v>175583.1</v>
      </c>
      <c r="M121" s="56">
        <v>36424.03</v>
      </c>
      <c r="N121" s="71">
        <f>SUM(Table13[[#This Row],[Cont. Income - Small Donors]:[Cont. Income - Major Donors]])</f>
        <v>6032500</v>
      </c>
      <c r="O121" s="56">
        <v>0</v>
      </c>
      <c r="P121" s="56">
        <v>0</v>
      </c>
      <c r="Q121" s="56">
        <v>6032500</v>
      </c>
      <c r="R121" s="56">
        <v>0</v>
      </c>
      <c r="T121" s="56">
        <v>0</v>
      </c>
      <c r="U121" s="56">
        <v>0</v>
      </c>
      <c r="V121" s="56">
        <v>0</v>
      </c>
      <c r="W121" s="56">
        <v>0</v>
      </c>
      <c r="X121" s="56">
        <v>0</v>
      </c>
      <c r="Y121" s="56">
        <v>7298</v>
      </c>
      <c r="Z121" s="54" t="s">
        <v>362</v>
      </c>
      <c r="AA121" s="55">
        <f>Table13[[#This Row],[Expenses - Editorial]]+Table13[[#This Row],[Expenses - Revenue Generation]]+Table13[[#This Row],[Expenses - Tech]]+Table13[[#This Row],[Expenses - Admin]]</f>
        <v>1811123</v>
      </c>
      <c r="AB121" s="56">
        <v>1093479</v>
      </c>
      <c r="AC121" s="71">
        <f>SUM(Table13[[#This Row],[Expenses - Revenue Generation]:[Expenses - Admin]])</f>
        <v>717644</v>
      </c>
      <c r="AD121" s="56">
        <v>82862</v>
      </c>
      <c r="AE121" s="56">
        <v>76389</v>
      </c>
      <c r="AF121" s="56">
        <v>558393</v>
      </c>
      <c r="AG121" s="59">
        <f>Table13[[#This Row],[Total FTE - Editorial]]+Table13[[#This Row],[Total FTE - Non-Editorial]]</f>
        <v>15</v>
      </c>
      <c r="AH121" s="59">
        <f>Table13[[#This Row],[FTE Salaried - Editorial]]+Table13[[#This Row],[FTE Contractors - Editorial]]</f>
        <v>12</v>
      </c>
      <c r="AI121" s="57">
        <v>12</v>
      </c>
      <c r="AJ121" s="57">
        <v>0</v>
      </c>
      <c r="AK121" s="60">
        <f>Table13[[#This Row],[FTE Salaried - Non-Editorial]]+Table13[[#This Row],[FTE Contractors - Non-Editorial]]</f>
        <v>3</v>
      </c>
      <c r="AL121" s="57">
        <v>3</v>
      </c>
      <c r="AM121" s="57">
        <v>0</v>
      </c>
      <c r="AN121" s="54" t="s">
        <v>351</v>
      </c>
      <c r="AO121" s="54" t="s">
        <v>404</v>
      </c>
      <c r="AP121" s="54" t="s">
        <v>483</v>
      </c>
      <c r="AQ121" s="57">
        <v>310627</v>
      </c>
      <c r="AR121" s="57">
        <v>29045</v>
      </c>
      <c r="AS121" s="57">
        <v>0</v>
      </c>
      <c r="AT121" s="57">
        <v>0</v>
      </c>
      <c r="AU121" s="57">
        <v>0</v>
      </c>
      <c r="AV121" s="57">
        <v>0</v>
      </c>
      <c r="AW121" s="57">
        <v>0</v>
      </c>
      <c r="AX121" s="57">
        <v>0</v>
      </c>
      <c r="AY121" s="57">
        <v>0</v>
      </c>
    </row>
    <row r="122" spans="1:51" x14ac:dyDescent="0.2">
      <c r="A122" s="54">
        <v>495</v>
      </c>
      <c r="B122" s="54">
        <v>2015</v>
      </c>
      <c r="C122" s="91" t="s">
        <v>80</v>
      </c>
      <c r="D122" s="54" t="s">
        <v>6</v>
      </c>
      <c r="E122" s="54" t="s">
        <v>79</v>
      </c>
      <c r="F122" s="54" t="str">
        <f>_xlfn.CONCAT(Table13[[#This Row],[Geographic Scope]],": ",Table13[[#This Row],[Sub-Type/Focus]])</f>
        <v>National: Single-Topic</v>
      </c>
      <c r="G122" s="54" t="str">
        <f>_xlfn.CONCAT(Table13[[#This Row],[Geographic Scope]],": ",Table13[[#This Row],[Sub-Type/Focus]],": ",Table13[[#This Row],[Content Type]])</f>
        <v>National: Single-Topic: Explanatory &amp; Analysis</v>
      </c>
      <c r="H122" s="54" t="str">
        <f>_xlfn.CONCAT(Table13[[#This Row],[Geographic Scope]],": ",Table13[[#This Row],[Content Type]])</f>
        <v>National: Explanatory &amp; Analysis</v>
      </c>
      <c r="I122" s="55">
        <f>Table13[[#This Row],[Total Contributed Income]]+Table13[[#This Row],[Total Earned Income]]</f>
        <v>3227190</v>
      </c>
      <c r="J122" s="55">
        <f>Table13[[#This Row],[Cont. Income - Foundation]]+Table13[[#This Row],[Cont. Income - Membership]]+Table13[[#This Row],[Cont. Income - Small Donors]]+Table13[[#This Row],[Cont. Income - Med. Donors]]+Table13[[#This Row],[Cont. Income - Major Donors]]+Table13[[#This Row],[Cont. Income - Other]]</f>
        <v>3219215</v>
      </c>
      <c r="K122" s="55">
        <f>Table13[[#This Row],[Earned Income - Advertising]]+Table13[[#This Row],[Earned Income - Sponsorships/Underwriting]]+Table13[[#This Row],[Earned Income - Events]]+Table13[[#This Row],[Earned Income - Subscriptions]]+Table13[[#This Row],[Earned Income - Syndication]]+Table13[[#This Row],[Earned Income - Other]]</f>
        <v>7975</v>
      </c>
      <c r="L122" s="56">
        <v>3106750</v>
      </c>
      <c r="M122" s="56">
        <v>66979</v>
      </c>
      <c r="N122" s="71">
        <f>SUM(Table13[[#This Row],[Cont. Income - Small Donors]:[Cont. Income - Major Donors]])</f>
        <v>45486</v>
      </c>
      <c r="O122" s="56">
        <v>5486</v>
      </c>
      <c r="P122" s="56">
        <v>2500</v>
      </c>
      <c r="Q122" s="56">
        <v>37500</v>
      </c>
      <c r="R122" s="56">
        <v>0</v>
      </c>
      <c r="T122" s="56">
        <v>0</v>
      </c>
      <c r="U122" s="56">
        <v>0</v>
      </c>
      <c r="V122" s="56">
        <v>0</v>
      </c>
      <c r="W122" s="56">
        <v>0</v>
      </c>
      <c r="X122" s="56">
        <v>0</v>
      </c>
      <c r="Y122" s="56">
        <v>7975</v>
      </c>
      <c r="Z122" s="54" t="s">
        <v>484</v>
      </c>
      <c r="AA122" s="55">
        <f>Table13[[#This Row],[Expenses - Editorial]]+Table13[[#This Row],[Expenses - Revenue Generation]]+Table13[[#This Row],[Expenses - Tech]]+Table13[[#This Row],[Expenses - Admin]]</f>
        <v>3168812</v>
      </c>
      <c r="AB122" s="56">
        <v>2039107</v>
      </c>
      <c r="AC122" s="71">
        <f>SUM(Table13[[#This Row],[Expenses - Revenue Generation]:[Expenses - Admin]])</f>
        <v>1129705</v>
      </c>
      <c r="AD122" s="56">
        <v>299009</v>
      </c>
      <c r="AE122" s="56">
        <v>92181</v>
      </c>
      <c r="AF122" s="56">
        <v>738515</v>
      </c>
      <c r="AG122" s="59">
        <f>Table13[[#This Row],[Total FTE - Editorial]]+Table13[[#This Row],[Total FTE - Non-Editorial]]</f>
        <v>23</v>
      </c>
      <c r="AH122" s="59">
        <f>Table13[[#This Row],[FTE Salaried - Editorial]]+Table13[[#This Row],[FTE Contractors - Editorial]]</f>
        <v>18</v>
      </c>
      <c r="AI122" s="57">
        <v>17</v>
      </c>
      <c r="AJ122" s="57">
        <v>1</v>
      </c>
      <c r="AK122" s="60">
        <f>Table13[[#This Row],[FTE Salaried - Non-Editorial]]+Table13[[#This Row],[FTE Contractors - Non-Editorial]]</f>
        <v>5</v>
      </c>
      <c r="AL122" s="57">
        <v>1</v>
      </c>
      <c r="AM122" s="57">
        <v>4</v>
      </c>
      <c r="AN122" s="54" t="s">
        <v>351</v>
      </c>
      <c r="AO122" s="54" t="s">
        <v>356</v>
      </c>
      <c r="AP122" s="54" t="s">
        <v>415</v>
      </c>
      <c r="AQ122" s="57">
        <v>275000</v>
      </c>
      <c r="AR122" s="57">
        <v>16600</v>
      </c>
      <c r="AS122" s="57">
        <v>0</v>
      </c>
      <c r="AT122" s="57">
        <v>0</v>
      </c>
      <c r="AU122" s="57">
        <v>0</v>
      </c>
      <c r="AV122" s="57">
        <v>0</v>
      </c>
      <c r="AW122" s="57">
        <v>0</v>
      </c>
      <c r="AX122" s="57"/>
      <c r="AY122" s="57">
        <v>0</v>
      </c>
    </row>
    <row r="123" spans="1:51" x14ac:dyDescent="0.2">
      <c r="A123" s="54">
        <v>497</v>
      </c>
      <c r="B123" s="54">
        <v>2016</v>
      </c>
      <c r="C123" s="91" t="s">
        <v>80</v>
      </c>
      <c r="D123" s="54" t="s">
        <v>6</v>
      </c>
      <c r="E123" s="54" t="s">
        <v>79</v>
      </c>
      <c r="F123" s="54" t="str">
        <f>_xlfn.CONCAT(Table13[[#This Row],[Geographic Scope]],": ",Table13[[#This Row],[Sub-Type/Focus]])</f>
        <v>National: Single-Topic</v>
      </c>
      <c r="G123" s="54" t="str">
        <f>_xlfn.CONCAT(Table13[[#This Row],[Geographic Scope]],": ",Table13[[#This Row],[Sub-Type/Focus]],": ",Table13[[#This Row],[Content Type]])</f>
        <v>National: Single-Topic: Explanatory &amp; Analysis</v>
      </c>
      <c r="H123" s="54" t="str">
        <f>_xlfn.CONCAT(Table13[[#This Row],[Geographic Scope]],": ",Table13[[#This Row],[Content Type]])</f>
        <v>National: Explanatory &amp; Analysis</v>
      </c>
      <c r="I123" s="55">
        <f>Table13[[#This Row],[Total Contributed Income]]+Table13[[#This Row],[Total Earned Income]]</f>
        <v>551565.32999999996</v>
      </c>
      <c r="J123" s="55">
        <f>Table13[[#This Row],[Cont. Income - Foundation]]+Table13[[#This Row],[Cont. Income - Membership]]+Table13[[#This Row],[Cont. Income - Small Donors]]+Table13[[#This Row],[Cont. Income - Med. Donors]]+Table13[[#This Row],[Cont. Income - Major Donors]]+Table13[[#This Row],[Cont. Income - Other]]</f>
        <v>551497.35</v>
      </c>
      <c r="K123" s="55">
        <f>Table13[[#This Row],[Earned Income - Advertising]]+Table13[[#This Row],[Earned Income - Sponsorships/Underwriting]]+Table13[[#This Row],[Earned Income - Events]]+Table13[[#This Row],[Earned Income - Subscriptions]]+Table13[[#This Row],[Earned Income - Syndication]]+Table13[[#This Row],[Earned Income - Other]]</f>
        <v>67.98</v>
      </c>
      <c r="L123" s="56">
        <v>400426.74</v>
      </c>
      <c r="M123" s="56">
        <v>0</v>
      </c>
      <c r="N123" s="71">
        <f>SUM(Table13[[#This Row],[Cont. Income - Small Donors]:[Cont. Income - Major Donors]])</f>
        <v>125070.61</v>
      </c>
      <c r="O123" s="56">
        <v>28570.61</v>
      </c>
      <c r="P123" s="56">
        <v>1000</v>
      </c>
      <c r="Q123" s="56">
        <v>95500</v>
      </c>
      <c r="R123" s="56">
        <v>26000</v>
      </c>
      <c r="S123" s="55" t="s">
        <v>485</v>
      </c>
      <c r="T123" s="56">
        <v>0</v>
      </c>
      <c r="U123" s="56">
        <v>0</v>
      </c>
      <c r="V123" s="56">
        <v>0</v>
      </c>
      <c r="W123" s="56">
        <v>0</v>
      </c>
      <c r="X123" s="56">
        <v>67.98</v>
      </c>
      <c r="Y123" s="56">
        <v>0</v>
      </c>
      <c r="AA123" s="55">
        <f>Table13[[#This Row],[Expenses - Editorial]]+Table13[[#This Row],[Expenses - Revenue Generation]]+Table13[[#This Row],[Expenses - Tech]]+Table13[[#This Row],[Expenses - Admin]]</f>
        <v>352901</v>
      </c>
      <c r="AB123" s="56">
        <v>118607</v>
      </c>
      <c r="AC123" s="71">
        <f>SUM(Table13[[#This Row],[Expenses - Revenue Generation]:[Expenses - Admin]])</f>
        <v>234294</v>
      </c>
      <c r="AD123" s="56">
        <v>84967</v>
      </c>
      <c r="AE123" s="56">
        <v>20280</v>
      </c>
      <c r="AF123" s="56">
        <v>129047</v>
      </c>
      <c r="AG123" s="59">
        <f>Table13[[#This Row],[Total FTE - Editorial]]+Table13[[#This Row],[Total FTE - Non-Editorial]]</f>
        <v>3</v>
      </c>
      <c r="AH123" s="59">
        <f>Table13[[#This Row],[FTE Salaried - Editorial]]+Table13[[#This Row],[FTE Contractors - Editorial]]</f>
        <v>1.5</v>
      </c>
      <c r="AI123" s="57">
        <v>1.5</v>
      </c>
      <c r="AJ123" s="57">
        <v>0</v>
      </c>
      <c r="AK123" s="60">
        <f>Table13[[#This Row],[FTE Salaried - Non-Editorial]]+Table13[[#This Row],[FTE Contractors - Non-Editorial]]</f>
        <v>1.5</v>
      </c>
      <c r="AL123" s="57">
        <v>1.5</v>
      </c>
      <c r="AM123" s="57">
        <v>0</v>
      </c>
      <c r="AN123" s="54" t="s">
        <v>351</v>
      </c>
      <c r="AQ123" s="57">
        <v>20000</v>
      </c>
      <c r="AR123" s="57">
        <v>10000</v>
      </c>
      <c r="AS123" s="57">
        <v>0</v>
      </c>
      <c r="AT123" s="57">
        <v>0</v>
      </c>
      <c r="AU123" s="57">
        <v>0</v>
      </c>
      <c r="AV123" s="57">
        <v>0</v>
      </c>
      <c r="AW123" s="57">
        <v>0</v>
      </c>
      <c r="AX123" s="57"/>
      <c r="AY123" s="57">
        <v>0</v>
      </c>
    </row>
    <row r="124" spans="1:51" x14ac:dyDescent="0.2">
      <c r="A124" s="54">
        <v>2906</v>
      </c>
      <c r="B124" s="54">
        <v>2019</v>
      </c>
      <c r="C124" s="91" t="s">
        <v>80</v>
      </c>
      <c r="D124" s="54" t="s">
        <v>6</v>
      </c>
      <c r="E124" s="54" t="s">
        <v>79</v>
      </c>
      <c r="F124" s="54" t="str">
        <f>_xlfn.CONCAT(Table13[[#This Row],[Geographic Scope]],": ",Table13[[#This Row],[Sub-Type/Focus]])</f>
        <v>National: Single-Topic</v>
      </c>
      <c r="G124" s="54" t="str">
        <f>_xlfn.CONCAT(Table13[[#This Row],[Geographic Scope]],": ",Table13[[#This Row],[Sub-Type/Focus]],": ",Table13[[#This Row],[Content Type]])</f>
        <v>National: Single-Topic: Explanatory &amp; Analysis</v>
      </c>
      <c r="H124" s="54" t="str">
        <f>_xlfn.CONCAT(Table13[[#This Row],[Geographic Scope]],": ",Table13[[#This Row],[Content Type]])</f>
        <v>National: Explanatory &amp; Analysis</v>
      </c>
      <c r="I124" s="55">
        <f>Table13[[#This Row],[Total Contributed Income]]+Table13[[#This Row],[Total Earned Income]]</f>
        <v>27950</v>
      </c>
      <c r="J124" s="55">
        <f>Table13[[#This Row],[Cont. Income - Foundation]]+Table13[[#This Row],[Cont. Income - Membership]]+Table13[[#This Row],[Cont. Income - Small Donors]]+Table13[[#This Row],[Cont. Income - Med. Donors]]+Table13[[#This Row],[Cont. Income - Major Donors]]+Table13[[#This Row],[Cont. Income - Other]]</f>
        <v>27950</v>
      </c>
      <c r="K124" s="55">
        <f>Table13[[#This Row],[Earned Income - Advertising]]+Table13[[#This Row],[Earned Income - Sponsorships/Underwriting]]+Table13[[#This Row],[Earned Income - Events]]+Table13[[#This Row],[Earned Income - Subscriptions]]+Table13[[#This Row],[Earned Income - Syndication]]+Table13[[#This Row],[Earned Income - Other]]</f>
        <v>0</v>
      </c>
      <c r="L124" s="56">
        <v>15950</v>
      </c>
      <c r="M124" s="56">
        <v>0</v>
      </c>
      <c r="N124" s="71">
        <f>SUM(Table13[[#This Row],[Cont. Income - Small Donors]:[Cont. Income - Major Donors]])</f>
        <v>12000</v>
      </c>
      <c r="O124" s="56">
        <v>6300</v>
      </c>
      <c r="P124" s="56">
        <v>5700</v>
      </c>
      <c r="Q124" s="56">
        <v>0</v>
      </c>
      <c r="R124" s="56">
        <v>0</v>
      </c>
      <c r="T124" s="56">
        <v>0</v>
      </c>
      <c r="U124" s="56">
        <v>0</v>
      </c>
      <c r="V124" s="56">
        <v>0</v>
      </c>
      <c r="W124" s="56">
        <v>0</v>
      </c>
      <c r="X124" s="56">
        <v>0</v>
      </c>
      <c r="Y124" s="56">
        <v>0</v>
      </c>
      <c r="AA124" s="55">
        <f>Table13[[#This Row],[Expenses - Editorial]]+Table13[[#This Row],[Expenses - Revenue Generation]]+Table13[[#This Row],[Expenses - Tech]]+Table13[[#This Row],[Expenses - Admin]]</f>
        <v>10500</v>
      </c>
      <c r="AB124" s="56">
        <v>8500</v>
      </c>
      <c r="AC124" s="71">
        <f>SUM(Table13[[#This Row],[Expenses - Revenue Generation]:[Expenses - Admin]])</f>
        <v>2000</v>
      </c>
      <c r="AD124" s="56">
        <v>0</v>
      </c>
      <c r="AE124" s="56">
        <v>1000</v>
      </c>
      <c r="AF124" s="56">
        <v>1000</v>
      </c>
      <c r="AG124" s="59">
        <f>Table13[[#This Row],[Total FTE - Editorial]]+Table13[[#This Row],[Total FTE - Non-Editorial]]</f>
        <v>0</v>
      </c>
      <c r="AH124" s="59">
        <f>Table13[[#This Row],[FTE Salaried - Editorial]]+Table13[[#This Row],[FTE Contractors - Editorial]]</f>
        <v>0</v>
      </c>
      <c r="AI124" s="57">
        <v>0</v>
      </c>
      <c r="AJ124" s="57">
        <v>0</v>
      </c>
      <c r="AK124" s="60">
        <f>Table13[[#This Row],[FTE Salaried - Non-Editorial]]+Table13[[#This Row],[FTE Contractors - Non-Editorial]]</f>
        <v>0</v>
      </c>
      <c r="AL124" s="57">
        <v>0</v>
      </c>
      <c r="AM124" s="57">
        <v>0</v>
      </c>
      <c r="AN124" s="54" t="s">
        <v>351</v>
      </c>
      <c r="AQ124" s="57">
        <v>4000</v>
      </c>
      <c r="AR124" s="57">
        <v>5000</v>
      </c>
      <c r="AS124" s="57">
        <v>0</v>
      </c>
      <c r="AT124" s="57">
        <v>0</v>
      </c>
      <c r="AU124" s="57">
        <v>0</v>
      </c>
      <c r="AV124" s="57">
        <v>0</v>
      </c>
      <c r="AW124" s="57">
        <v>0</v>
      </c>
      <c r="AX124" s="57"/>
      <c r="AY124" s="57">
        <v>0</v>
      </c>
    </row>
    <row r="125" spans="1:51" x14ac:dyDescent="0.2">
      <c r="A125" s="54">
        <v>2917</v>
      </c>
      <c r="B125" s="54">
        <v>2019</v>
      </c>
      <c r="C125" s="91" t="s">
        <v>80</v>
      </c>
      <c r="D125" s="54" t="s">
        <v>6</v>
      </c>
      <c r="E125" s="54" t="s">
        <v>79</v>
      </c>
      <c r="F125" s="54" t="str">
        <f>_xlfn.CONCAT(Table13[[#This Row],[Geographic Scope]],": ",Table13[[#This Row],[Sub-Type/Focus]])</f>
        <v>National: Single-Topic</v>
      </c>
      <c r="G125" s="54" t="str">
        <f>_xlfn.CONCAT(Table13[[#This Row],[Geographic Scope]],": ",Table13[[#This Row],[Sub-Type/Focus]],": ",Table13[[#This Row],[Content Type]])</f>
        <v>National: Single-Topic: Explanatory &amp; Analysis</v>
      </c>
      <c r="H125" s="54" t="str">
        <f>_xlfn.CONCAT(Table13[[#This Row],[Geographic Scope]],": ",Table13[[#This Row],[Content Type]])</f>
        <v>National: Explanatory &amp; Analysis</v>
      </c>
      <c r="I125" s="55">
        <f>Table13[[#This Row],[Total Contributed Income]]+Table13[[#This Row],[Total Earned Income]]</f>
        <v>470069.04000000004</v>
      </c>
      <c r="J125" s="55">
        <f>Table13[[#This Row],[Cont. Income - Foundation]]+Table13[[#This Row],[Cont. Income - Membership]]+Table13[[#This Row],[Cont. Income - Small Donors]]+Table13[[#This Row],[Cont. Income - Med. Donors]]+Table13[[#This Row],[Cont. Income - Major Donors]]+Table13[[#This Row],[Cont. Income - Other]]</f>
        <v>429569.04000000004</v>
      </c>
      <c r="K125" s="55">
        <f>Table13[[#This Row],[Earned Income - Advertising]]+Table13[[#This Row],[Earned Income - Sponsorships/Underwriting]]+Table13[[#This Row],[Earned Income - Events]]+Table13[[#This Row],[Earned Income - Subscriptions]]+Table13[[#This Row],[Earned Income - Syndication]]+Table13[[#This Row],[Earned Income - Other]]</f>
        <v>40500</v>
      </c>
      <c r="L125" s="56">
        <v>409450</v>
      </c>
      <c r="M125" s="56">
        <v>0</v>
      </c>
      <c r="N125" s="71">
        <f>SUM(Table13[[#This Row],[Cont. Income - Small Donors]:[Cont. Income - Major Donors]])</f>
        <v>20119.04</v>
      </c>
      <c r="O125" s="56">
        <v>12963.46</v>
      </c>
      <c r="P125" s="56">
        <v>2155.58</v>
      </c>
      <c r="Q125" s="56">
        <v>5000</v>
      </c>
      <c r="R125" s="56">
        <v>0</v>
      </c>
      <c r="T125" s="56">
        <v>0</v>
      </c>
      <c r="U125" s="56">
        <v>24000</v>
      </c>
      <c r="V125" s="56">
        <v>0</v>
      </c>
      <c r="W125" s="56">
        <v>0</v>
      </c>
      <c r="X125" s="56">
        <v>0</v>
      </c>
      <c r="Y125" s="56">
        <v>16500</v>
      </c>
      <c r="Z125" s="54" t="s">
        <v>486</v>
      </c>
      <c r="AA125" s="55">
        <f>Table13[[#This Row],[Expenses - Editorial]]+Table13[[#This Row],[Expenses - Revenue Generation]]+Table13[[#This Row],[Expenses - Tech]]+Table13[[#This Row],[Expenses - Admin]]</f>
        <v>348580</v>
      </c>
      <c r="AB125" s="56">
        <v>264500</v>
      </c>
      <c r="AC125" s="71">
        <f>SUM(Table13[[#This Row],[Expenses - Revenue Generation]:[Expenses - Admin]])</f>
        <v>84080</v>
      </c>
      <c r="AD125" s="56">
        <v>15000</v>
      </c>
      <c r="AE125" s="56">
        <v>7080</v>
      </c>
      <c r="AF125" s="56">
        <v>62000</v>
      </c>
      <c r="AG125" s="59">
        <f>Table13[[#This Row],[Total FTE - Editorial]]+Table13[[#This Row],[Total FTE - Non-Editorial]]</f>
        <v>4.25</v>
      </c>
      <c r="AH125" s="59">
        <f>Table13[[#This Row],[FTE Salaried - Editorial]]+Table13[[#This Row],[FTE Contractors - Editorial]]</f>
        <v>4.25</v>
      </c>
      <c r="AI125" s="57">
        <v>0</v>
      </c>
      <c r="AJ125" s="57">
        <v>4.25</v>
      </c>
      <c r="AK125" s="60">
        <f>Table13[[#This Row],[FTE Salaried - Non-Editorial]]+Table13[[#This Row],[FTE Contractors - Non-Editorial]]</f>
        <v>0</v>
      </c>
      <c r="AL125" s="57">
        <v>0</v>
      </c>
      <c r="AM125" s="57">
        <v>0</v>
      </c>
      <c r="AN125" s="54" t="s">
        <v>351</v>
      </c>
      <c r="AQ125" s="57">
        <v>5000</v>
      </c>
      <c r="AR125" s="57">
        <v>19000</v>
      </c>
      <c r="AS125" s="57">
        <v>0</v>
      </c>
      <c r="AT125" s="57">
        <v>0</v>
      </c>
      <c r="AU125" s="57">
        <v>0</v>
      </c>
      <c r="AV125" s="57">
        <v>0</v>
      </c>
      <c r="AW125" s="57">
        <v>0</v>
      </c>
      <c r="AX125" s="57"/>
      <c r="AY125" s="57">
        <v>0</v>
      </c>
    </row>
    <row r="126" spans="1:51" x14ac:dyDescent="0.2">
      <c r="A126" s="54">
        <v>6804</v>
      </c>
      <c r="B126" s="54">
        <v>2018</v>
      </c>
      <c r="C126" s="91" t="s">
        <v>80</v>
      </c>
      <c r="D126" s="54" t="s">
        <v>6</v>
      </c>
      <c r="E126" s="54" t="s">
        <v>79</v>
      </c>
      <c r="F126" s="54" t="str">
        <f>_xlfn.CONCAT(Table13[[#This Row],[Geographic Scope]],": ",Table13[[#This Row],[Sub-Type/Focus]])</f>
        <v>National: Single-Topic</v>
      </c>
      <c r="G126" s="54" t="str">
        <f>_xlfn.CONCAT(Table13[[#This Row],[Geographic Scope]],": ",Table13[[#This Row],[Sub-Type/Focus]],": ",Table13[[#This Row],[Content Type]])</f>
        <v>National: Single-Topic: Explanatory &amp; Analysis</v>
      </c>
      <c r="H126" s="54" t="str">
        <f>_xlfn.CONCAT(Table13[[#This Row],[Geographic Scope]],": ",Table13[[#This Row],[Content Type]])</f>
        <v>National: Explanatory &amp; Analysis</v>
      </c>
      <c r="I126" s="55">
        <f>Table13[[#This Row],[Total Contributed Income]]+Table13[[#This Row],[Total Earned Income]]</f>
        <v>90924.959999999992</v>
      </c>
      <c r="J126" s="55">
        <f>Table13[[#This Row],[Cont. Income - Foundation]]+Table13[[#This Row],[Cont. Income - Membership]]+Table13[[#This Row],[Cont. Income - Small Donors]]+Table13[[#This Row],[Cont. Income - Med. Donors]]+Table13[[#This Row],[Cont. Income - Major Donors]]+Table13[[#This Row],[Cont. Income - Other]]</f>
        <v>45157</v>
      </c>
      <c r="K126" s="55">
        <f>Table13[[#This Row],[Earned Income - Advertising]]+Table13[[#This Row],[Earned Income - Sponsorships/Underwriting]]+Table13[[#This Row],[Earned Income - Events]]+Table13[[#This Row],[Earned Income - Subscriptions]]+Table13[[#This Row],[Earned Income - Syndication]]+Table13[[#This Row],[Earned Income - Other]]</f>
        <v>45767.96</v>
      </c>
      <c r="L126" s="56">
        <v>0</v>
      </c>
      <c r="M126" s="56">
        <v>0</v>
      </c>
      <c r="N126" s="71">
        <f>SUM(Table13[[#This Row],[Cont. Income - Small Donors]:[Cont. Income - Major Donors]])</f>
        <v>45157</v>
      </c>
      <c r="O126" s="56">
        <v>40088</v>
      </c>
      <c r="P126" s="56">
        <v>5069</v>
      </c>
      <c r="Q126" s="56">
        <v>0</v>
      </c>
      <c r="R126" s="56">
        <v>0</v>
      </c>
      <c r="T126" s="56">
        <v>1276.96</v>
      </c>
      <c r="U126" s="56">
        <v>0</v>
      </c>
      <c r="V126" s="56">
        <v>0</v>
      </c>
      <c r="W126" s="56">
        <v>0</v>
      </c>
      <c r="X126" s="56">
        <v>4491</v>
      </c>
      <c r="Y126" s="56">
        <v>40000</v>
      </c>
      <c r="Z126" s="54" t="s">
        <v>487</v>
      </c>
      <c r="AA126" s="55">
        <f>Table13[[#This Row],[Expenses - Editorial]]+Table13[[#This Row],[Expenses - Revenue Generation]]+Table13[[#This Row],[Expenses - Tech]]+Table13[[#This Row],[Expenses - Admin]]</f>
        <v>40610.019999999997</v>
      </c>
      <c r="AB126" s="56">
        <v>28465.17</v>
      </c>
      <c r="AC126" s="71">
        <f>SUM(Table13[[#This Row],[Expenses - Revenue Generation]:[Expenses - Admin]])</f>
        <v>12144.849999999999</v>
      </c>
      <c r="AD126" s="56">
        <v>158.38</v>
      </c>
      <c r="AE126" s="56">
        <v>3310</v>
      </c>
      <c r="AF126" s="56">
        <v>8676.4699999999993</v>
      </c>
      <c r="AG126" s="59">
        <f>Table13[[#This Row],[Total FTE - Editorial]]+Table13[[#This Row],[Total FTE - Non-Editorial]]</f>
        <v>1.2</v>
      </c>
      <c r="AH126" s="59">
        <f>Table13[[#This Row],[FTE Salaried - Editorial]]+Table13[[#This Row],[FTE Contractors - Editorial]]</f>
        <v>1.2</v>
      </c>
      <c r="AI126" s="57">
        <v>1</v>
      </c>
      <c r="AJ126" s="57">
        <v>0.2</v>
      </c>
      <c r="AK126" s="60">
        <f>Table13[[#This Row],[FTE Salaried - Non-Editorial]]+Table13[[#This Row],[FTE Contractors - Non-Editorial]]</f>
        <v>0</v>
      </c>
      <c r="AL126" s="57">
        <v>0</v>
      </c>
      <c r="AM126" s="57">
        <v>0</v>
      </c>
      <c r="AN126" s="54" t="s">
        <v>488</v>
      </c>
      <c r="AO126" s="54" t="s">
        <v>457</v>
      </c>
      <c r="AQ126" s="57">
        <v>800</v>
      </c>
      <c r="AR126" s="57">
        <v>2624</v>
      </c>
      <c r="AS126" s="57">
        <v>0</v>
      </c>
      <c r="AT126" s="57">
        <v>0</v>
      </c>
      <c r="AU126" s="57">
        <v>0</v>
      </c>
      <c r="AV126" s="57">
        <v>0</v>
      </c>
      <c r="AW126" s="57">
        <v>0</v>
      </c>
      <c r="AX126" s="57"/>
      <c r="AY126" s="57">
        <v>60000</v>
      </c>
    </row>
    <row r="127" spans="1:51" x14ac:dyDescent="0.2">
      <c r="A127" s="54">
        <v>369</v>
      </c>
      <c r="B127" s="54">
        <v>2013</v>
      </c>
      <c r="C127" s="91" t="s">
        <v>81</v>
      </c>
      <c r="D127" s="54" t="s">
        <v>6</v>
      </c>
      <c r="E127" s="54" t="s">
        <v>77</v>
      </c>
      <c r="F127" s="54" t="str">
        <f>_xlfn.CONCAT(Table13[[#This Row],[Geographic Scope]],": ",Table13[[#This Row],[Sub-Type/Focus]])</f>
        <v>National: General</v>
      </c>
      <c r="G127" s="54" t="str">
        <f>_xlfn.CONCAT(Table13[[#This Row],[Geographic Scope]],": ",Table13[[#This Row],[Sub-Type/Focus]],": ",Table13[[#This Row],[Content Type]])</f>
        <v>National: General: Investigative</v>
      </c>
      <c r="H127" s="54" t="str">
        <f>_xlfn.CONCAT(Table13[[#This Row],[Geographic Scope]],": ",Table13[[#This Row],[Content Type]])</f>
        <v>National: Investigative</v>
      </c>
      <c r="I127" s="55">
        <f>Table13[[#This Row],[Total Contributed Income]]+Table13[[#This Row],[Total Earned Income]]</f>
        <v>3870423</v>
      </c>
      <c r="J127" s="55">
        <f>Table13[[#This Row],[Cont. Income - Foundation]]+Table13[[#This Row],[Cont. Income - Membership]]+Table13[[#This Row],[Cont. Income - Small Donors]]+Table13[[#This Row],[Cont. Income - Med. Donors]]+Table13[[#This Row],[Cont. Income - Major Donors]]+Table13[[#This Row],[Cont. Income - Other]]</f>
        <v>3832554</v>
      </c>
      <c r="K127" s="55">
        <f>Table13[[#This Row],[Earned Income - Advertising]]+Table13[[#This Row],[Earned Income - Sponsorships/Underwriting]]+Table13[[#This Row],[Earned Income - Events]]+Table13[[#This Row],[Earned Income - Subscriptions]]+Table13[[#This Row],[Earned Income - Syndication]]+Table13[[#This Row],[Earned Income - Other]]</f>
        <v>37869</v>
      </c>
      <c r="L127" s="56">
        <v>95021</v>
      </c>
      <c r="M127" s="56">
        <v>0</v>
      </c>
      <c r="N127" s="71">
        <f>SUM(Table13[[#This Row],[Cont. Income - Small Donors]:[Cont. Income - Major Donors]])</f>
        <v>3737533</v>
      </c>
      <c r="O127" s="56">
        <v>3471007</v>
      </c>
      <c r="P127" s="56">
        <v>200826</v>
      </c>
      <c r="Q127" s="56">
        <v>65700</v>
      </c>
      <c r="R127" s="56">
        <v>0</v>
      </c>
      <c r="T127" s="56">
        <v>22365</v>
      </c>
      <c r="U127" s="56">
        <v>0</v>
      </c>
      <c r="V127" s="56">
        <v>15504</v>
      </c>
      <c r="W127" s="56">
        <v>0</v>
      </c>
      <c r="X127" s="56">
        <v>0</v>
      </c>
      <c r="Y127" s="56">
        <v>0</v>
      </c>
      <c r="AA127" s="55">
        <f>Table13[[#This Row],[Expenses - Editorial]]+Table13[[#This Row],[Expenses - Revenue Generation]]+Table13[[#This Row],[Expenses - Tech]]+Table13[[#This Row],[Expenses - Admin]]</f>
        <v>29395000</v>
      </c>
      <c r="AB127" s="56">
        <v>14730000</v>
      </c>
      <c r="AC127" s="71">
        <f>SUM(Table13[[#This Row],[Expenses - Revenue Generation]:[Expenses - Admin]])</f>
        <v>14665000</v>
      </c>
      <c r="AD127" s="56">
        <v>2815000</v>
      </c>
      <c r="AE127" s="56">
        <v>1405000</v>
      </c>
      <c r="AF127" s="56">
        <v>10445000</v>
      </c>
      <c r="AG127" s="59">
        <f>Table13[[#This Row],[Total FTE - Editorial]]+Table13[[#This Row],[Total FTE - Non-Editorial]]</f>
        <v>52</v>
      </c>
      <c r="AH127" s="59">
        <f>Table13[[#This Row],[FTE Salaried - Editorial]]+Table13[[#This Row],[FTE Contractors - Editorial]]</f>
        <v>52</v>
      </c>
      <c r="AI127" s="57">
        <v>52</v>
      </c>
      <c r="AJ127" s="57">
        <v>0</v>
      </c>
      <c r="AK127" s="60">
        <f>Table13[[#This Row],[FTE Salaried - Non-Editorial]]+Table13[[#This Row],[FTE Contractors - Non-Editorial]]</f>
        <v>0</v>
      </c>
      <c r="AL127" s="57">
        <v>0</v>
      </c>
      <c r="AM127" s="57">
        <v>0</v>
      </c>
      <c r="AN127" s="54" t="s">
        <v>351</v>
      </c>
      <c r="AO127" s="54" t="s">
        <v>359</v>
      </c>
      <c r="AQ127" s="57">
        <v>7000000</v>
      </c>
      <c r="AR127" s="57">
        <v>315000</v>
      </c>
      <c r="AS127" s="57">
        <v>0</v>
      </c>
      <c r="AT127" s="57">
        <v>0</v>
      </c>
      <c r="AU127" s="57">
        <v>0</v>
      </c>
      <c r="AV127" s="57">
        <v>0</v>
      </c>
      <c r="AW127" s="57">
        <v>0</v>
      </c>
      <c r="AX127" s="57"/>
      <c r="AY127" s="57">
        <v>1300000</v>
      </c>
    </row>
    <row r="128" spans="1:51" x14ac:dyDescent="0.2">
      <c r="A128" s="54">
        <v>476</v>
      </c>
      <c r="B128" s="54">
        <v>2014</v>
      </c>
      <c r="C128" s="91" t="s">
        <v>81</v>
      </c>
      <c r="D128" s="54" t="s">
        <v>6</v>
      </c>
      <c r="E128" s="54" t="s">
        <v>77</v>
      </c>
      <c r="F128" s="54" t="str">
        <f>_xlfn.CONCAT(Table13[[#This Row],[Geographic Scope]],": ",Table13[[#This Row],[Sub-Type/Focus]])</f>
        <v>National: General</v>
      </c>
      <c r="G128" s="54" t="str">
        <f>_xlfn.CONCAT(Table13[[#This Row],[Geographic Scope]],": ",Table13[[#This Row],[Sub-Type/Focus]],": ",Table13[[#This Row],[Content Type]])</f>
        <v>National: General: Investigative</v>
      </c>
      <c r="H128" s="54" t="str">
        <f>_xlfn.CONCAT(Table13[[#This Row],[Geographic Scope]],": ",Table13[[#This Row],[Content Type]])</f>
        <v>National: Investigative</v>
      </c>
      <c r="I128" s="55">
        <f>Table13[[#This Row],[Total Contributed Income]]+Table13[[#This Row],[Total Earned Income]]</f>
        <v>2822736.24</v>
      </c>
      <c r="J128" s="55">
        <f>Table13[[#This Row],[Cont. Income - Foundation]]+Table13[[#This Row],[Cont. Income - Membership]]+Table13[[#This Row],[Cont. Income - Small Donors]]+Table13[[#This Row],[Cont. Income - Med. Donors]]+Table13[[#This Row],[Cont. Income - Major Donors]]+Table13[[#This Row],[Cont. Income - Other]]</f>
        <v>2806939.79</v>
      </c>
      <c r="K128" s="55">
        <f>Table13[[#This Row],[Earned Income - Advertising]]+Table13[[#This Row],[Earned Income - Sponsorships/Underwriting]]+Table13[[#This Row],[Earned Income - Events]]+Table13[[#This Row],[Earned Income - Subscriptions]]+Table13[[#This Row],[Earned Income - Syndication]]+Table13[[#This Row],[Earned Income - Other]]</f>
        <v>15796.45</v>
      </c>
      <c r="L128" s="56">
        <v>450335.43</v>
      </c>
      <c r="M128" s="56">
        <v>1927125.92</v>
      </c>
      <c r="N128" s="71">
        <f>SUM(Table13[[#This Row],[Cont. Income - Small Donors]:[Cont. Income - Major Donors]])</f>
        <v>344478.44</v>
      </c>
      <c r="O128" s="56">
        <v>285028.44</v>
      </c>
      <c r="P128" s="56">
        <v>19450</v>
      </c>
      <c r="Q128" s="56">
        <v>40000</v>
      </c>
      <c r="R128" s="56">
        <v>85000</v>
      </c>
      <c r="S128" s="55" t="s">
        <v>489</v>
      </c>
      <c r="T128" s="56">
        <v>0</v>
      </c>
      <c r="U128" s="56">
        <v>0</v>
      </c>
      <c r="V128" s="56">
        <v>0</v>
      </c>
      <c r="W128" s="56">
        <v>0</v>
      </c>
      <c r="X128" s="56">
        <v>0</v>
      </c>
      <c r="Y128" s="56">
        <v>15796.45</v>
      </c>
      <c r="Z128" s="54" t="s">
        <v>490</v>
      </c>
      <c r="AA128" s="55">
        <f>Table13[[#This Row],[Expenses - Editorial]]+Table13[[#This Row],[Expenses - Revenue Generation]]+Table13[[#This Row],[Expenses - Tech]]+Table13[[#This Row],[Expenses - Admin]]</f>
        <v>4027770</v>
      </c>
      <c r="AB128" s="56">
        <v>3220803</v>
      </c>
      <c r="AC128" s="71">
        <f>SUM(Table13[[#This Row],[Expenses - Revenue Generation]:[Expenses - Admin]])</f>
        <v>806967</v>
      </c>
      <c r="AD128" s="56">
        <v>469451</v>
      </c>
      <c r="AE128" s="56">
        <v>125000</v>
      </c>
      <c r="AF128" s="56">
        <v>212516</v>
      </c>
      <c r="AG128" s="59">
        <f>Table13[[#This Row],[Total FTE - Editorial]]+Table13[[#This Row],[Total FTE - Non-Editorial]]</f>
        <v>31</v>
      </c>
      <c r="AH128" s="59">
        <f>Table13[[#This Row],[FTE Salaried - Editorial]]+Table13[[#This Row],[FTE Contractors - Editorial]]</f>
        <v>23.5</v>
      </c>
      <c r="AI128" s="57">
        <v>21.5</v>
      </c>
      <c r="AJ128" s="57">
        <v>2</v>
      </c>
      <c r="AK128" s="60">
        <f>Table13[[#This Row],[FTE Salaried - Non-Editorial]]+Table13[[#This Row],[FTE Contractors - Non-Editorial]]</f>
        <v>7.5</v>
      </c>
      <c r="AL128" s="57">
        <v>7.5</v>
      </c>
      <c r="AM128" s="57">
        <v>0</v>
      </c>
      <c r="AN128" s="54" t="s">
        <v>351</v>
      </c>
      <c r="AO128" s="54" t="s">
        <v>359</v>
      </c>
      <c r="AQ128" s="57">
        <v>4763452</v>
      </c>
      <c r="AR128" s="57">
        <v>251480</v>
      </c>
      <c r="AS128" s="57">
        <v>0</v>
      </c>
      <c r="AT128" s="57">
        <v>0</v>
      </c>
      <c r="AU128" s="57">
        <v>0</v>
      </c>
      <c r="AV128" s="57">
        <v>0</v>
      </c>
      <c r="AW128" s="57">
        <v>0</v>
      </c>
      <c r="AX128" s="57"/>
      <c r="AY128" s="57">
        <v>0</v>
      </c>
    </row>
    <row r="129" spans="1:51" x14ac:dyDescent="0.2">
      <c r="A129" s="54">
        <v>344</v>
      </c>
      <c r="B129" s="54">
        <v>1989</v>
      </c>
      <c r="C129" s="91" t="s">
        <v>81</v>
      </c>
      <c r="D129" s="54" t="s">
        <v>6</v>
      </c>
      <c r="E129" s="54" t="s">
        <v>78</v>
      </c>
      <c r="F129" s="54" t="str">
        <f>_xlfn.CONCAT(Table13[[#This Row],[Geographic Scope]],": ",Table13[[#This Row],[Sub-Type/Focus]])</f>
        <v>National: Multiple Related Topics</v>
      </c>
      <c r="G129" s="54" t="str">
        <f>_xlfn.CONCAT(Table13[[#This Row],[Geographic Scope]],": ",Table13[[#This Row],[Sub-Type/Focus]],": ",Table13[[#This Row],[Content Type]])</f>
        <v>National: Multiple Related Topics: Investigative</v>
      </c>
      <c r="H129" s="54" t="str">
        <f>_xlfn.CONCAT(Table13[[#This Row],[Geographic Scope]],": ",Table13[[#This Row],[Content Type]])</f>
        <v>National: Investigative</v>
      </c>
      <c r="I129" s="55">
        <f>Table13[[#This Row],[Total Contributed Income]]+Table13[[#This Row],[Total Earned Income]]</f>
        <v>6160545</v>
      </c>
      <c r="J129" s="55">
        <f>Table13[[#This Row],[Cont. Income - Foundation]]+Table13[[#This Row],[Cont. Income - Membership]]+Table13[[#This Row],[Cont. Income - Small Donors]]+Table13[[#This Row],[Cont. Income - Med. Donors]]+Table13[[#This Row],[Cont. Income - Major Donors]]+Table13[[#This Row],[Cont. Income - Other]]</f>
        <v>6155545</v>
      </c>
      <c r="K129" s="55">
        <f>Table13[[#This Row],[Earned Income - Advertising]]+Table13[[#This Row],[Earned Income - Sponsorships/Underwriting]]+Table13[[#This Row],[Earned Income - Events]]+Table13[[#This Row],[Earned Income - Subscriptions]]+Table13[[#This Row],[Earned Income - Syndication]]+Table13[[#This Row],[Earned Income - Other]]</f>
        <v>5000</v>
      </c>
      <c r="L129" s="56">
        <v>3800000</v>
      </c>
      <c r="M129" s="56">
        <v>0</v>
      </c>
      <c r="N129" s="71">
        <f>SUM(Table13[[#This Row],[Cont. Income - Small Donors]:[Cont. Income - Major Donors]])</f>
        <v>2355545</v>
      </c>
      <c r="O129" s="56">
        <v>242189</v>
      </c>
      <c r="P129" s="56">
        <v>114814</v>
      </c>
      <c r="Q129" s="56">
        <v>1998542</v>
      </c>
      <c r="R129" s="56">
        <v>0</v>
      </c>
      <c r="T129" s="56">
        <v>0</v>
      </c>
      <c r="U129" s="56">
        <v>0</v>
      </c>
      <c r="V129" s="56">
        <v>0</v>
      </c>
      <c r="W129" s="56">
        <v>0</v>
      </c>
      <c r="X129" s="56">
        <v>0</v>
      </c>
      <c r="Y129" s="56">
        <v>5000</v>
      </c>
      <c r="Z129" s="54" t="s">
        <v>491</v>
      </c>
      <c r="AA129" s="55">
        <f>Table13[[#This Row],[Expenses - Editorial]]+Table13[[#This Row],[Expenses - Revenue Generation]]+Table13[[#This Row],[Expenses - Tech]]+Table13[[#This Row],[Expenses - Admin]]</f>
        <v>5887230</v>
      </c>
      <c r="AB129" s="56">
        <v>2554425</v>
      </c>
      <c r="AC129" s="71">
        <f>SUM(Table13[[#This Row],[Expenses - Revenue Generation]:[Expenses - Admin]])</f>
        <v>3332805</v>
      </c>
      <c r="AD129" s="56">
        <v>2500000</v>
      </c>
      <c r="AE129" s="56">
        <v>332424</v>
      </c>
      <c r="AF129" s="56">
        <v>500381</v>
      </c>
      <c r="AG129" s="59">
        <f>Table13[[#This Row],[Total FTE - Editorial]]+Table13[[#This Row],[Total FTE - Non-Editorial]]</f>
        <v>31.5</v>
      </c>
      <c r="AH129" s="59">
        <f>Table13[[#This Row],[FTE Salaried - Editorial]]+Table13[[#This Row],[FTE Contractors - Editorial]]</f>
        <v>19</v>
      </c>
      <c r="AI129" s="57">
        <v>19</v>
      </c>
      <c r="AJ129" s="57">
        <v>0</v>
      </c>
      <c r="AK129" s="60">
        <f>Table13[[#This Row],[FTE Salaried - Non-Editorial]]+Table13[[#This Row],[FTE Contractors - Non-Editorial]]</f>
        <v>12.5</v>
      </c>
      <c r="AL129" s="57">
        <v>7.5</v>
      </c>
      <c r="AM129" s="57">
        <v>5</v>
      </c>
      <c r="AN129" s="54" t="s">
        <v>351</v>
      </c>
      <c r="AO129" s="54" t="s">
        <v>359</v>
      </c>
      <c r="AQ129" s="57">
        <v>50000</v>
      </c>
      <c r="AR129" s="57">
        <v>80000</v>
      </c>
      <c r="AS129" s="57">
        <v>0</v>
      </c>
      <c r="AT129" s="57">
        <v>0</v>
      </c>
      <c r="AU129" s="57">
        <v>0</v>
      </c>
      <c r="AV129" s="57">
        <v>0</v>
      </c>
      <c r="AW129" s="57">
        <v>0</v>
      </c>
      <c r="AX129" s="57">
        <v>0</v>
      </c>
      <c r="AY129" s="57">
        <v>150000</v>
      </c>
    </row>
    <row r="130" spans="1:51" x14ac:dyDescent="0.2">
      <c r="A130" s="54">
        <v>394</v>
      </c>
      <c r="B130" s="54">
        <v>2008</v>
      </c>
      <c r="C130" s="91" t="s">
        <v>81</v>
      </c>
      <c r="D130" s="54" t="s">
        <v>6</v>
      </c>
      <c r="E130" s="54" t="s">
        <v>78</v>
      </c>
      <c r="F130" s="54" t="str">
        <f>_xlfn.CONCAT(Table13[[#This Row],[Geographic Scope]],": ",Table13[[#This Row],[Sub-Type/Focus]])</f>
        <v>National: Multiple Related Topics</v>
      </c>
      <c r="G130" s="54" t="str">
        <f>_xlfn.CONCAT(Table13[[#This Row],[Geographic Scope]],": ",Table13[[#This Row],[Sub-Type/Focus]],": ",Table13[[#This Row],[Content Type]])</f>
        <v>National: Multiple Related Topics: Investigative</v>
      </c>
      <c r="H130" s="54" t="str">
        <f>_xlfn.CONCAT(Table13[[#This Row],[Geographic Scope]],": ",Table13[[#This Row],[Content Type]])</f>
        <v>National: Investigative</v>
      </c>
      <c r="I130" s="55">
        <f>Table13[[#This Row],[Total Contributed Income]]+Table13[[#This Row],[Total Earned Income]]</f>
        <v>1823667</v>
      </c>
      <c r="J130" s="55">
        <f>Table13[[#This Row],[Cont. Income - Foundation]]+Table13[[#This Row],[Cont. Income - Membership]]+Table13[[#This Row],[Cont. Income - Small Donors]]+Table13[[#This Row],[Cont. Income - Med. Donors]]+Table13[[#This Row],[Cont. Income - Major Donors]]+Table13[[#This Row],[Cont. Income - Other]]</f>
        <v>1036500</v>
      </c>
      <c r="K130" s="55">
        <f>Table13[[#This Row],[Earned Income - Advertising]]+Table13[[#This Row],[Earned Income - Sponsorships/Underwriting]]+Table13[[#This Row],[Earned Income - Events]]+Table13[[#This Row],[Earned Income - Subscriptions]]+Table13[[#This Row],[Earned Income - Syndication]]+Table13[[#This Row],[Earned Income - Other]]</f>
        <v>787167</v>
      </c>
      <c r="L130" s="56">
        <v>1020000</v>
      </c>
      <c r="M130" s="56">
        <v>0</v>
      </c>
      <c r="N130" s="71">
        <f>SUM(Table13[[#This Row],[Cont. Income - Small Donors]:[Cont. Income - Major Donors]])</f>
        <v>16500</v>
      </c>
      <c r="O130" s="56">
        <v>4065</v>
      </c>
      <c r="P130" s="56">
        <v>2435</v>
      </c>
      <c r="Q130" s="56">
        <v>10000</v>
      </c>
      <c r="R130" s="56">
        <v>0</v>
      </c>
      <c r="T130" s="56">
        <v>0</v>
      </c>
      <c r="U130" s="56">
        <v>0</v>
      </c>
      <c r="V130" s="56">
        <v>0</v>
      </c>
      <c r="W130" s="56">
        <v>0</v>
      </c>
      <c r="X130" s="56">
        <v>4464</v>
      </c>
      <c r="Y130" s="56">
        <v>782703</v>
      </c>
      <c r="Z130" s="54" t="s">
        <v>492</v>
      </c>
      <c r="AA130" s="55">
        <f>Table13[[#This Row],[Expenses - Editorial]]+Table13[[#This Row],[Expenses - Revenue Generation]]+Table13[[#This Row],[Expenses - Tech]]+Table13[[#This Row],[Expenses - Admin]]</f>
        <v>1743481</v>
      </c>
      <c r="AB130" s="56">
        <v>1296404</v>
      </c>
      <c r="AC130" s="71">
        <f>SUM(Table13[[#This Row],[Expenses - Revenue Generation]:[Expenses - Admin]])</f>
        <v>447077</v>
      </c>
      <c r="AD130" s="56">
        <v>164526</v>
      </c>
      <c r="AE130" s="56">
        <v>75437</v>
      </c>
      <c r="AF130" s="56">
        <v>207114</v>
      </c>
      <c r="AG130" s="59">
        <f>Table13[[#This Row],[Total FTE - Editorial]]+Table13[[#This Row],[Total FTE - Non-Editorial]]</f>
        <v>21</v>
      </c>
      <c r="AH130" s="59">
        <f>Table13[[#This Row],[FTE Salaried - Editorial]]+Table13[[#This Row],[FTE Contractors - Editorial]]</f>
        <v>17</v>
      </c>
      <c r="AI130" s="57">
        <v>4</v>
      </c>
      <c r="AJ130" s="57">
        <v>13</v>
      </c>
      <c r="AK130" s="60">
        <f>Table13[[#This Row],[FTE Salaried - Non-Editorial]]+Table13[[#This Row],[FTE Contractors - Non-Editorial]]</f>
        <v>4</v>
      </c>
      <c r="AL130" s="57">
        <v>3</v>
      </c>
      <c r="AM130" s="57">
        <v>1</v>
      </c>
      <c r="AN130" s="54" t="s">
        <v>352</v>
      </c>
      <c r="AO130" s="54" t="s">
        <v>493</v>
      </c>
      <c r="AP130" s="54" t="s">
        <v>483</v>
      </c>
      <c r="AQ130" s="57">
        <v>6669</v>
      </c>
      <c r="AR130" s="57">
        <v>1970</v>
      </c>
      <c r="AS130" s="57">
        <v>0</v>
      </c>
      <c r="AT130" s="57">
        <v>0</v>
      </c>
      <c r="AU130" s="57">
        <v>0</v>
      </c>
      <c r="AV130" s="57">
        <v>0</v>
      </c>
      <c r="AW130" s="57">
        <v>0</v>
      </c>
      <c r="AX130" s="57"/>
      <c r="AY130" s="57">
        <v>0</v>
      </c>
    </row>
    <row r="131" spans="1:51" x14ac:dyDescent="0.2">
      <c r="A131" s="54">
        <v>418</v>
      </c>
      <c r="B131" s="54">
        <v>2010</v>
      </c>
      <c r="C131" s="91" t="s">
        <v>81</v>
      </c>
      <c r="D131" s="54" t="s">
        <v>6</v>
      </c>
      <c r="E131" s="54" t="s">
        <v>78</v>
      </c>
      <c r="F131" s="54" t="str">
        <f>_xlfn.CONCAT(Table13[[#This Row],[Geographic Scope]],": ",Table13[[#This Row],[Sub-Type/Focus]])</f>
        <v>National: Multiple Related Topics</v>
      </c>
      <c r="G131" s="54" t="str">
        <f>_xlfn.CONCAT(Table13[[#This Row],[Geographic Scope]],": ",Table13[[#This Row],[Sub-Type/Focus]],": ",Table13[[#This Row],[Content Type]])</f>
        <v>National: Multiple Related Topics: Investigative</v>
      </c>
      <c r="H131" s="54" t="str">
        <f>_xlfn.CONCAT(Table13[[#This Row],[Geographic Scope]],": ",Table13[[#This Row],[Content Type]])</f>
        <v>National: Investigative</v>
      </c>
      <c r="I131" s="55">
        <f>Table13[[#This Row],[Total Contributed Income]]+Table13[[#This Row],[Total Earned Income]]</f>
        <v>0</v>
      </c>
      <c r="J131" s="55">
        <f>Table13[[#This Row],[Cont. Income - Foundation]]+Table13[[#This Row],[Cont. Income - Membership]]+Table13[[#This Row],[Cont. Income - Small Donors]]+Table13[[#This Row],[Cont. Income - Med. Donors]]+Table13[[#This Row],[Cont. Income - Major Donors]]+Table13[[#This Row],[Cont. Income - Other]]</f>
        <v>0</v>
      </c>
      <c r="K131" s="55">
        <f>Table13[[#This Row],[Earned Income - Advertising]]+Table13[[#This Row],[Earned Income - Sponsorships/Underwriting]]+Table13[[#This Row],[Earned Income - Events]]+Table13[[#This Row],[Earned Income - Subscriptions]]+Table13[[#This Row],[Earned Income - Syndication]]+Table13[[#This Row],[Earned Income - Other]]</f>
        <v>0</v>
      </c>
      <c r="L131" s="56"/>
      <c r="M131" s="56"/>
      <c r="N131" s="71">
        <f>SUM(Table13[[#This Row],[Cont. Income - Small Donors]:[Cont. Income - Major Donors]])</f>
        <v>0</v>
      </c>
      <c r="O131" s="56"/>
      <c r="P131" s="56"/>
      <c r="Q131" s="56"/>
      <c r="R131" s="56"/>
      <c r="T131" s="56"/>
      <c r="U131" s="56"/>
      <c r="V131" s="56"/>
      <c r="W131" s="56"/>
      <c r="X131" s="56"/>
      <c r="Y131" s="56"/>
      <c r="AA131" s="55">
        <f>Table13[[#This Row],[Expenses - Editorial]]+Table13[[#This Row],[Expenses - Revenue Generation]]+Table13[[#This Row],[Expenses - Tech]]+Table13[[#This Row],[Expenses - Admin]]</f>
        <v>550000</v>
      </c>
      <c r="AB131" s="56">
        <v>100000</v>
      </c>
      <c r="AC131" s="71">
        <f>SUM(Table13[[#This Row],[Expenses - Revenue Generation]:[Expenses - Admin]])</f>
        <v>450000</v>
      </c>
      <c r="AD131" s="56">
        <v>50000</v>
      </c>
      <c r="AE131" s="56">
        <v>300000</v>
      </c>
      <c r="AF131" s="56">
        <v>100000</v>
      </c>
      <c r="AG131" s="59">
        <f>Table13[[#This Row],[Total FTE - Editorial]]+Table13[[#This Row],[Total FTE - Non-Editorial]]</f>
        <v>6</v>
      </c>
      <c r="AH131" s="59">
        <f>Table13[[#This Row],[FTE Salaried - Editorial]]+Table13[[#This Row],[FTE Contractors - Editorial]]</f>
        <v>1</v>
      </c>
      <c r="AI131" s="57">
        <v>1</v>
      </c>
      <c r="AJ131" s="57">
        <v>0</v>
      </c>
      <c r="AK131" s="60">
        <f>Table13[[#This Row],[FTE Salaried - Non-Editorial]]+Table13[[#This Row],[FTE Contractors - Non-Editorial]]</f>
        <v>5</v>
      </c>
      <c r="AL131" s="57">
        <v>2</v>
      </c>
      <c r="AM131" s="57">
        <v>3</v>
      </c>
      <c r="AN131" s="54" t="s">
        <v>351</v>
      </c>
      <c r="AQ131" s="57">
        <v>50000000</v>
      </c>
      <c r="AR131" s="57">
        <v>20000</v>
      </c>
      <c r="AS131" s="57">
        <v>0</v>
      </c>
      <c r="AT131" s="57">
        <v>0</v>
      </c>
      <c r="AU131" s="57">
        <v>0</v>
      </c>
      <c r="AV131" s="57">
        <v>0</v>
      </c>
      <c r="AW131" s="57">
        <v>0</v>
      </c>
      <c r="AX131" s="57"/>
      <c r="AY131" s="57">
        <v>0</v>
      </c>
    </row>
    <row r="132" spans="1:51" x14ac:dyDescent="0.2">
      <c r="A132" s="54">
        <v>426</v>
      </c>
      <c r="B132" s="54">
        <v>2003</v>
      </c>
      <c r="C132" s="91" t="s">
        <v>81</v>
      </c>
      <c r="D132" s="54" t="s">
        <v>6</v>
      </c>
      <c r="E132" s="54" t="s">
        <v>78</v>
      </c>
      <c r="F132" s="54" t="str">
        <f>_xlfn.CONCAT(Table13[[#This Row],[Geographic Scope]],": ",Table13[[#This Row],[Sub-Type/Focus]])</f>
        <v>National: Multiple Related Topics</v>
      </c>
      <c r="G132" s="54" t="str">
        <f>_xlfn.CONCAT(Table13[[#This Row],[Geographic Scope]],": ",Table13[[#This Row],[Sub-Type/Focus]],": ",Table13[[#This Row],[Content Type]])</f>
        <v>National: Multiple Related Topics: Investigative</v>
      </c>
      <c r="H132" s="54" t="str">
        <f>_xlfn.CONCAT(Table13[[#This Row],[Geographic Scope]],": ",Table13[[#This Row],[Content Type]])</f>
        <v>National: Investigative</v>
      </c>
      <c r="I132" s="55">
        <f>Table13[[#This Row],[Total Contributed Income]]+Table13[[#This Row],[Total Earned Income]]</f>
        <v>1163203</v>
      </c>
      <c r="J132" s="55">
        <f>Table13[[#This Row],[Cont. Income - Foundation]]+Table13[[#This Row],[Cont. Income - Membership]]+Table13[[#This Row],[Cont. Income - Small Donors]]+Table13[[#This Row],[Cont. Income - Med. Donors]]+Table13[[#This Row],[Cont. Income - Major Donors]]+Table13[[#This Row],[Cont. Income - Other]]</f>
        <v>784028</v>
      </c>
      <c r="K132" s="55">
        <f>Table13[[#This Row],[Earned Income - Advertising]]+Table13[[#This Row],[Earned Income - Sponsorships/Underwriting]]+Table13[[#This Row],[Earned Income - Events]]+Table13[[#This Row],[Earned Income - Subscriptions]]+Table13[[#This Row],[Earned Income - Syndication]]+Table13[[#This Row],[Earned Income - Other]]</f>
        <v>379175</v>
      </c>
      <c r="L132" s="56">
        <v>664931</v>
      </c>
      <c r="M132" s="56">
        <v>0</v>
      </c>
      <c r="N132" s="71">
        <f>SUM(Table13[[#This Row],[Cont. Income - Small Donors]:[Cont. Income - Major Donors]])</f>
        <v>119097</v>
      </c>
      <c r="O132" s="56">
        <v>112569</v>
      </c>
      <c r="P132" s="56">
        <v>6528</v>
      </c>
      <c r="Q132" s="56">
        <v>0</v>
      </c>
      <c r="R132" s="56">
        <v>0</v>
      </c>
      <c r="T132" s="56">
        <v>118913</v>
      </c>
      <c r="U132" s="56">
        <v>152000</v>
      </c>
      <c r="V132" s="56">
        <v>8494</v>
      </c>
      <c r="W132" s="56">
        <v>0</v>
      </c>
      <c r="X132" s="56">
        <v>0</v>
      </c>
      <c r="Y132" s="56">
        <v>99768</v>
      </c>
      <c r="Z132" s="54" t="s">
        <v>494</v>
      </c>
      <c r="AA132" s="55">
        <f>Table13[[#This Row],[Expenses - Editorial]]+Table13[[#This Row],[Expenses - Revenue Generation]]+Table13[[#This Row],[Expenses - Tech]]+Table13[[#This Row],[Expenses - Admin]]</f>
        <v>1089504</v>
      </c>
      <c r="AB132" s="56">
        <v>534663</v>
      </c>
      <c r="AC132" s="71">
        <f>SUM(Table13[[#This Row],[Expenses - Revenue Generation]:[Expenses - Admin]])</f>
        <v>554841</v>
      </c>
      <c r="AD132" s="56">
        <v>387389</v>
      </c>
      <c r="AE132" s="56">
        <v>38126</v>
      </c>
      <c r="AF132" s="56">
        <v>129326</v>
      </c>
      <c r="AG132" s="59">
        <f>Table13[[#This Row],[Total FTE - Editorial]]+Table13[[#This Row],[Total FTE - Non-Editorial]]</f>
        <v>7</v>
      </c>
      <c r="AH132" s="59">
        <f>Table13[[#This Row],[FTE Salaried - Editorial]]+Table13[[#This Row],[FTE Contractors - Editorial]]</f>
        <v>4</v>
      </c>
      <c r="AI132" s="57">
        <v>4</v>
      </c>
      <c r="AJ132" s="57">
        <v>0</v>
      </c>
      <c r="AK132" s="60">
        <f>Table13[[#This Row],[FTE Salaried - Non-Editorial]]+Table13[[#This Row],[FTE Contractors - Non-Editorial]]</f>
        <v>3</v>
      </c>
      <c r="AL132" s="57">
        <v>3</v>
      </c>
      <c r="AM132" s="57">
        <v>0</v>
      </c>
      <c r="AN132" s="54" t="s">
        <v>347</v>
      </c>
      <c r="AO132" s="54" t="s">
        <v>443</v>
      </c>
      <c r="AQ132" s="57">
        <v>150000</v>
      </c>
      <c r="AR132" s="57">
        <v>34995</v>
      </c>
      <c r="AS132" s="57">
        <v>4000</v>
      </c>
      <c r="AT132" s="57">
        <v>1</v>
      </c>
      <c r="AU132" s="57">
        <v>0</v>
      </c>
      <c r="AV132" s="57">
        <v>0</v>
      </c>
      <c r="AW132" s="57">
        <v>0</v>
      </c>
      <c r="AX132" s="57">
        <v>0</v>
      </c>
      <c r="AY132" s="57">
        <v>0</v>
      </c>
    </row>
    <row r="133" spans="1:51" x14ac:dyDescent="0.2">
      <c r="A133" s="54">
        <v>442</v>
      </c>
      <c r="B133" s="54">
        <v>2007</v>
      </c>
      <c r="C133" s="91" t="s">
        <v>81</v>
      </c>
      <c r="D133" s="54" t="s">
        <v>6</v>
      </c>
      <c r="E133" s="54" t="s">
        <v>78</v>
      </c>
      <c r="F133" s="54" t="str">
        <f>_xlfn.CONCAT(Table13[[#This Row],[Geographic Scope]],": ",Table13[[#This Row],[Sub-Type/Focus]])</f>
        <v>National: Multiple Related Topics</v>
      </c>
      <c r="G133" s="54" t="str">
        <f>_xlfn.CONCAT(Table13[[#This Row],[Geographic Scope]],": ",Table13[[#This Row],[Sub-Type/Focus]],": ",Table13[[#This Row],[Content Type]])</f>
        <v>National: Multiple Related Topics: Investigative</v>
      </c>
      <c r="H133" s="54" t="str">
        <f>_xlfn.CONCAT(Table13[[#This Row],[Geographic Scope]],": ",Table13[[#This Row],[Content Type]])</f>
        <v>National: Investigative</v>
      </c>
      <c r="I133" s="55">
        <f>Table13[[#This Row],[Total Contributed Income]]+Table13[[#This Row],[Total Earned Income]]</f>
        <v>0</v>
      </c>
      <c r="J133" s="55">
        <f>Table13[[#This Row],[Cont. Income - Foundation]]+Table13[[#This Row],[Cont. Income - Membership]]+Table13[[#This Row],[Cont. Income - Small Donors]]+Table13[[#This Row],[Cont. Income - Med. Donors]]+Table13[[#This Row],[Cont. Income - Major Donors]]+Table13[[#This Row],[Cont. Income - Other]]</f>
        <v>0</v>
      </c>
      <c r="K133" s="55">
        <f>Table13[[#This Row],[Earned Income - Advertising]]+Table13[[#This Row],[Earned Income - Sponsorships/Underwriting]]+Table13[[#This Row],[Earned Income - Events]]+Table13[[#This Row],[Earned Income - Subscriptions]]+Table13[[#This Row],[Earned Income - Syndication]]+Table13[[#This Row],[Earned Income - Other]]</f>
        <v>0</v>
      </c>
      <c r="L133" s="56"/>
      <c r="M133" s="56"/>
      <c r="N133" s="71">
        <f>SUM(Table13[[#This Row],[Cont. Income - Small Donors]:[Cont. Income - Major Donors]])</f>
        <v>0</v>
      </c>
      <c r="O133" s="56"/>
      <c r="P133" s="56"/>
      <c r="Q133" s="56"/>
      <c r="R133" s="56"/>
      <c r="T133" s="56"/>
      <c r="U133" s="56"/>
      <c r="V133" s="56"/>
      <c r="W133" s="56"/>
      <c r="X133" s="56"/>
      <c r="Y133" s="56"/>
      <c r="AA133" s="55">
        <f>Table13[[#This Row],[Expenses - Editorial]]+Table13[[#This Row],[Expenses - Revenue Generation]]+Table13[[#This Row],[Expenses - Tech]]+Table13[[#This Row],[Expenses - Admin]]</f>
        <v>1757941</v>
      </c>
      <c r="AB133" s="56">
        <v>1497217</v>
      </c>
      <c r="AC133" s="71">
        <f>SUM(Table13[[#This Row],[Expenses - Revenue Generation]:[Expenses - Admin]])</f>
        <v>260724</v>
      </c>
      <c r="AD133" s="56">
        <v>124221</v>
      </c>
      <c r="AE133" s="56">
        <v>65021</v>
      </c>
      <c r="AF133" s="56">
        <v>71482</v>
      </c>
      <c r="AG133" s="59">
        <f>Table13[[#This Row],[Total FTE - Editorial]]+Table13[[#This Row],[Total FTE - Non-Editorial]]</f>
        <v>16</v>
      </c>
      <c r="AH133" s="59">
        <f>Table13[[#This Row],[FTE Salaried - Editorial]]+Table13[[#This Row],[FTE Contractors - Editorial]]</f>
        <v>16</v>
      </c>
      <c r="AI133" s="57">
        <v>13</v>
      </c>
      <c r="AJ133" s="57">
        <v>3</v>
      </c>
      <c r="AK133" s="60">
        <f>Table13[[#This Row],[FTE Salaried - Non-Editorial]]+Table13[[#This Row],[FTE Contractors - Non-Editorial]]</f>
        <v>0</v>
      </c>
      <c r="AL133" s="57">
        <v>0</v>
      </c>
      <c r="AM133" s="57">
        <v>0</v>
      </c>
      <c r="AN133" s="54" t="s">
        <v>352</v>
      </c>
      <c r="AO133" s="54" t="s">
        <v>495</v>
      </c>
      <c r="AQ133" s="57">
        <v>6230972</v>
      </c>
      <c r="AR133" s="57">
        <v>102000</v>
      </c>
      <c r="AS133" s="57">
        <v>0</v>
      </c>
      <c r="AT133" s="57">
        <v>0</v>
      </c>
      <c r="AU133" s="57">
        <v>0</v>
      </c>
      <c r="AV133" s="57">
        <v>0</v>
      </c>
      <c r="AW133" s="57">
        <v>0</v>
      </c>
      <c r="AX133" s="57"/>
      <c r="AY133" s="57">
        <v>0</v>
      </c>
    </row>
    <row r="134" spans="1:51" x14ac:dyDescent="0.2">
      <c r="A134" s="54">
        <v>472</v>
      </c>
      <c r="B134" s="54">
        <v>1977</v>
      </c>
      <c r="C134" s="91" t="s">
        <v>81</v>
      </c>
      <c r="D134" s="54" t="s">
        <v>6</v>
      </c>
      <c r="E134" s="54" t="s">
        <v>78</v>
      </c>
      <c r="F134" s="54" t="str">
        <f>_xlfn.CONCAT(Table13[[#This Row],[Geographic Scope]],": ",Table13[[#This Row],[Sub-Type/Focus]])</f>
        <v>National: Multiple Related Topics</v>
      </c>
      <c r="G134" s="54" t="str">
        <f>_xlfn.CONCAT(Table13[[#This Row],[Geographic Scope]],": ",Table13[[#This Row],[Sub-Type/Focus]],": ",Table13[[#This Row],[Content Type]])</f>
        <v>National: Multiple Related Topics: Investigative</v>
      </c>
      <c r="H134" s="54" t="str">
        <f>_xlfn.CONCAT(Table13[[#This Row],[Geographic Scope]],": ",Table13[[#This Row],[Content Type]])</f>
        <v>National: Investigative</v>
      </c>
      <c r="I134" s="55">
        <f>Table13[[#This Row],[Total Contributed Income]]+Table13[[#This Row],[Total Earned Income]]</f>
        <v>9955030.0999999996</v>
      </c>
      <c r="J134" s="55">
        <f>Table13[[#This Row],[Cont. Income - Foundation]]+Table13[[#This Row],[Cont. Income - Membership]]+Table13[[#This Row],[Cont. Income - Small Donors]]+Table13[[#This Row],[Cont. Income - Med. Donors]]+Table13[[#This Row],[Cont. Income - Major Donors]]+Table13[[#This Row],[Cont. Income - Other]]</f>
        <v>9443419.0999999996</v>
      </c>
      <c r="K134" s="55">
        <f>Table13[[#This Row],[Earned Income - Advertising]]+Table13[[#This Row],[Earned Income - Sponsorships/Underwriting]]+Table13[[#This Row],[Earned Income - Events]]+Table13[[#This Row],[Earned Income - Subscriptions]]+Table13[[#This Row],[Earned Income - Syndication]]+Table13[[#This Row],[Earned Income - Other]]</f>
        <v>511611</v>
      </c>
      <c r="L134" s="56">
        <v>7163191</v>
      </c>
      <c r="M134" s="56">
        <v>386105</v>
      </c>
      <c r="N134" s="71">
        <f>SUM(Table13[[#This Row],[Cont. Income - Small Donors]:[Cont. Income - Major Donors]])</f>
        <v>1894123.1</v>
      </c>
      <c r="O134" s="56">
        <v>7447.1</v>
      </c>
      <c r="P134" s="56">
        <v>174175</v>
      </c>
      <c r="Q134" s="56">
        <v>1712501</v>
      </c>
      <c r="R134" s="56">
        <v>0</v>
      </c>
      <c r="T134" s="56">
        <v>15000</v>
      </c>
      <c r="U134" s="56">
        <v>465111</v>
      </c>
      <c r="V134" s="56">
        <v>0</v>
      </c>
      <c r="W134" s="56">
        <v>0</v>
      </c>
      <c r="X134" s="56">
        <v>31500</v>
      </c>
      <c r="Y134" s="56">
        <v>0</v>
      </c>
      <c r="AA134" s="55">
        <f>Table13[[#This Row],[Expenses - Editorial]]+Table13[[#This Row],[Expenses - Revenue Generation]]+Table13[[#This Row],[Expenses - Tech]]+Table13[[#This Row],[Expenses - Admin]]</f>
        <v>11001939</v>
      </c>
      <c r="AB134" s="56">
        <v>7092043</v>
      </c>
      <c r="AC134" s="71">
        <f>SUM(Table13[[#This Row],[Expenses - Revenue Generation]:[Expenses - Admin]])</f>
        <v>3909896</v>
      </c>
      <c r="AD134" s="56">
        <v>641976</v>
      </c>
      <c r="AE134" s="56">
        <v>201138</v>
      </c>
      <c r="AF134" s="56">
        <v>3066782</v>
      </c>
      <c r="AG134" s="59">
        <f>Table13[[#This Row],[Total FTE - Editorial]]+Table13[[#This Row],[Total FTE - Non-Editorial]]</f>
        <v>67</v>
      </c>
      <c r="AH134" s="59">
        <f>Table13[[#This Row],[FTE Salaried - Editorial]]+Table13[[#This Row],[FTE Contractors - Editorial]]</f>
        <v>55</v>
      </c>
      <c r="AI134" s="57">
        <v>53.5</v>
      </c>
      <c r="AJ134" s="57">
        <v>1.5</v>
      </c>
      <c r="AK134" s="60">
        <f>Table13[[#This Row],[FTE Salaried - Non-Editorial]]+Table13[[#This Row],[FTE Contractors - Non-Editorial]]</f>
        <v>12</v>
      </c>
      <c r="AL134" s="57">
        <v>11</v>
      </c>
      <c r="AM134" s="57">
        <v>1</v>
      </c>
      <c r="AN134" s="54" t="s">
        <v>352</v>
      </c>
      <c r="AO134" s="54" t="s">
        <v>496</v>
      </c>
      <c r="AQ134" s="57">
        <v>200000</v>
      </c>
      <c r="AR134" s="57">
        <v>37668</v>
      </c>
      <c r="AS134" s="57">
        <v>0</v>
      </c>
      <c r="AT134" s="57">
        <v>0</v>
      </c>
      <c r="AU134" s="57"/>
      <c r="AV134" s="57" t="s">
        <v>497</v>
      </c>
      <c r="AW134" s="57">
        <v>0</v>
      </c>
      <c r="AX134" s="57">
        <v>0</v>
      </c>
      <c r="AY134" s="57">
        <v>1200000</v>
      </c>
    </row>
    <row r="135" spans="1:51" x14ac:dyDescent="0.2">
      <c r="A135" s="54">
        <v>506</v>
      </c>
      <c r="B135" s="54">
        <v>1969</v>
      </c>
      <c r="C135" s="91" t="s">
        <v>81</v>
      </c>
      <c r="D135" s="54" t="s">
        <v>6</v>
      </c>
      <c r="E135" s="54" t="s">
        <v>78</v>
      </c>
      <c r="F135" s="54" t="str">
        <f>_xlfn.CONCAT(Table13[[#This Row],[Geographic Scope]],": ",Table13[[#This Row],[Sub-Type/Focus]])</f>
        <v>National: Multiple Related Topics</v>
      </c>
      <c r="G135" s="54" t="str">
        <f>_xlfn.CONCAT(Table13[[#This Row],[Geographic Scope]],": ",Table13[[#This Row],[Sub-Type/Focus]],": ",Table13[[#This Row],[Content Type]])</f>
        <v>National: Multiple Related Topics: Investigative</v>
      </c>
      <c r="H135" s="54" t="str">
        <f>_xlfn.CONCAT(Table13[[#This Row],[Geographic Scope]],": ",Table13[[#This Row],[Content Type]])</f>
        <v>National: Investigative</v>
      </c>
      <c r="I135" s="55">
        <f>Table13[[#This Row],[Total Contributed Income]]+Table13[[#This Row],[Total Earned Income]]</f>
        <v>1675324</v>
      </c>
      <c r="J135" s="55">
        <f>Table13[[#This Row],[Cont. Income - Foundation]]+Table13[[#This Row],[Cont. Income - Membership]]+Table13[[#This Row],[Cont. Income - Small Donors]]+Table13[[#This Row],[Cont. Income - Med. Donors]]+Table13[[#This Row],[Cont. Income - Major Donors]]+Table13[[#This Row],[Cont. Income - Other]]</f>
        <v>1401797</v>
      </c>
      <c r="K135" s="55">
        <f>Table13[[#This Row],[Earned Income - Advertising]]+Table13[[#This Row],[Earned Income - Sponsorships/Underwriting]]+Table13[[#This Row],[Earned Income - Events]]+Table13[[#This Row],[Earned Income - Subscriptions]]+Table13[[#This Row],[Earned Income - Syndication]]+Table13[[#This Row],[Earned Income - Other]]</f>
        <v>273527</v>
      </c>
      <c r="L135" s="56">
        <v>1333792</v>
      </c>
      <c r="M135" s="56">
        <v>0</v>
      </c>
      <c r="N135" s="71">
        <f>SUM(Table13[[#This Row],[Cont. Income - Small Donors]:[Cont. Income - Major Donors]])</f>
        <v>68005</v>
      </c>
      <c r="O135" s="56">
        <v>47005</v>
      </c>
      <c r="P135" s="56">
        <v>6000</v>
      </c>
      <c r="Q135" s="56">
        <v>15000</v>
      </c>
      <c r="R135" s="56">
        <v>0</v>
      </c>
      <c r="S135" s="55">
        <v>0</v>
      </c>
      <c r="T135" s="56">
        <v>202309</v>
      </c>
      <c r="U135" s="56">
        <v>0</v>
      </c>
      <c r="V135" s="56">
        <v>0</v>
      </c>
      <c r="W135" s="56">
        <v>59330</v>
      </c>
      <c r="X135" s="56">
        <v>0</v>
      </c>
      <c r="Y135" s="56">
        <v>11888</v>
      </c>
      <c r="Z135" s="54" t="s">
        <v>498</v>
      </c>
      <c r="AA135" s="55">
        <f>Table13[[#This Row],[Expenses - Editorial]]+Table13[[#This Row],[Expenses - Revenue Generation]]+Table13[[#This Row],[Expenses - Tech]]+Table13[[#This Row],[Expenses - Admin]]</f>
        <v>1164629</v>
      </c>
      <c r="AB135" s="56">
        <v>640276</v>
      </c>
      <c r="AC135" s="71">
        <f>SUM(Table13[[#This Row],[Expenses - Revenue Generation]:[Expenses - Admin]])</f>
        <v>524353</v>
      </c>
      <c r="AD135" s="56">
        <v>114214</v>
      </c>
      <c r="AE135" s="56">
        <v>47925</v>
      </c>
      <c r="AF135" s="56">
        <v>362214</v>
      </c>
      <c r="AG135" s="59">
        <f>Table13[[#This Row],[Total FTE - Editorial]]+Table13[[#This Row],[Total FTE - Non-Editorial]]</f>
        <v>10.85</v>
      </c>
      <c r="AH135" s="59">
        <f>Table13[[#This Row],[FTE Salaried - Editorial]]+Table13[[#This Row],[FTE Contractors - Editorial]]</f>
        <v>7.1</v>
      </c>
      <c r="AI135" s="57">
        <v>6</v>
      </c>
      <c r="AJ135" s="57">
        <v>1.1000000000000001</v>
      </c>
      <c r="AK135" s="60">
        <f>Table13[[#This Row],[FTE Salaried - Non-Editorial]]+Table13[[#This Row],[FTE Contractors - Non-Editorial]]</f>
        <v>3.75</v>
      </c>
      <c r="AL135" s="57">
        <v>2</v>
      </c>
      <c r="AM135" s="57">
        <v>1.75</v>
      </c>
      <c r="AN135" s="54" t="s">
        <v>347</v>
      </c>
      <c r="AO135" s="54" t="s">
        <v>351</v>
      </c>
      <c r="AQ135" s="57">
        <v>1500000</v>
      </c>
      <c r="AR135" s="57">
        <v>33547</v>
      </c>
      <c r="AS135" s="57">
        <v>11000</v>
      </c>
      <c r="AT135" s="57">
        <v>5</v>
      </c>
      <c r="AU135" s="57">
        <v>0</v>
      </c>
      <c r="AV135" s="57">
        <v>0</v>
      </c>
      <c r="AW135" s="57">
        <v>0</v>
      </c>
      <c r="AX135" s="57">
        <v>0</v>
      </c>
      <c r="AY135" s="57">
        <v>0</v>
      </c>
    </row>
    <row r="136" spans="1:51" x14ac:dyDescent="0.2">
      <c r="A136" s="54">
        <v>388</v>
      </c>
      <c r="B136" s="54">
        <v>2007</v>
      </c>
      <c r="C136" s="91" t="s">
        <v>81</v>
      </c>
      <c r="D136" s="54" t="s">
        <v>6</v>
      </c>
      <c r="E136" s="54" t="s">
        <v>79</v>
      </c>
      <c r="F136" s="54" t="str">
        <f>_xlfn.CONCAT(Table13[[#This Row],[Geographic Scope]],": ",Table13[[#This Row],[Sub-Type/Focus]])</f>
        <v>National: Single-Topic</v>
      </c>
      <c r="G136" s="54" t="str">
        <f>_xlfn.CONCAT(Table13[[#This Row],[Geographic Scope]],": ",Table13[[#This Row],[Sub-Type/Focus]],": ",Table13[[#This Row],[Content Type]])</f>
        <v>National: Single-Topic: Investigative</v>
      </c>
      <c r="H136" s="54" t="str">
        <f>_xlfn.CONCAT(Table13[[#This Row],[Geographic Scope]],": ",Table13[[#This Row],[Content Type]])</f>
        <v>National: Investigative</v>
      </c>
      <c r="I136" s="55">
        <f>Table13[[#This Row],[Total Contributed Income]]+Table13[[#This Row],[Total Earned Income]]</f>
        <v>2079450</v>
      </c>
      <c r="J136" s="55">
        <f>Table13[[#This Row],[Cont. Income - Foundation]]+Table13[[#This Row],[Cont. Income - Membership]]+Table13[[#This Row],[Cont. Income - Small Donors]]+Table13[[#This Row],[Cont. Income - Med. Donors]]+Table13[[#This Row],[Cont. Income - Major Donors]]+Table13[[#This Row],[Cont. Income - Other]]</f>
        <v>2079450</v>
      </c>
      <c r="K136" s="55">
        <f>Table13[[#This Row],[Earned Income - Advertising]]+Table13[[#This Row],[Earned Income - Sponsorships/Underwriting]]+Table13[[#This Row],[Earned Income - Events]]+Table13[[#This Row],[Earned Income - Subscriptions]]+Table13[[#This Row],[Earned Income - Syndication]]+Table13[[#This Row],[Earned Income - Other]]</f>
        <v>0</v>
      </c>
      <c r="L136" s="56">
        <v>1350450</v>
      </c>
      <c r="M136" s="56">
        <v>0</v>
      </c>
      <c r="N136" s="71">
        <f>SUM(Table13[[#This Row],[Cont. Income - Small Donors]:[Cont. Income - Major Donors]])</f>
        <v>364000</v>
      </c>
      <c r="O136" s="56">
        <v>247000</v>
      </c>
      <c r="P136" s="56">
        <v>50000</v>
      </c>
      <c r="Q136" s="56">
        <v>67000</v>
      </c>
      <c r="R136" s="56">
        <v>365000</v>
      </c>
      <c r="T136" s="56">
        <v>0</v>
      </c>
      <c r="U136" s="56">
        <v>0</v>
      </c>
      <c r="V136" s="56">
        <v>0</v>
      </c>
      <c r="W136" s="56">
        <v>0</v>
      </c>
      <c r="X136" s="56">
        <v>0</v>
      </c>
      <c r="Y136" s="56">
        <v>0</v>
      </c>
      <c r="AA136" s="55">
        <f>Table13[[#This Row],[Expenses - Editorial]]+Table13[[#This Row],[Expenses - Revenue Generation]]+Table13[[#This Row],[Expenses - Tech]]+Table13[[#This Row],[Expenses - Admin]]</f>
        <v>2300000</v>
      </c>
      <c r="AB136" s="56">
        <v>2000000</v>
      </c>
      <c r="AC136" s="71">
        <f>SUM(Table13[[#This Row],[Expenses - Revenue Generation]:[Expenses - Admin]])</f>
        <v>300000</v>
      </c>
      <c r="AD136" s="56">
        <v>100000</v>
      </c>
      <c r="AE136" s="56">
        <v>50000</v>
      </c>
      <c r="AF136" s="56">
        <v>150000</v>
      </c>
      <c r="AG136" s="59">
        <f>Table13[[#This Row],[Total FTE - Editorial]]+Table13[[#This Row],[Total FTE - Non-Editorial]]</f>
        <v>19</v>
      </c>
      <c r="AH136" s="59">
        <f>Table13[[#This Row],[FTE Salaried - Editorial]]+Table13[[#This Row],[FTE Contractors - Editorial]]</f>
        <v>17</v>
      </c>
      <c r="AI136" s="57">
        <v>17</v>
      </c>
      <c r="AJ136" s="57">
        <v>0</v>
      </c>
      <c r="AK136" s="60">
        <f>Table13[[#This Row],[FTE Salaried - Non-Editorial]]+Table13[[#This Row],[FTE Contractors - Non-Editorial]]</f>
        <v>2</v>
      </c>
      <c r="AL136" s="57">
        <v>2</v>
      </c>
      <c r="AM136" s="57">
        <v>0</v>
      </c>
      <c r="AN136" s="54" t="s">
        <v>351</v>
      </c>
      <c r="AQ136" s="57">
        <v>35000</v>
      </c>
      <c r="AR136" s="57">
        <v>62000</v>
      </c>
      <c r="AS136" s="57">
        <v>0</v>
      </c>
      <c r="AT136" s="57">
        <v>0</v>
      </c>
      <c r="AU136" s="57">
        <v>0</v>
      </c>
      <c r="AV136" s="57">
        <v>0</v>
      </c>
      <c r="AW136" s="57">
        <v>0</v>
      </c>
      <c r="AX136" s="57"/>
      <c r="AY136" s="57">
        <v>0</v>
      </c>
    </row>
    <row r="137" spans="1:51" x14ac:dyDescent="0.2">
      <c r="A137" s="54">
        <v>458</v>
      </c>
      <c r="B137" s="54">
        <v>1975</v>
      </c>
      <c r="C137" s="91" t="s">
        <v>81</v>
      </c>
      <c r="D137" s="54" t="s">
        <v>6</v>
      </c>
      <c r="E137" s="54" t="s">
        <v>79</v>
      </c>
      <c r="F137" s="54" t="str">
        <f>_xlfn.CONCAT(Table13[[#This Row],[Geographic Scope]],": ",Table13[[#This Row],[Sub-Type/Focus]])</f>
        <v>National: Single-Topic</v>
      </c>
      <c r="G137" s="54" t="str">
        <f>_xlfn.CONCAT(Table13[[#This Row],[Geographic Scope]],": ",Table13[[#This Row],[Sub-Type/Focus]],": ",Table13[[#This Row],[Content Type]])</f>
        <v>National: Single-Topic: Investigative</v>
      </c>
      <c r="H137" s="54" t="str">
        <f>_xlfn.CONCAT(Table13[[#This Row],[Geographic Scope]],": ",Table13[[#This Row],[Content Type]])</f>
        <v>National: Investigative</v>
      </c>
      <c r="I137" s="55">
        <f>Table13[[#This Row],[Total Contributed Income]]+Table13[[#This Row],[Total Earned Income]]</f>
        <v>581282</v>
      </c>
      <c r="J137" s="55">
        <f>Table13[[#This Row],[Cont. Income - Foundation]]+Table13[[#This Row],[Cont. Income - Membership]]+Table13[[#This Row],[Cont. Income - Small Donors]]+Table13[[#This Row],[Cont. Income - Med. Donors]]+Table13[[#This Row],[Cont. Income - Major Donors]]+Table13[[#This Row],[Cont. Income - Other]]</f>
        <v>571037</v>
      </c>
      <c r="K137" s="55">
        <f>Table13[[#This Row],[Earned Income - Advertising]]+Table13[[#This Row],[Earned Income - Sponsorships/Underwriting]]+Table13[[#This Row],[Earned Income - Events]]+Table13[[#This Row],[Earned Income - Subscriptions]]+Table13[[#This Row],[Earned Income - Syndication]]+Table13[[#This Row],[Earned Income - Other]]</f>
        <v>10245</v>
      </c>
      <c r="L137" s="56">
        <v>378000</v>
      </c>
      <c r="M137" s="56">
        <v>0</v>
      </c>
      <c r="N137" s="71">
        <f>SUM(Table13[[#This Row],[Cont. Income - Small Donors]:[Cont. Income - Major Donors]])</f>
        <v>20037</v>
      </c>
      <c r="O137" s="56">
        <v>17037</v>
      </c>
      <c r="P137" s="56">
        <v>3000</v>
      </c>
      <c r="Q137" s="56">
        <v>0</v>
      </c>
      <c r="R137" s="56">
        <v>173000</v>
      </c>
      <c r="S137" s="55" t="s">
        <v>499</v>
      </c>
      <c r="T137" s="56">
        <v>9945</v>
      </c>
      <c r="U137" s="56">
        <v>0</v>
      </c>
      <c r="V137" s="56">
        <v>0</v>
      </c>
      <c r="W137" s="56">
        <v>0</v>
      </c>
      <c r="X137" s="56">
        <v>0</v>
      </c>
      <c r="Y137" s="56">
        <v>300</v>
      </c>
      <c r="Z137" s="54" t="s">
        <v>387</v>
      </c>
      <c r="AA137" s="55">
        <f>Table13[[#This Row],[Expenses - Editorial]]+Table13[[#This Row],[Expenses - Revenue Generation]]+Table13[[#This Row],[Expenses - Tech]]+Table13[[#This Row],[Expenses - Admin]]</f>
        <v>557040</v>
      </c>
      <c r="AB137" s="56">
        <v>46000</v>
      </c>
      <c r="AC137" s="71">
        <f>SUM(Table13[[#This Row],[Expenses - Revenue Generation]:[Expenses - Admin]])</f>
        <v>511040</v>
      </c>
      <c r="AD137" s="56">
        <v>81800</v>
      </c>
      <c r="AE137" s="56">
        <v>3500</v>
      </c>
      <c r="AF137" s="56">
        <v>425740</v>
      </c>
      <c r="AG137" s="59">
        <f>Table13[[#This Row],[Total FTE - Editorial]]+Table13[[#This Row],[Total FTE - Non-Editorial]]</f>
        <v>5.4</v>
      </c>
      <c r="AH137" s="59">
        <f>Table13[[#This Row],[FTE Salaried - Editorial]]+Table13[[#This Row],[FTE Contractors - Editorial]]</f>
        <v>3.4</v>
      </c>
      <c r="AI137" s="57">
        <v>3.4</v>
      </c>
      <c r="AJ137" s="57">
        <v>0</v>
      </c>
      <c r="AK137" s="60">
        <f>Table13[[#This Row],[FTE Salaried - Non-Editorial]]+Table13[[#This Row],[FTE Contractors - Non-Editorial]]</f>
        <v>2</v>
      </c>
      <c r="AL137" s="57">
        <v>2</v>
      </c>
      <c r="AM137" s="57">
        <v>0</v>
      </c>
      <c r="AN137" s="54" t="s">
        <v>351</v>
      </c>
      <c r="AQ137" s="57">
        <v>43542</v>
      </c>
      <c r="AR137" s="57">
        <v>12600</v>
      </c>
      <c r="AS137" s="57">
        <v>0</v>
      </c>
      <c r="AT137" s="57">
        <v>0</v>
      </c>
      <c r="AU137" s="57">
        <v>0</v>
      </c>
      <c r="AV137" s="57">
        <v>0</v>
      </c>
      <c r="AW137" s="57">
        <v>0</v>
      </c>
      <c r="AX137" s="57"/>
      <c r="AY137" s="57">
        <v>0</v>
      </c>
    </row>
    <row r="138" spans="1:51" x14ac:dyDescent="0.2">
      <c r="A138" s="54">
        <v>473</v>
      </c>
      <c r="B138" s="54">
        <v>1983</v>
      </c>
      <c r="C138" s="91" t="s">
        <v>81</v>
      </c>
      <c r="D138" s="54" t="s">
        <v>6</v>
      </c>
      <c r="E138" s="54" t="s">
        <v>79</v>
      </c>
      <c r="F138" s="54" t="str">
        <f>_xlfn.CONCAT(Table13[[#This Row],[Geographic Scope]],": ",Table13[[#This Row],[Sub-Type/Focus]])</f>
        <v>National: Single-Topic</v>
      </c>
      <c r="G138" s="54" t="str">
        <f>_xlfn.CONCAT(Table13[[#This Row],[Geographic Scope]],": ",Table13[[#This Row],[Sub-Type/Focus]],": ",Table13[[#This Row],[Content Type]])</f>
        <v>National: Single-Topic: Investigative</v>
      </c>
      <c r="H138" s="54" t="str">
        <f>_xlfn.CONCAT(Table13[[#This Row],[Geographic Scope]],": ",Table13[[#This Row],[Content Type]])</f>
        <v>National: Investigative</v>
      </c>
      <c r="I138" s="55">
        <f>Table13[[#This Row],[Total Contributed Income]]+Table13[[#This Row],[Total Earned Income]]</f>
        <v>2176897</v>
      </c>
      <c r="J138" s="55">
        <f>Table13[[#This Row],[Cont. Income - Foundation]]+Table13[[#This Row],[Cont. Income - Membership]]+Table13[[#This Row],[Cont. Income - Small Donors]]+Table13[[#This Row],[Cont. Income - Med. Donors]]+Table13[[#This Row],[Cont. Income - Major Donors]]+Table13[[#This Row],[Cont. Income - Other]]</f>
        <v>2049058</v>
      </c>
      <c r="K138" s="55">
        <f>Table13[[#This Row],[Earned Income - Advertising]]+Table13[[#This Row],[Earned Income - Sponsorships/Underwriting]]+Table13[[#This Row],[Earned Income - Events]]+Table13[[#This Row],[Earned Income - Subscriptions]]+Table13[[#This Row],[Earned Income - Syndication]]+Table13[[#This Row],[Earned Income - Other]]</f>
        <v>127839</v>
      </c>
      <c r="L138" s="56">
        <v>1290800</v>
      </c>
      <c r="M138" s="56">
        <v>0</v>
      </c>
      <c r="N138" s="71">
        <f>SUM(Table13[[#This Row],[Cont. Income - Small Donors]:[Cont. Income - Major Donors]])</f>
        <v>683258</v>
      </c>
      <c r="O138" s="56">
        <v>256908</v>
      </c>
      <c r="P138" s="56">
        <v>107550</v>
      </c>
      <c r="Q138" s="56">
        <v>318800</v>
      </c>
      <c r="R138" s="56">
        <v>75000</v>
      </c>
      <c r="S138" s="55" t="s">
        <v>500</v>
      </c>
      <c r="T138" s="56">
        <v>23114</v>
      </c>
      <c r="U138" s="56">
        <v>0</v>
      </c>
      <c r="V138" s="56">
        <v>0</v>
      </c>
      <c r="W138" s="56">
        <v>0</v>
      </c>
      <c r="X138" s="56">
        <v>0</v>
      </c>
      <c r="Y138" s="56">
        <v>104725</v>
      </c>
      <c r="Z138" s="54" t="s">
        <v>501</v>
      </c>
      <c r="AA138" s="55">
        <f>Table13[[#This Row],[Expenses - Editorial]]+Table13[[#This Row],[Expenses - Revenue Generation]]+Table13[[#This Row],[Expenses - Tech]]+Table13[[#This Row],[Expenses - Admin]]</f>
        <v>2137302</v>
      </c>
      <c r="AB138" s="56">
        <v>191956</v>
      </c>
      <c r="AC138" s="71">
        <f>SUM(Table13[[#This Row],[Expenses - Revenue Generation]:[Expenses - Admin]])</f>
        <v>1945346</v>
      </c>
      <c r="AD138" s="56">
        <v>950774</v>
      </c>
      <c r="AE138" s="56">
        <v>708089</v>
      </c>
      <c r="AF138" s="56">
        <v>286483</v>
      </c>
      <c r="AG138" s="59">
        <f>Table13[[#This Row],[Total FTE - Editorial]]+Table13[[#This Row],[Total FTE - Non-Editorial]]</f>
        <v>17.75</v>
      </c>
      <c r="AH138" s="59">
        <f>Table13[[#This Row],[FTE Salaried - Editorial]]+Table13[[#This Row],[FTE Contractors - Editorial]]</f>
        <v>1.25</v>
      </c>
      <c r="AI138" s="57">
        <v>1</v>
      </c>
      <c r="AJ138" s="57">
        <v>0.25</v>
      </c>
      <c r="AK138" s="60">
        <f>Table13[[#This Row],[FTE Salaried - Non-Editorial]]+Table13[[#This Row],[FTE Contractors - Non-Editorial]]</f>
        <v>16.5</v>
      </c>
      <c r="AL138" s="57">
        <v>16</v>
      </c>
      <c r="AM138" s="57">
        <v>0.5</v>
      </c>
      <c r="AN138" s="54" t="s">
        <v>351</v>
      </c>
      <c r="AQ138" s="57">
        <v>830007</v>
      </c>
      <c r="AR138" s="57">
        <v>45891</v>
      </c>
      <c r="AS138" s="57">
        <v>0</v>
      </c>
      <c r="AT138" s="57">
        <v>0</v>
      </c>
      <c r="AU138" s="57">
        <v>0</v>
      </c>
      <c r="AV138" s="57">
        <v>0</v>
      </c>
      <c r="AW138" s="57">
        <v>0</v>
      </c>
      <c r="AX138" s="57"/>
      <c r="AY138" s="57">
        <v>0</v>
      </c>
    </row>
    <row r="139" spans="1:51" x14ac:dyDescent="0.2">
      <c r="A139" s="54">
        <v>474</v>
      </c>
      <c r="B139" s="54">
        <v>2013</v>
      </c>
      <c r="C139" s="91" t="s">
        <v>81</v>
      </c>
      <c r="D139" s="54" t="s">
        <v>6</v>
      </c>
      <c r="E139" s="54" t="s">
        <v>79</v>
      </c>
      <c r="F139" s="54" t="str">
        <f>_xlfn.CONCAT(Table13[[#This Row],[Geographic Scope]],": ",Table13[[#This Row],[Sub-Type/Focus]])</f>
        <v>National: Single-Topic</v>
      </c>
      <c r="G139" s="54" t="str">
        <f>_xlfn.CONCAT(Table13[[#This Row],[Geographic Scope]],": ",Table13[[#This Row],[Sub-Type/Focus]],": ",Table13[[#This Row],[Content Type]])</f>
        <v>National: Single-Topic: Investigative</v>
      </c>
      <c r="H139" s="54" t="str">
        <f>_xlfn.CONCAT(Table13[[#This Row],[Geographic Scope]],": ",Table13[[#This Row],[Content Type]])</f>
        <v>National: Investigative</v>
      </c>
      <c r="I139" s="55">
        <f>Table13[[#This Row],[Total Contributed Income]]+Table13[[#This Row],[Total Earned Income]]</f>
        <v>0</v>
      </c>
      <c r="J139" s="55">
        <f>Table13[[#This Row],[Cont. Income - Foundation]]+Table13[[#This Row],[Cont. Income - Membership]]+Table13[[#This Row],[Cont. Income - Small Donors]]+Table13[[#This Row],[Cont. Income - Med. Donors]]+Table13[[#This Row],[Cont. Income - Major Donors]]+Table13[[#This Row],[Cont. Income - Other]]</f>
        <v>0</v>
      </c>
      <c r="K139" s="55">
        <f>Table13[[#This Row],[Earned Income - Advertising]]+Table13[[#This Row],[Earned Income - Sponsorships/Underwriting]]+Table13[[#This Row],[Earned Income - Events]]+Table13[[#This Row],[Earned Income - Subscriptions]]+Table13[[#This Row],[Earned Income - Syndication]]+Table13[[#This Row],[Earned Income - Other]]</f>
        <v>0</v>
      </c>
      <c r="L139" s="56"/>
      <c r="M139" s="56"/>
      <c r="N139" s="71">
        <f>SUM(Table13[[#This Row],[Cont. Income - Small Donors]:[Cont. Income - Major Donors]])</f>
        <v>0</v>
      </c>
      <c r="O139" s="56"/>
      <c r="P139" s="56"/>
      <c r="Q139" s="56"/>
      <c r="R139" s="56"/>
      <c r="T139" s="56"/>
      <c r="U139" s="56"/>
      <c r="V139" s="56"/>
      <c r="W139" s="56"/>
      <c r="X139" s="56"/>
      <c r="Y139" s="56"/>
      <c r="AA139" s="55">
        <f>Table13[[#This Row],[Expenses - Editorial]]+Table13[[#This Row],[Expenses - Revenue Generation]]+Table13[[#This Row],[Expenses - Tech]]+Table13[[#This Row],[Expenses - Admin]]</f>
        <v>0</v>
      </c>
      <c r="AB139" s="56"/>
      <c r="AC139" s="71">
        <f>SUM(Table13[[#This Row],[Expenses - Revenue Generation]:[Expenses - Admin]])</f>
        <v>0</v>
      </c>
      <c r="AD139" s="56"/>
      <c r="AE139" s="56"/>
      <c r="AF139" s="56"/>
      <c r="AG139" s="59">
        <f>Table13[[#This Row],[Total FTE - Editorial]]+Table13[[#This Row],[Total FTE - Non-Editorial]]</f>
        <v>13.25</v>
      </c>
      <c r="AH139" s="59">
        <f>Table13[[#This Row],[FTE Salaried - Editorial]]+Table13[[#This Row],[FTE Contractors - Editorial]]</f>
        <v>7.75</v>
      </c>
      <c r="AI139" s="57">
        <v>5</v>
      </c>
      <c r="AJ139" s="57">
        <v>2.75</v>
      </c>
      <c r="AK139" s="60">
        <f>Table13[[#This Row],[FTE Salaried - Non-Editorial]]+Table13[[#This Row],[FTE Contractors - Non-Editorial]]</f>
        <v>5.5</v>
      </c>
      <c r="AL139" s="57">
        <v>4.75</v>
      </c>
      <c r="AM139" s="57">
        <v>0.75</v>
      </c>
      <c r="AN139" s="54" t="s">
        <v>352</v>
      </c>
      <c r="AO139" s="54" t="s">
        <v>468</v>
      </c>
      <c r="AQ139" s="57">
        <v>155691</v>
      </c>
      <c r="AR139" s="57">
        <v>25968</v>
      </c>
      <c r="AS139" s="57">
        <v>77793</v>
      </c>
      <c r="AT139" s="57">
        <v>6</v>
      </c>
      <c r="AU139" s="57">
        <v>0</v>
      </c>
      <c r="AV139" s="57">
        <v>0</v>
      </c>
      <c r="AW139" s="57">
        <v>0</v>
      </c>
      <c r="AX139" s="57"/>
      <c r="AY139" s="57">
        <v>396</v>
      </c>
    </row>
    <row r="140" spans="1:51" x14ac:dyDescent="0.2">
      <c r="A140" s="54">
        <v>484</v>
      </c>
      <c r="B140" s="54">
        <v>2010</v>
      </c>
      <c r="C140" s="91" t="s">
        <v>81</v>
      </c>
      <c r="D140" s="54" t="s">
        <v>6</v>
      </c>
      <c r="E140" s="54" t="s">
        <v>79</v>
      </c>
      <c r="F140" s="54" t="str">
        <f>_xlfn.CONCAT(Table13[[#This Row],[Geographic Scope]],": ",Table13[[#This Row],[Sub-Type/Focus]])</f>
        <v>National: Single-Topic</v>
      </c>
      <c r="G140" s="54" t="str">
        <f>_xlfn.CONCAT(Table13[[#This Row],[Geographic Scope]],": ",Table13[[#This Row],[Sub-Type/Focus]],": ",Table13[[#This Row],[Content Type]])</f>
        <v>National: Single-Topic: Investigative</v>
      </c>
      <c r="H140" s="54" t="str">
        <f>_xlfn.CONCAT(Table13[[#This Row],[Geographic Scope]],": ",Table13[[#This Row],[Content Type]])</f>
        <v>National: Investigative</v>
      </c>
      <c r="I140" s="55">
        <f>Table13[[#This Row],[Total Contributed Income]]+Table13[[#This Row],[Total Earned Income]]</f>
        <v>3379631</v>
      </c>
      <c r="J140" s="55">
        <f>Table13[[#This Row],[Cont. Income - Foundation]]+Table13[[#This Row],[Cont. Income - Membership]]+Table13[[#This Row],[Cont. Income - Small Donors]]+Table13[[#This Row],[Cont. Income - Med. Donors]]+Table13[[#This Row],[Cont. Income - Major Donors]]+Table13[[#This Row],[Cont. Income - Other]]</f>
        <v>3328385</v>
      </c>
      <c r="K140" s="55">
        <f>Table13[[#This Row],[Earned Income - Advertising]]+Table13[[#This Row],[Earned Income - Sponsorships/Underwriting]]+Table13[[#This Row],[Earned Income - Events]]+Table13[[#This Row],[Earned Income - Subscriptions]]+Table13[[#This Row],[Earned Income - Syndication]]+Table13[[#This Row],[Earned Income - Other]]</f>
        <v>51246</v>
      </c>
      <c r="L140" s="56">
        <v>3224731</v>
      </c>
      <c r="M140" s="56">
        <v>0</v>
      </c>
      <c r="N140" s="71">
        <f>SUM(Table13[[#This Row],[Cont. Income - Small Donors]:[Cont. Income - Major Donors]])</f>
        <v>103654</v>
      </c>
      <c r="O140" s="56">
        <v>54454</v>
      </c>
      <c r="P140" s="56">
        <v>26700</v>
      </c>
      <c r="Q140" s="56">
        <v>22500</v>
      </c>
      <c r="R140" s="56">
        <v>0</v>
      </c>
      <c r="T140" s="56">
        <v>5349</v>
      </c>
      <c r="U140" s="56">
        <v>38900</v>
      </c>
      <c r="V140" s="56">
        <v>0</v>
      </c>
      <c r="W140" s="56">
        <v>0</v>
      </c>
      <c r="X140" s="56">
        <v>0</v>
      </c>
      <c r="Y140" s="56">
        <v>6997</v>
      </c>
      <c r="Z140" s="54" t="s">
        <v>502</v>
      </c>
      <c r="AA140" s="55">
        <f>Table13[[#This Row],[Expenses - Editorial]]+Table13[[#This Row],[Expenses - Revenue Generation]]+Table13[[#This Row],[Expenses - Tech]]+Table13[[#This Row],[Expenses - Admin]]</f>
        <v>3364648</v>
      </c>
      <c r="AB140" s="56">
        <v>2017065</v>
      </c>
      <c r="AC140" s="71">
        <f>SUM(Table13[[#This Row],[Expenses - Revenue Generation]:[Expenses - Admin]])</f>
        <v>1347583</v>
      </c>
      <c r="AD140" s="56">
        <v>372545</v>
      </c>
      <c r="AE140" s="56">
        <v>175744</v>
      </c>
      <c r="AF140" s="56">
        <v>799294</v>
      </c>
      <c r="AG140" s="59">
        <f>Table13[[#This Row],[Total FTE - Editorial]]+Table13[[#This Row],[Total FTE - Non-Editorial]]</f>
        <v>24</v>
      </c>
      <c r="AH140" s="59">
        <f>Table13[[#This Row],[FTE Salaried - Editorial]]+Table13[[#This Row],[FTE Contractors - Editorial]]</f>
        <v>19</v>
      </c>
      <c r="AI140" s="57">
        <v>16</v>
      </c>
      <c r="AJ140" s="57">
        <v>3</v>
      </c>
      <c r="AK140" s="60">
        <f>Table13[[#This Row],[FTE Salaried - Non-Editorial]]+Table13[[#This Row],[FTE Contractors - Non-Editorial]]</f>
        <v>5</v>
      </c>
      <c r="AL140" s="57">
        <v>5</v>
      </c>
      <c r="AM140" s="57">
        <v>0</v>
      </c>
      <c r="AN140" s="54" t="s">
        <v>352</v>
      </c>
      <c r="AO140" s="54" t="s">
        <v>503</v>
      </c>
      <c r="AQ140" s="57">
        <v>346082</v>
      </c>
      <c r="AR140" s="57">
        <v>45847</v>
      </c>
      <c r="AS140" s="57">
        <v>0</v>
      </c>
      <c r="AT140" s="57">
        <v>0</v>
      </c>
      <c r="AU140" s="57">
        <v>0</v>
      </c>
      <c r="AV140" s="57">
        <v>0</v>
      </c>
      <c r="AW140" s="57">
        <v>0</v>
      </c>
      <c r="AX140" s="57"/>
      <c r="AY140" s="57">
        <v>0</v>
      </c>
    </row>
    <row r="141" spans="1:51" x14ac:dyDescent="0.2">
      <c r="A141" s="54">
        <v>488</v>
      </c>
      <c r="B141" s="54">
        <v>2014</v>
      </c>
      <c r="C141" s="91" t="s">
        <v>81</v>
      </c>
      <c r="D141" s="54" t="s">
        <v>6</v>
      </c>
      <c r="E141" s="54" t="s">
        <v>79</v>
      </c>
      <c r="F141" s="54" t="str">
        <f>_xlfn.CONCAT(Table13[[#This Row],[Geographic Scope]],": ",Table13[[#This Row],[Sub-Type/Focus]])</f>
        <v>National: Single-Topic</v>
      </c>
      <c r="G141" s="54" t="str">
        <f>_xlfn.CONCAT(Table13[[#This Row],[Geographic Scope]],": ",Table13[[#This Row],[Sub-Type/Focus]],": ",Table13[[#This Row],[Content Type]])</f>
        <v>National: Single-Topic: Investigative</v>
      </c>
      <c r="H141" s="54" t="str">
        <f>_xlfn.CONCAT(Table13[[#This Row],[Geographic Scope]],": ",Table13[[#This Row],[Content Type]])</f>
        <v>National: Investigative</v>
      </c>
      <c r="I141" s="55">
        <f>Table13[[#This Row],[Total Contributed Income]]+Table13[[#This Row],[Total Earned Income]]</f>
        <v>24471233</v>
      </c>
      <c r="J141" s="55">
        <f>Table13[[#This Row],[Cont. Income - Foundation]]+Table13[[#This Row],[Cont. Income - Membership]]+Table13[[#This Row],[Cont. Income - Small Donors]]+Table13[[#This Row],[Cont. Income - Med. Donors]]+Table13[[#This Row],[Cont. Income - Major Donors]]+Table13[[#This Row],[Cont. Income - Other]]</f>
        <v>24422233</v>
      </c>
      <c r="K141" s="55">
        <f>Table13[[#This Row],[Earned Income - Advertising]]+Table13[[#This Row],[Earned Income - Sponsorships/Underwriting]]+Table13[[#This Row],[Earned Income - Events]]+Table13[[#This Row],[Earned Income - Subscriptions]]+Table13[[#This Row],[Earned Income - Syndication]]+Table13[[#This Row],[Earned Income - Other]]</f>
        <v>49000</v>
      </c>
      <c r="L141" s="56">
        <v>4367967</v>
      </c>
      <c r="M141" s="56">
        <v>0</v>
      </c>
      <c r="N141" s="71">
        <f>SUM(Table13[[#This Row],[Cont. Income - Small Donors]:[Cont. Income - Major Donors]])</f>
        <v>20054266</v>
      </c>
      <c r="O141" s="56">
        <v>13711660</v>
      </c>
      <c r="P141" s="56">
        <v>0</v>
      </c>
      <c r="Q141" s="56">
        <v>6342606</v>
      </c>
      <c r="R141" s="56">
        <v>0</v>
      </c>
      <c r="T141" s="56">
        <v>0</v>
      </c>
      <c r="U141" s="56">
        <v>0</v>
      </c>
      <c r="V141" s="56">
        <v>0</v>
      </c>
      <c r="W141" s="56">
        <v>0</v>
      </c>
      <c r="X141" s="56">
        <v>0</v>
      </c>
      <c r="Y141" s="56">
        <v>49000</v>
      </c>
      <c r="Z141" s="54" t="s">
        <v>504</v>
      </c>
      <c r="AA141" s="55">
        <f>Table13[[#This Row],[Expenses - Editorial]]+Table13[[#This Row],[Expenses - Revenue Generation]]+Table13[[#This Row],[Expenses - Tech]]+Table13[[#This Row],[Expenses - Admin]]</f>
        <v>8050000</v>
      </c>
      <c r="AB141" s="56">
        <v>4955000</v>
      </c>
      <c r="AC141" s="71">
        <f>SUM(Table13[[#This Row],[Expenses - Revenue Generation]:[Expenses - Admin]])</f>
        <v>3095000</v>
      </c>
      <c r="AD141" s="56">
        <v>500000</v>
      </c>
      <c r="AE141" s="56">
        <v>420000</v>
      </c>
      <c r="AF141" s="56">
        <v>2175000</v>
      </c>
      <c r="AG141" s="59">
        <f>Table13[[#This Row],[Total FTE - Editorial]]+Table13[[#This Row],[Total FTE - Non-Editorial]]</f>
        <v>41</v>
      </c>
      <c r="AH141" s="59">
        <f>Table13[[#This Row],[FTE Salaried - Editorial]]+Table13[[#This Row],[FTE Contractors - Editorial]]</f>
        <v>28</v>
      </c>
      <c r="AI141" s="57">
        <v>28</v>
      </c>
      <c r="AJ141" s="57">
        <v>0</v>
      </c>
      <c r="AK141" s="60">
        <f>Table13[[#This Row],[FTE Salaried - Non-Editorial]]+Table13[[#This Row],[FTE Contractors - Non-Editorial]]</f>
        <v>13</v>
      </c>
      <c r="AL141" s="57">
        <v>13</v>
      </c>
      <c r="AM141" s="57">
        <v>0</v>
      </c>
      <c r="AN141" s="54" t="s">
        <v>347</v>
      </c>
      <c r="AO141" s="54" t="s">
        <v>443</v>
      </c>
      <c r="AQ141" s="57">
        <v>456770</v>
      </c>
      <c r="AR141" s="57">
        <v>71142</v>
      </c>
      <c r="AS141" s="57">
        <v>20000</v>
      </c>
      <c r="AT141" s="57">
        <v>3</v>
      </c>
      <c r="AU141" s="57">
        <v>0</v>
      </c>
      <c r="AV141" s="57">
        <v>0</v>
      </c>
      <c r="AW141" s="57">
        <v>0</v>
      </c>
      <c r="AX141" s="57"/>
      <c r="AY141" s="57">
        <v>0</v>
      </c>
    </row>
    <row r="142" spans="1:51" x14ac:dyDescent="0.2">
      <c r="A142" s="54">
        <v>2527</v>
      </c>
      <c r="B142" s="54">
        <v>2013</v>
      </c>
      <c r="C142" s="91" t="s">
        <v>81</v>
      </c>
      <c r="D142" s="54" t="s">
        <v>6</v>
      </c>
      <c r="E142" s="54" t="s">
        <v>79</v>
      </c>
      <c r="F142" s="54" t="str">
        <f>_xlfn.CONCAT(Table13[[#This Row],[Geographic Scope]],": ",Table13[[#This Row],[Sub-Type/Focus]])</f>
        <v>National: Single-Topic</v>
      </c>
      <c r="G142" s="54" t="str">
        <f>_xlfn.CONCAT(Table13[[#This Row],[Geographic Scope]],": ",Table13[[#This Row],[Sub-Type/Focus]],": ",Table13[[#This Row],[Content Type]])</f>
        <v>National: Single-Topic: Investigative</v>
      </c>
      <c r="H142" s="54" t="str">
        <f>_xlfn.CONCAT(Table13[[#This Row],[Geographic Scope]],": ",Table13[[#This Row],[Content Type]])</f>
        <v>National: Investigative</v>
      </c>
      <c r="I142" s="55">
        <f>Table13[[#This Row],[Total Contributed Income]]+Table13[[#This Row],[Total Earned Income]]</f>
        <v>13188</v>
      </c>
      <c r="J142" s="55">
        <f>Table13[[#This Row],[Cont. Income - Foundation]]+Table13[[#This Row],[Cont. Income - Membership]]+Table13[[#This Row],[Cont. Income - Small Donors]]+Table13[[#This Row],[Cont. Income - Med. Donors]]+Table13[[#This Row],[Cont. Income - Major Donors]]+Table13[[#This Row],[Cont. Income - Other]]</f>
        <v>12938</v>
      </c>
      <c r="K142" s="55">
        <f>Table13[[#This Row],[Earned Income - Advertising]]+Table13[[#This Row],[Earned Income - Sponsorships/Underwriting]]+Table13[[#This Row],[Earned Income - Events]]+Table13[[#This Row],[Earned Income - Subscriptions]]+Table13[[#This Row],[Earned Income - Syndication]]+Table13[[#This Row],[Earned Income - Other]]</f>
        <v>250</v>
      </c>
      <c r="L142" s="56">
        <v>0</v>
      </c>
      <c r="M142" s="56">
        <v>0</v>
      </c>
      <c r="N142" s="71">
        <f>SUM(Table13[[#This Row],[Cont. Income - Small Donors]:[Cont. Income - Major Donors]])</f>
        <v>12938</v>
      </c>
      <c r="O142" s="56">
        <v>4438</v>
      </c>
      <c r="P142" s="56">
        <v>3500</v>
      </c>
      <c r="Q142" s="56">
        <v>5000</v>
      </c>
      <c r="R142" s="56">
        <v>0</v>
      </c>
      <c r="T142" s="56">
        <v>0</v>
      </c>
      <c r="U142" s="56">
        <v>250</v>
      </c>
      <c r="V142" s="56">
        <v>0</v>
      </c>
      <c r="W142" s="56">
        <v>0</v>
      </c>
      <c r="X142" s="56">
        <v>0</v>
      </c>
      <c r="Y142" s="56">
        <v>0</v>
      </c>
      <c r="AA142" s="55">
        <f>Table13[[#This Row],[Expenses - Editorial]]+Table13[[#This Row],[Expenses - Revenue Generation]]+Table13[[#This Row],[Expenses - Tech]]+Table13[[#This Row],[Expenses - Admin]]</f>
        <v>21730</v>
      </c>
      <c r="AB142" s="56">
        <v>16500</v>
      </c>
      <c r="AC142" s="71">
        <f>SUM(Table13[[#This Row],[Expenses - Revenue Generation]:[Expenses - Admin]])</f>
        <v>5230</v>
      </c>
      <c r="AD142" s="56">
        <v>1100</v>
      </c>
      <c r="AE142" s="56">
        <v>3500</v>
      </c>
      <c r="AF142" s="56">
        <v>630</v>
      </c>
      <c r="AG142" s="59">
        <f>Table13[[#This Row],[Total FTE - Editorial]]+Table13[[#This Row],[Total FTE - Non-Editorial]]</f>
        <v>1</v>
      </c>
      <c r="AH142" s="59">
        <f>Table13[[#This Row],[FTE Salaried - Editorial]]+Table13[[#This Row],[FTE Contractors - Editorial]]</f>
        <v>1</v>
      </c>
      <c r="AI142" s="57">
        <v>1</v>
      </c>
      <c r="AJ142" s="57">
        <v>0</v>
      </c>
      <c r="AK142" s="60">
        <f>Table13[[#This Row],[FTE Salaried - Non-Editorial]]+Table13[[#This Row],[FTE Contractors - Non-Editorial]]</f>
        <v>0</v>
      </c>
      <c r="AL142" s="57">
        <v>0</v>
      </c>
      <c r="AM142" s="57">
        <v>0</v>
      </c>
      <c r="AN142" s="54" t="s">
        <v>488</v>
      </c>
      <c r="AO142" s="54" t="s">
        <v>380</v>
      </c>
      <c r="AQ142" s="57">
        <v>1500</v>
      </c>
      <c r="AR142" s="57">
        <v>700</v>
      </c>
      <c r="AS142" s="57">
        <v>0</v>
      </c>
      <c r="AT142" s="57">
        <v>0</v>
      </c>
      <c r="AU142" s="57">
        <v>0</v>
      </c>
      <c r="AV142" s="57">
        <v>0</v>
      </c>
      <c r="AW142" s="57">
        <v>0</v>
      </c>
      <c r="AX142" s="57"/>
      <c r="AY142" s="57">
        <v>0</v>
      </c>
    </row>
    <row r="143" spans="1:51" x14ac:dyDescent="0.2">
      <c r="A143" s="54">
        <v>510</v>
      </c>
      <c r="B143" s="54">
        <v>1954</v>
      </c>
      <c r="C143" s="91" t="s">
        <v>82</v>
      </c>
      <c r="D143" s="54" t="s">
        <v>505</v>
      </c>
      <c r="E143" s="54" t="s">
        <v>77</v>
      </c>
      <c r="F143" s="54" t="str">
        <f>_xlfn.CONCAT(Table13[[#This Row],[Geographic Scope]],": ",Table13[[#This Row],[Sub-Type/Focus]])</f>
        <v>Regional: General</v>
      </c>
      <c r="G143" s="54" t="str">
        <f>_xlfn.CONCAT(Table13[[#This Row],[Geographic Scope]],": ",Table13[[#This Row],[Sub-Type/Focus]],": ",Table13[[#This Row],[Content Type]])</f>
        <v>Regional: General: Current News &amp; Events</v>
      </c>
      <c r="H143" s="54" t="str">
        <f>_xlfn.CONCAT(Table13[[#This Row],[Geographic Scope]],": ",Table13[[#This Row],[Content Type]])</f>
        <v>Regional: Current News &amp; Events</v>
      </c>
      <c r="I143" s="55">
        <f>Table13[[#This Row],[Total Contributed Income]]+Table13[[#This Row],[Total Earned Income]]</f>
        <v>0</v>
      </c>
      <c r="J143" s="55">
        <f>Table13[[#This Row],[Cont. Income - Foundation]]+Table13[[#This Row],[Cont. Income - Membership]]+Table13[[#This Row],[Cont. Income - Small Donors]]+Table13[[#This Row],[Cont. Income - Med. Donors]]+Table13[[#This Row],[Cont. Income - Major Donors]]+Table13[[#This Row],[Cont. Income - Other]]</f>
        <v>0</v>
      </c>
      <c r="K143" s="55">
        <f>Table13[[#This Row],[Earned Income - Advertising]]+Table13[[#This Row],[Earned Income - Sponsorships/Underwriting]]+Table13[[#This Row],[Earned Income - Events]]+Table13[[#This Row],[Earned Income - Subscriptions]]+Table13[[#This Row],[Earned Income - Syndication]]+Table13[[#This Row],[Earned Income - Other]]</f>
        <v>0</v>
      </c>
      <c r="L143" s="56"/>
      <c r="M143" s="56"/>
      <c r="N143" s="71">
        <f>SUM(Table13[[#This Row],[Cont. Income - Small Donors]:[Cont. Income - Major Donors]])</f>
        <v>0</v>
      </c>
      <c r="O143" s="56"/>
      <c r="P143" s="56"/>
      <c r="Q143" s="56"/>
      <c r="R143" s="56"/>
      <c r="T143" s="56"/>
      <c r="U143" s="56"/>
      <c r="V143" s="56"/>
      <c r="W143" s="56"/>
      <c r="X143" s="56"/>
      <c r="Y143" s="56"/>
      <c r="AA143" s="55">
        <f>Table13[[#This Row],[Expenses - Editorial]]+Table13[[#This Row],[Expenses - Revenue Generation]]+Table13[[#This Row],[Expenses - Tech]]+Table13[[#This Row],[Expenses - Admin]]</f>
        <v>0</v>
      </c>
      <c r="AB143" s="56">
        <v>0</v>
      </c>
      <c r="AC143" s="71">
        <f>SUM(Table13[[#This Row],[Expenses - Revenue Generation]:[Expenses - Admin]])</f>
        <v>0</v>
      </c>
      <c r="AD143" s="56">
        <v>0</v>
      </c>
      <c r="AE143" s="56">
        <v>0</v>
      </c>
      <c r="AF143" s="56">
        <v>0</v>
      </c>
      <c r="AG143" s="59">
        <f>Table13[[#This Row],[Total FTE - Editorial]]+Table13[[#This Row],[Total FTE - Non-Editorial]]</f>
        <v>0</v>
      </c>
      <c r="AH143" s="59">
        <f>Table13[[#This Row],[FTE Salaried - Editorial]]+Table13[[#This Row],[FTE Contractors - Editorial]]</f>
        <v>0</v>
      </c>
      <c r="AI143" s="57">
        <v>0</v>
      </c>
      <c r="AJ143" s="57">
        <v>0</v>
      </c>
      <c r="AK143" s="60">
        <f>Table13[[#This Row],[FTE Salaried - Non-Editorial]]+Table13[[#This Row],[FTE Contractors - Non-Editorial]]</f>
        <v>0</v>
      </c>
      <c r="AL143" s="57">
        <v>0</v>
      </c>
      <c r="AM143" s="57">
        <v>0</v>
      </c>
      <c r="AN143" s="54" t="s">
        <v>352</v>
      </c>
      <c r="AO143" s="54" t="s">
        <v>496</v>
      </c>
      <c r="AQ143" s="57">
        <v>1900000</v>
      </c>
      <c r="AR143" s="57">
        <v>0</v>
      </c>
      <c r="AS143" s="57">
        <v>0</v>
      </c>
      <c r="AT143" s="57">
        <v>0</v>
      </c>
      <c r="AU143" s="57">
        <v>485411</v>
      </c>
      <c r="AV143" s="57" t="s">
        <v>506</v>
      </c>
      <c r="AW143" s="57">
        <v>657248</v>
      </c>
      <c r="AX143" s="57" t="s">
        <v>507</v>
      </c>
      <c r="AY143" s="57">
        <v>0</v>
      </c>
    </row>
    <row r="144" spans="1:51" x14ac:dyDescent="0.2">
      <c r="A144" s="54">
        <v>2911</v>
      </c>
      <c r="B144" s="54">
        <v>1955</v>
      </c>
      <c r="C144" s="91" t="s">
        <v>82</v>
      </c>
      <c r="D144" s="54" t="s">
        <v>505</v>
      </c>
      <c r="E144" s="54" t="s">
        <v>77</v>
      </c>
      <c r="F144" s="54" t="str">
        <f>_xlfn.CONCAT(Table13[[#This Row],[Geographic Scope]],": ",Table13[[#This Row],[Sub-Type/Focus]])</f>
        <v>Regional: General</v>
      </c>
      <c r="G144" s="54" t="str">
        <f>_xlfn.CONCAT(Table13[[#This Row],[Geographic Scope]],": ",Table13[[#This Row],[Sub-Type/Focus]],": ",Table13[[#This Row],[Content Type]])</f>
        <v>Regional: General: Current News &amp; Events</v>
      </c>
      <c r="H144" s="54" t="str">
        <f>_xlfn.CONCAT(Table13[[#This Row],[Geographic Scope]],": ",Table13[[#This Row],[Content Type]])</f>
        <v>Regional: Current News &amp; Events</v>
      </c>
      <c r="I144" s="55">
        <f>Table13[[#This Row],[Total Contributed Income]]+Table13[[#This Row],[Total Earned Income]]</f>
        <v>0</v>
      </c>
      <c r="J144" s="55">
        <f>Table13[[#This Row],[Cont. Income - Foundation]]+Table13[[#This Row],[Cont. Income - Membership]]+Table13[[#This Row],[Cont. Income - Small Donors]]+Table13[[#This Row],[Cont. Income - Med. Donors]]+Table13[[#This Row],[Cont. Income - Major Donors]]+Table13[[#This Row],[Cont. Income - Other]]</f>
        <v>0</v>
      </c>
      <c r="K144" s="55">
        <f>Table13[[#This Row],[Earned Income - Advertising]]+Table13[[#This Row],[Earned Income - Sponsorships/Underwriting]]+Table13[[#This Row],[Earned Income - Events]]+Table13[[#This Row],[Earned Income - Subscriptions]]+Table13[[#This Row],[Earned Income - Syndication]]+Table13[[#This Row],[Earned Income - Other]]</f>
        <v>0</v>
      </c>
      <c r="L144" s="56"/>
      <c r="M144" s="56"/>
      <c r="N144" s="71">
        <f>SUM(Table13[[#This Row],[Cont. Income - Small Donors]:[Cont. Income - Major Donors]])</f>
        <v>0</v>
      </c>
      <c r="O144" s="56"/>
      <c r="P144" s="56"/>
      <c r="Q144" s="56"/>
      <c r="R144" s="56"/>
      <c r="T144" s="56"/>
      <c r="U144" s="56"/>
      <c r="V144" s="56"/>
      <c r="W144" s="56"/>
      <c r="X144" s="56"/>
      <c r="Y144" s="56"/>
      <c r="AA144" s="55">
        <f>Table13[[#This Row],[Expenses - Editorial]]+Table13[[#This Row],[Expenses - Revenue Generation]]+Table13[[#This Row],[Expenses - Tech]]+Table13[[#This Row],[Expenses - Admin]]</f>
        <v>0</v>
      </c>
      <c r="AB144" s="56"/>
      <c r="AC144" s="71">
        <f>SUM(Table13[[#This Row],[Expenses - Revenue Generation]:[Expenses - Admin]])</f>
        <v>0</v>
      </c>
      <c r="AD144" s="56"/>
      <c r="AE144" s="56"/>
      <c r="AF144" s="56"/>
      <c r="AG144" s="59">
        <f>Table13[[#This Row],[Total FTE - Editorial]]+Table13[[#This Row],[Total FTE - Non-Editorial]]</f>
        <v>17</v>
      </c>
      <c r="AH144" s="59">
        <f>Table13[[#This Row],[FTE Salaried - Editorial]]+Table13[[#This Row],[FTE Contractors - Editorial]]</f>
        <v>10</v>
      </c>
      <c r="AI144" s="57">
        <v>10</v>
      </c>
      <c r="AJ144" s="57">
        <v>0</v>
      </c>
      <c r="AK144" s="60">
        <f>Table13[[#This Row],[FTE Salaried - Non-Editorial]]+Table13[[#This Row],[FTE Contractors - Non-Editorial]]</f>
        <v>7</v>
      </c>
      <c r="AL144" s="57">
        <v>6</v>
      </c>
      <c r="AM144" s="57">
        <v>1</v>
      </c>
      <c r="AN144" s="54" t="s">
        <v>488</v>
      </c>
      <c r="AO144" s="54" t="s">
        <v>380</v>
      </c>
      <c r="AQ144" s="57">
        <v>65238</v>
      </c>
      <c r="AR144" s="57">
        <v>7526</v>
      </c>
      <c r="AS144" s="57">
        <v>0</v>
      </c>
      <c r="AT144" s="57">
        <v>0</v>
      </c>
      <c r="AU144" s="57">
        <v>91000</v>
      </c>
      <c r="AV144" s="57">
        <v>0</v>
      </c>
      <c r="AW144" s="57">
        <v>0</v>
      </c>
      <c r="AX144" s="57"/>
      <c r="AY144" s="57">
        <v>6592</v>
      </c>
    </row>
    <row r="145" spans="1:51" x14ac:dyDescent="0.2">
      <c r="A145" s="54">
        <v>2987</v>
      </c>
      <c r="B145" s="54">
        <v>2018</v>
      </c>
      <c r="C145" s="91" t="s">
        <v>82</v>
      </c>
      <c r="D145" s="54" t="s">
        <v>505</v>
      </c>
      <c r="E145" s="54" t="s">
        <v>77</v>
      </c>
      <c r="F145" s="54" t="str">
        <f>_xlfn.CONCAT(Table13[[#This Row],[Geographic Scope]],": ",Table13[[#This Row],[Sub-Type/Focus]])</f>
        <v>Regional: General</v>
      </c>
      <c r="G145" s="54" t="str">
        <f>_xlfn.CONCAT(Table13[[#This Row],[Geographic Scope]],": ",Table13[[#This Row],[Sub-Type/Focus]],": ",Table13[[#This Row],[Content Type]])</f>
        <v>Regional: General: Current News &amp; Events</v>
      </c>
      <c r="H145" s="54" t="str">
        <f>_xlfn.CONCAT(Table13[[#This Row],[Geographic Scope]],": ",Table13[[#This Row],[Content Type]])</f>
        <v>Regional: Current News &amp; Events</v>
      </c>
      <c r="I145" s="55">
        <f>Table13[[#This Row],[Total Contributed Income]]+Table13[[#This Row],[Total Earned Income]]</f>
        <v>0</v>
      </c>
      <c r="J145" s="55">
        <f>Table13[[#This Row],[Cont. Income - Foundation]]+Table13[[#This Row],[Cont. Income - Membership]]+Table13[[#This Row],[Cont. Income - Small Donors]]+Table13[[#This Row],[Cont. Income - Med. Donors]]+Table13[[#This Row],[Cont. Income - Major Donors]]+Table13[[#This Row],[Cont. Income - Other]]</f>
        <v>0</v>
      </c>
      <c r="K145" s="55">
        <f>Table13[[#This Row],[Earned Income - Advertising]]+Table13[[#This Row],[Earned Income - Sponsorships/Underwriting]]+Table13[[#This Row],[Earned Income - Events]]+Table13[[#This Row],[Earned Income - Subscriptions]]+Table13[[#This Row],[Earned Income - Syndication]]+Table13[[#This Row],[Earned Income - Other]]</f>
        <v>0</v>
      </c>
      <c r="L145" s="56"/>
      <c r="M145" s="56"/>
      <c r="N145" s="71">
        <f>SUM(Table13[[#This Row],[Cont. Income - Small Donors]:[Cont. Income - Major Donors]])</f>
        <v>0</v>
      </c>
      <c r="O145" s="56"/>
      <c r="P145" s="56"/>
      <c r="Q145" s="56"/>
      <c r="R145" s="56"/>
      <c r="T145" s="56"/>
      <c r="U145" s="56"/>
      <c r="V145" s="56"/>
      <c r="W145" s="56"/>
      <c r="X145" s="56"/>
      <c r="Y145" s="56"/>
      <c r="AA145" s="55">
        <f>Table13[[#This Row],[Expenses - Editorial]]+Table13[[#This Row],[Expenses - Revenue Generation]]+Table13[[#This Row],[Expenses - Tech]]+Table13[[#This Row],[Expenses - Admin]]</f>
        <v>0</v>
      </c>
      <c r="AB145" s="56"/>
      <c r="AC145" s="71">
        <f>SUM(Table13[[#This Row],[Expenses - Revenue Generation]:[Expenses - Admin]])</f>
        <v>0</v>
      </c>
      <c r="AD145" s="56"/>
      <c r="AE145" s="56"/>
      <c r="AF145" s="56"/>
      <c r="AG145" s="59">
        <f>Table13[[#This Row],[Total FTE - Editorial]]+Table13[[#This Row],[Total FTE - Non-Editorial]]</f>
        <v>21</v>
      </c>
      <c r="AH145" s="59">
        <f>Table13[[#This Row],[FTE Salaried - Editorial]]+Table13[[#This Row],[FTE Contractors - Editorial]]</f>
        <v>7</v>
      </c>
      <c r="AI145" s="57">
        <v>4</v>
      </c>
      <c r="AJ145" s="57">
        <v>3</v>
      </c>
      <c r="AK145" s="60">
        <f>Table13[[#This Row],[FTE Salaried - Non-Editorial]]+Table13[[#This Row],[FTE Contractors - Non-Editorial]]</f>
        <v>14</v>
      </c>
      <c r="AL145" s="57">
        <v>8</v>
      </c>
      <c r="AM145" s="57">
        <v>6</v>
      </c>
      <c r="AN145" s="54" t="s">
        <v>508</v>
      </c>
      <c r="AO145" s="54" t="s">
        <v>351</v>
      </c>
      <c r="AQ145" s="57">
        <v>124930</v>
      </c>
      <c r="AR145" s="57">
        <v>126422</v>
      </c>
      <c r="AS145" s="57">
        <v>65000</v>
      </c>
      <c r="AT145" s="57">
        <v>6</v>
      </c>
      <c r="AU145" s="57">
        <v>200000</v>
      </c>
      <c r="AV145" s="57" t="s">
        <v>509</v>
      </c>
      <c r="AW145" s="57">
        <v>2500000</v>
      </c>
      <c r="AX145" s="57" t="s">
        <v>510</v>
      </c>
      <c r="AY145" s="57">
        <v>0</v>
      </c>
    </row>
    <row r="146" spans="1:51" x14ac:dyDescent="0.2">
      <c r="A146" s="54">
        <v>6834</v>
      </c>
      <c r="B146" s="54">
        <v>1998</v>
      </c>
      <c r="C146" s="91" t="s">
        <v>82</v>
      </c>
      <c r="D146" s="54" t="s">
        <v>505</v>
      </c>
      <c r="E146" s="54" t="s">
        <v>77</v>
      </c>
      <c r="F146" s="54" t="str">
        <f>_xlfn.CONCAT(Table13[[#This Row],[Geographic Scope]],": ",Table13[[#This Row],[Sub-Type/Focus]])</f>
        <v>Regional: General</v>
      </c>
      <c r="G146" s="54" t="str">
        <f>_xlfn.CONCAT(Table13[[#This Row],[Geographic Scope]],": ",Table13[[#This Row],[Sub-Type/Focus]],": ",Table13[[#This Row],[Content Type]])</f>
        <v>Regional: General: Current News &amp; Events</v>
      </c>
      <c r="H146" s="54" t="str">
        <f>_xlfn.CONCAT(Table13[[#This Row],[Geographic Scope]],": ",Table13[[#This Row],[Content Type]])</f>
        <v>Regional: Current News &amp; Events</v>
      </c>
      <c r="I146" s="55">
        <f>Table13[[#This Row],[Total Contributed Income]]+Table13[[#This Row],[Total Earned Income]]</f>
        <v>0</v>
      </c>
      <c r="J146" s="55">
        <f>Table13[[#This Row],[Cont. Income - Foundation]]+Table13[[#This Row],[Cont. Income - Membership]]+Table13[[#This Row],[Cont. Income - Small Donors]]+Table13[[#This Row],[Cont. Income - Med. Donors]]+Table13[[#This Row],[Cont. Income - Major Donors]]+Table13[[#This Row],[Cont. Income - Other]]</f>
        <v>0</v>
      </c>
      <c r="K146" s="55">
        <f>Table13[[#This Row],[Earned Income - Advertising]]+Table13[[#This Row],[Earned Income - Sponsorships/Underwriting]]+Table13[[#This Row],[Earned Income - Events]]+Table13[[#This Row],[Earned Income - Subscriptions]]+Table13[[#This Row],[Earned Income - Syndication]]+Table13[[#This Row],[Earned Income - Other]]</f>
        <v>0</v>
      </c>
      <c r="L146" s="56"/>
      <c r="M146" s="56"/>
      <c r="N146" s="71">
        <f>SUM(Table13[[#This Row],[Cont. Income - Small Donors]:[Cont. Income - Major Donors]])</f>
        <v>0</v>
      </c>
      <c r="O146" s="56"/>
      <c r="P146" s="56"/>
      <c r="Q146" s="56"/>
      <c r="R146" s="56"/>
      <c r="T146" s="56"/>
      <c r="U146" s="56"/>
      <c r="V146" s="56"/>
      <c r="W146" s="56"/>
      <c r="X146" s="56"/>
      <c r="Y146" s="56"/>
      <c r="AA146" s="55">
        <f>Table13[[#This Row],[Expenses - Editorial]]+Table13[[#This Row],[Expenses - Revenue Generation]]+Table13[[#This Row],[Expenses - Tech]]+Table13[[#This Row],[Expenses - Admin]]</f>
        <v>3501202</v>
      </c>
      <c r="AB146" s="56">
        <v>536000</v>
      </c>
      <c r="AC146" s="71">
        <f>SUM(Table13[[#This Row],[Expenses - Revenue Generation]:[Expenses - Admin]])</f>
        <v>2965202</v>
      </c>
      <c r="AD146" s="56">
        <v>614000</v>
      </c>
      <c r="AE146" s="56">
        <v>460509</v>
      </c>
      <c r="AF146" s="56">
        <v>1890693</v>
      </c>
      <c r="AG146" s="59">
        <f>Table13[[#This Row],[Total FTE - Editorial]]+Table13[[#This Row],[Total FTE - Non-Editorial]]</f>
        <v>31</v>
      </c>
      <c r="AH146" s="59">
        <f>Table13[[#This Row],[FTE Salaried - Editorial]]+Table13[[#This Row],[FTE Contractors - Editorial]]</f>
        <v>8.25</v>
      </c>
      <c r="AI146" s="57">
        <v>8.25</v>
      </c>
      <c r="AJ146" s="57">
        <v>0</v>
      </c>
      <c r="AK146" s="60">
        <f>Table13[[#This Row],[FTE Salaried - Non-Editorial]]+Table13[[#This Row],[FTE Contractors - Non-Editorial]]</f>
        <v>22.75</v>
      </c>
      <c r="AL146" s="57">
        <v>22.5</v>
      </c>
      <c r="AM146" s="57">
        <v>0.25</v>
      </c>
      <c r="AN146" s="54" t="s">
        <v>352</v>
      </c>
      <c r="AO146" s="54" t="s">
        <v>404</v>
      </c>
      <c r="AP146" s="54" t="s">
        <v>511</v>
      </c>
      <c r="AQ146" s="57">
        <v>308914</v>
      </c>
      <c r="AR146" s="57">
        <v>2421</v>
      </c>
      <c r="AS146" s="57">
        <v>0</v>
      </c>
      <c r="AT146" s="57">
        <v>0</v>
      </c>
      <c r="AU146" s="57">
        <v>70000</v>
      </c>
      <c r="AV146" s="57" t="s">
        <v>512</v>
      </c>
      <c r="AW146" s="57">
        <v>0</v>
      </c>
      <c r="AX146" s="57"/>
      <c r="AY146" s="57">
        <v>0</v>
      </c>
    </row>
    <row r="147" spans="1:51" x14ac:dyDescent="0.2">
      <c r="A147" s="54">
        <v>337</v>
      </c>
      <c r="B147" s="54">
        <v>2009</v>
      </c>
      <c r="C147" s="91" t="s">
        <v>82</v>
      </c>
      <c r="D147" s="54" t="s">
        <v>505</v>
      </c>
      <c r="E147" s="54" t="s">
        <v>78</v>
      </c>
      <c r="F147" s="54" t="str">
        <f>_xlfn.CONCAT(Table13[[#This Row],[Geographic Scope]],": ",Table13[[#This Row],[Sub-Type/Focus]])</f>
        <v>Regional: Multiple Related Topics</v>
      </c>
      <c r="G147" s="54" t="str">
        <f>_xlfn.CONCAT(Table13[[#This Row],[Geographic Scope]],": ",Table13[[#This Row],[Sub-Type/Focus]],": ",Table13[[#This Row],[Content Type]])</f>
        <v>Regional: Multiple Related Topics: Current News &amp; Events</v>
      </c>
      <c r="H147" s="54" t="str">
        <f>_xlfn.CONCAT(Table13[[#This Row],[Geographic Scope]],": ",Table13[[#This Row],[Content Type]])</f>
        <v>Regional: Current News &amp; Events</v>
      </c>
      <c r="I147" s="55">
        <f>Table13[[#This Row],[Total Contributed Income]]+Table13[[#This Row],[Total Earned Income]]</f>
        <v>22139</v>
      </c>
      <c r="J147" s="55">
        <f>Table13[[#This Row],[Cont. Income - Foundation]]+Table13[[#This Row],[Cont. Income - Membership]]+Table13[[#This Row],[Cont. Income - Small Donors]]+Table13[[#This Row],[Cont. Income - Med. Donors]]+Table13[[#This Row],[Cont. Income - Major Donors]]+Table13[[#This Row],[Cont. Income - Other]]</f>
        <v>22139</v>
      </c>
      <c r="K147" s="55">
        <f>Table13[[#This Row],[Earned Income - Advertising]]+Table13[[#This Row],[Earned Income - Sponsorships/Underwriting]]+Table13[[#This Row],[Earned Income - Events]]+Table13[[#This Row],[Earned Income - Subscriptions]]+Table13[[#This Row],[Earned Income - Syndication]]+Table13[[#This Row],[Earned Income - Other]]</f>
        <v>0</v>
      </c>
      <c r="L147" s="56">
        <v>12500</v>
      </c>
      <c r="M147" s="56">
        <v>0</v>
      </c>
      <c r="N147" s="71">
        <f>SUM(Table13[[#This Row],[Cont. Income - Small Donors]:[Cont. Income - Major Donors]])</f>
        <v>9639</v>
      </c>
      <c r="O147" s="56">
        <v>4139</v>
      </c>
      <c r="P147" s="56">
        <v>5500</v>
      </c>
      <c r="Q147" s="56">
        <v>0</v>
      </c>
      <c r="R147" s="56">
        <v>0</v>
      </c>
      <c r="T147" s="56">
        <v>0</v>
      </c>
      <c r="U147" s="56">
        <v>0</v>
      </c>
      <c r="V147" s="56">
        <v>0</v>
      </c>
      <c r="W147" s="56">
        <v>0</v>
      </c>
      <c r="X147" s="56">
        <v>0</v>
      </c>
      <c r="Y147" s="56">
        <v>0</v>
      </c>
      <c r="AA147" s="55">
        <f>Table13[[#This Row],[Expenses - Editorial]]+Table13[[#This Row],[Expenses - Revenue Generation]]+Table13[[#This Row],[Expenses - Tech]]+Table13[[#This Row],[Expenses - Admin]]</f>
        <v>105000</v>
      </c>
      <c r="AB147" s="56">
        <v>70000</v>
      </c>
      <c r="AC147" s="71">
        <f>SUM(Table13[[#This Row],[Expenses - Revenue Generation]:[Expenses - Admin]])</f>
        <v>35000</v>
      </c>
      <c r="AD147" s="56">
        <v>0</v>
      </c>
      <c r="AE147" s="56">
        <v>10000</v>
      </c>
      <c r="AF147" s="56">
        <v>25000</v>
      </c>
      <c r="AG147" s="59">
        <f>Table13[[#This Row],[Total FTE - Editorial]]+Table13[[#This Row],[Total FTE - Non-Editorial]]</f>
        <v>4</v>
      </c>
      <c r="AH147" s="59">
        <f>Table13[[#This Row],[FTE Salaried - Editorial]]+Table13[[#This Row],[FTE Contractors - Editorial]]</f>
        <v>3.5</v>
      </c>
      <c r="AI147" s="57">
        <v>3</v>
      </c>
      <c r="AJ147" s="57">
        <v>0.5</v>
      </c>
      <c r="AK147" s="60">
        <f>Table13[[#This Row],[FTE Salaried - Non-Editorial]]+Table13[[#This Row],[FTE Contractors - Non-Editorial]]</f>
        <v>0.5</v>
      </c>
      <c r="AL147" s="57">
        <v>0</v>
      </c>
      <c r="AM147" s="57">
        <v>0.5</v>
      </c>
      <c r="AN147" s="54" t="s">
        <v>351</v>
      </c>
      <c r="AO147" s="54" t="s">
        <v>465</v>
      </c>
      <c r="AQ147" s="57">
        <v>30000</v>
      </c>
      <c r="AR147" s="57">
        <v>1900</v>
      </c>
      <c r="AS147" s="57">
        <v>0</v>
      </c>
      <c r="AT147" s="57">
        <v>0</v>
      </c>
      <c r="AU147" s="57">
        <v>0</v>
      </c>
      <c r="AV147" s="57">
        <v>57000</v>
      </c>
      <c r="AW147" s="57">
        <v>0</v>
      </c>
      <c r="AX147" s="57"/>
      <c r="AY147" s="57">
        <v>0</v>
      </c>
    </row>
    <row r="148" spans="1:51" x14ac:dyDescent="0.2">
      <c r="A148" s="54">
        <v>407</v>
      </c>
      <c r="B148" s="54">
        <v>2010</v>
      </c>
      <c r="C148" s="91" t="s">
        <v>82</v>
      </c>
      <c r="D148" s="54" t="s">
        <v>505</v>
      </c>
      <c r="E148" s="54" t="s">
        <v>78</v>
      </c>
      <c r="F148" s="54" t="str">
        <f>_xlfn.CONCAT(Table13[[#This Row],[Geographic Scope]],": ",Table13[[#This Row],[Sub-Type/Focus]])</f>
        <v>Regional: Multiple Related Topics</v>
      </c>
      <c r="G148" s="54" t="str">
        <f>_xlfn.CONCAT(Table13[[#This Row],[Geographic Scope]],": ",Table13[[#This Row],[Sub-Type/Focus]],": ",Table13[[#This Row],[Content Type]])</f>
        <v>Regional: Multiple Related Topics: Current News &amp; Events</v>
      </c>
      <c r="H148" s="54" t="str">
        <f>_xlfn.CONCAT(Table13[[#This Row],[Geographic Scope]],": ",Table13[[#This Row],[Content Type]])</f>
        <v>Regional: Current News &amp; Events</v>
      </c>
      <c r="I148" s="55">
        <f>Table13[[#This Row],[Total Contributed Income]]+Table13[[#This Row],[Total Earned Income]]</f>
        <v>303836</v>
      </c>
      <c r="J148" s="55">
        <f>Table13[[#This Row],[Cont. Income - Foundation]]+Table13[[#This Row],[Cont. Income - Membership]]+Table13[[#This Row],[Cont. Income - Small Donors]]+Table13[[#This Row],[Cont. Income - Med. Donors]]+Table13[[#This Row],[Cont. Income - Major Donors]]+Table13[[#This Row],[Cont. Income - Other]]</f>
        <v>208655</v>
      </c>
      <c r="K148" s="55">
        <f>Table13[[#This Row],[Earned Income - Advertising]]+Table13[[#This Row],[Earned Income - Sponsorships/Underwriting]]+Table13[[#This Row],[Earned Income - Events]]+Table13[[#This Row],[Earned Income - Subscriptions]]+Table13[[#This Row],[Earned Income - Syndication]]+Table13[[#This Row],[Earned Income - Other]]</f>
        <v>95181</v>
      </c>
      <c r="L148" s="56">
        <v>187000</v>
      </c>
      <c r="M148" s="56">
        <v>0</v>
      </c>
      <c r="N148" s="71">
        <f>SUM(Table13[[#This Row],[Cont. Income - Small Donors]:[Cont. Income - Major Donors]])</f>
        <v>21655</v>
      </c>
      <c r="O148" s="56">
        <v>14155</v>
      </c>
      <c r="P148" s="56">
        <v>2500</v>
      </c>
      <c r="Q148" s="56">
        <v>5000</v>
      </c>
      <c r="R148" s="56">
        <v>0</v>
      </c>
      <c r="T148" s="56">
        <v>0</v>
      </c>
      <c r="U148" s="56">
        <v>0</v>
      </c>
      <c r="V148" s="56">
        <v>0</v>
      </c>
      <c r="W148" s="56">
        <v>0</v>
      </c>
      <c r="X148" s="56">
        <v>0</v>
      </c>
      <c r="Y148" s="56">
        <v>95181</v>
      </c>
      <c r="Z148" s="54" t="s">
        <v>513</v>
      </c>
      <c r="AA148" s="55">
        <f>Table13[[#This Row],[Expenses - Editorial]]+Table13[[#This Row],[Expenses - Revenue Generation]]+Table13[[#This Row],[Expenses - Tech]]+Table13[[#This Row],[Expenses - Admin]]</f>
        <v>270052</v>
      </c>
      <c r="AB148" s="56">
        <v>218000</v>
      </c>
      <c r="AC148" s="71">
        <f>SUM(Table13[[#This Row],[Expenses - Revenue Generation]:[Expenses - Admin]])</f>
        <v>52052</v>
      </c>
      <c r="AD148" s="56">
        <v>27500</v>
      </c>
      <c r="AE148" s="56">
        <v>15334</v>
      </c>
      <c r="AF148" s="56">
        <v>9218</v>
      </c>
      <c r="AG148" s="59">
        <f>Table13[[#This Row],[Total FTE - Editorial]]+Table13[[#This Row],[Total FTE - Non-Editorial]]</f>
        <v>10</v>
      </c>
      <c r="AH148" s="59">
        <f>Table13[[#This Row],[FTE Salaried - Editorial]]+Table13[[#This Row],[FTE Contractors - Editorial]]</f>
        <v>10</v>
      </c>
      <c r="AI148" s="57">
        <v>3</v>
      </c>
      <c r="AJ148" s="57">
        <v>7</v>
      </c>
      <c r="AK148" s="60">
        <f>Table13[[#This Row],[FTE Salaried - Non-Editorial]]+Table13[[#This Row],[FTE Contractors - Non-Editorial]]</f>
        <v>0</v>
      </c>
      <c r="AL148" s="57">
        <v>0</v>
      </c>
      <c r="AM148" s="57">
        <v>0</v>
      </c>
      <c r="AN148" s="54" t="s">
        <v>352</v>
      </c>
      <c r="AO148" s="54" t="s">
        <v>429</v>
      </c>
      <c r="AQ148" s="57">
        <v>15500</v>
      </c>
      <c r="AR148" s="57">
        <v>2700</v>
      </c>
      <c r="AS148" s="57">
        <v>0</v>
      </c>
      <c r="AT148" s="57">
        <v>0</v>
      </c>
      <c r="AU148" s="57">
        <v>0</v>
      </c>
      <c r="AV148" s="57">
        <v>0</v>
      </c>
      <c r="AW148" s="57">
        <v>0</v>
      </c>
      <c r="AX148" s="57"/>
      <c r="AY148" s="57">
        <v>0</v>
      </c>
    </row>
    <row r="149" spans="1:51" x14ac:dyDescent="0.2">
      <c r="A149" s="54">
        <v>2945</v>
      </c>
      <c r="B149" s="54">
        <v>2019</v>
      </c>
      <c r="C149" s="91" t="s">
        <v>82</v>
      </c>
      <c r="D149" s="54" t="s">
        <v>505</v>
      </c>
      <c r="E149" s="54" t="s">
        <v>79</v>
      </c>
      <c r="F149" s="54" t="str">
        <f>_xlfn.CONCAT(Table13[[#This Row],[Geographic Scope]],": ",Table13[[#This Row],[Sub-Type/Focus]])</f>
        <v>Regional: Single-Topic</v>
      </c>
      <c r="G149" s="54" t="str">
        <f>_xlfn.CONCAT(Table13[[#This Row],[Geographic Scope]],": ",Table13[[#This Row],[Sub-Type/Focus]],": ",Table13[[#This Row],[Content Type]])</f>
        <v>Regional: Single-Topic: Current News &amp; Events</v>
      </c>
      <c r="H149" s="54" t="str">
        <f>_xlfn.CONCAT(Table13[[#This Row],[Geographic Scope]],": ",Table13[[#This Row],[Content Type]])</f>
        <v>Regional: Current News &amp; Events</v>
      </c>
      <c r="I149" s="55">
        <f>Table13[[#This Row],[Total Contributed Income]]+Table13[[#This Row],[Total Earned Income]]</f>
        <v>510000</v>
      </c>
      <c r="J149" s="55">
        <f>Table13[[#This Row],[Cont. Income - Foundation]]+Table13[[#This Row],[Cont. Income - Membership]]+Table13[[#This Row],[Cont. Income - Small Donors]]+Table13[[#This Row],[Cont. Income - Med. Donors]]+Table13[[#This Row],[Cont. Income - Major Donors]]+Table13[[#This Row],[Cont. Income - Other]]</f>
        <v>510000</v>
      </c>
      <c r="K149" s="55">
        <f>Table13[[#This Row],[Earned Income - Advertising]]+Table13[[#This Row],[Earned Income - Sponsorships/Underwriting]]+Table13[[#This Row],[Earned Income - Events]]+Table13[[#This Row],[Earned Income - Subscriptions]]+Table13[[#This Row],[Earned Income - Syndication]]+Table13[[#This Row],[Earned Income - Other]]</f>
        <v>0</v>
      </c>
      <c r="L149" s="56">
        <v>500000</v>
      </c>
      <c r="M149" s="56">
        <v>0</v>
      </c>
      <c r="N149" s="71">
        <f>SUM(Table13[[#This Row],[Cont. Income - Small Donors]:[Cont. Income - Major Donors]])</f>
        <v>10000</v>
      </c>
      <c r="O149" s="56">
        <v>0</v>
      </c>
      <c r="P149" s="56">
        <v>0</v>
      </c>
      <c r="Q149" s="56">
        <v>10000</v>
      </c>
      <c r="R149" s="56">
        <v>0</v>
      </c>
      <c r="T149" s="56">
        <v>0</v>
      </c>
      <c r="U149" s="56">
        <v>0</v>
      </c>
      <c r="V149" s="56">
        <v>0</v>
      </c>
      <c r="W149" s="56">
        <v>0</v>
      </c>
      <c r="X149" s="56">
        <v>0</v>
      </c>
      <c r="Y149" s="56">
        <v>0</v>
      </c>
      <c r="AA149" s="55">
        <f>Table13[[#This Row],[Expenses - Editorial]]+Table13[[#This Row],[Expenses - Revenue Generation]]+Table13[[#This Row],[Expenses - Tech]]+Table13[[#This Row],[Expenses - Admin]]</f>
        <v>110000</v>
      </c>
      <c r="AB149" s="56">
        <v>25000</v>
      </c>
      <c r="AC149" s="71">
        <f>SUM(Table13[[#This Row],[Expenses - Revenue Generation]:[Expenses - Admin]])</f>
        <v>85000</v>
      </c>
      <c r="AD149" s="56">
        <v>25000</v>
      </c>
      <c r="AE149" s="56">
        <v>25000</v>
      </c>
      <c r="AF149" s="56">
        <v>35000</v>
      </c>
      <c r="AG149" s="59">
        <f>Table13[[#This Row],[Total FTE - Editorial]]+Table13[[#This Row],[Total FTE - Non-Editorial]]</f>
        <v>1.5</v>
      </c>
      <c r="AH149" s="59">
        <f>Table13[[#This Row],[FTE Salaried - Editorial]]+Table13[[#This Row],[FTE Contractors - Editorial]]</f>
        <v>1.5</v>
      </c>
      <c r="AI149" s="57">
        <v>1</v>
      </c>
      <c r="AJ149" s="57">
        <v>0.5</v>
      </c>
      <c r="AK149" s="60">
        <f>Table13[[#This Row],[FTE Salaried - Non-Editorial]]+Table13[[#This Row],[FTE Contractors - Non-Editorial]]</f>
        <v>0</v>
      </c>
      <c r="AL149" s="57">
        <v>0</v>
      </c>
      <c r="AM149" s="57">
        <v>0</v>
      </c>
      <c r="AN149" s="54" t="s">
        <v>351</v>
      </c>
      <c r="AO149" s="54" t="s">
        <v>359</v>
      </c>
      <c r="AQ149" s="57">
        <v>2657</v>
      </c>
      <c r="AR149" s="57">
        <v>270</v>
      </c>
      <c r="AS149" s="57">
        <v>0</v>
      </c>
      <c r="AT149" s="57">
        <v>0</v>
      </c>
      <c r="AU149" s="57">
        <v>0</v>
      </c>
      <c r="AV149" s="57">
        <v>0</v>
      </c>
      <c r="AW149" s="57">
        <v>0</v>
      </c>
      <c r="AX149" s="57">
        <v>0</v>
      </c>
      <c r="AY149" s="57">
        <v>103</v>
      </c>
    </row>
    <row r="150" spans="1:51" x14ac:dyDescent="0.2">
      <c r="A150" s="54">
        <v>2983</v>
      </c>
      <c r="B150" s="54">
        <v>2018</v>
      </c>
      <c r="C150" s="91" t="s">
        <v>82</v>
      </c>
      <c r="D150" s="54" t="s">
        <v>505</v>
      </c>
      <c r="E150" s="54" t="s">
        <v>79</v>
      </c>
      <c r="F150" s="54" t="str">
        <f>_xlfn.CONCAT(Table13[[#This Row],[Geographic Scope]],": ",Table13[[#This Row],[Sub-Type/Focus]])</f>
        <v>Regional: Single-Topic</v>
      </c>
      <c r="G150" s="54" t="str">
        <f>_xlfn.CONCAT(Table13[[#This Row],[Geographic Scope]],": ",Table13[[#This Row],[Sub-Type/Focus]],": ",Table13[[#This Row],[Content Type]])</f>
        <v>Regional: Single-Topic: Current News &amp; Events</v>
      </c>
      <c r="H150" s="54" t="str">
        <f>_xlfn.CONCAT(Table13[[#This Row],[Geographic Scope]],": ",Table13[[#This Row],[Content Type]])</f>
        <v>Regional: Current News &amp; Events</v>
      </c>
      <c r="I150" s="55">
        <f>Table13[[#This Row],[Total Contributed Income]]+Table13[[#This Row],[Total Earned Income]]</f>
        <v>197975</v>
      </c>
      <c r="J150" s="55">
        <f>Table13[[#This Row],[Cont. Income - Foundation]]+Table13[[#This Row],[Cont. Income - Membership]]+Table13[[#This Row],[Cont. Income - Small Donors]]+Table13[[#This Row],[Cont. Income - Med. Donors]]+Table13[[#This Row],[Cont. Income - Major Donors]]+Table13[[#This Row],[Cont. Income - Other]]</f>
        <v>196880</v>
      </c>
      <c r="K150" s="55">
        <f>Table13[[#This Row],[Earned Income - Advertising]]+Table13[[#This Row],[Earned Income - Sponsorships/Underwriting]]+Table13[[#This Row],[Earned Income - Events]]+Table13[[#This Row],[Earned Income - Subscriptions]]+Table13[[#This Row],[Earned Income - Syndication]]+Table13[[#This Row],[Earned Income - Other]]</f>
        <v>1095</v>
      </c>
      <c r="L150" s="56">
        <v>188708</v>
      </c>
      <c r="M150" s="56">
        <v>0</v>
      </c>
      <c r="N150" s="71">
        <f>SUM(Table13[[#This Row],[Cont. Income - Small Donors]:[Cont. Income - Major Donors]])</f>
        <v>5172</v>
      </c>
      <c r="O150" s="56">
        <v>4134</v>
      </c>
      <c r="P150" s="56">
        <v>1038</v>
      </c>
      <c r="Q150" s="56">
        <v>0</v>
      </c>
      <c r="R150" s="56">
        <v>3000</v>
      </c>
      <c r="S150" s="55" t="s">
        <v>514</v>
      </c>
      <c r="T150" s="56">
        <v>0</v>
      </c>
      <c r="U150" s="56">
        <v>0</v>
      </c>
      <c r="V150" s="56">
        <v>0</v>
      </c>
      <c r="W150" s="56">
        <v>0</v>
      </c>
      <c r="X150" s="56">
        <v>1095</v>
      </c>
      <c r="Y150" s="56">
        <v>0</v>
      </c>
      <c r="AA150" s="55">
        <f>Table13[[#This Row],[Expenses - Editorial]]+Table13[[#This Row],[Expenses - Revenue Generation]]+Table13[[#This Row],[Expenses - Tech]]+Table13[[#This Row],[Expenses - Admin]]</f>
        <v>147250</v>
      </c>
      <c r="AB150" s="56">
        <v>124000</v>
      </c>
      <c r="AC150" s="71">
        <f>SUM(Table13[[#This Row],[Expenses - Revenue Generation]:[Expenses - Admin]])</f>
        <v>23250</v>
      </c>
      <c r="AD150" s="56">
        <v>4500</v>
      </c>
      <c r="AE150" s="56">
        <v>1100</v>
      </c>
      <c r="AF150" s="56">
        <v>17650</v>
      </c>
      <c r="AG150" s="59">
        <f>Table13[[#This Row],[Total FTE - Editorial]]+Table13[[#This Row],[Total FTE - Non-Editorial]]</f>
        <v>3.5</v>
      </c>
      <c r="AH150" s="59">
        <f>Table13[[#This Row],[FTE Salaried - Editorial]]+Table13[[#This Row],[FTE Contractors - Editorial]]</f>
        <v>3.5</v>
      </c>
      <c r="AI150" s="57">
        <v>2.5</v>
      </c>
      <c r="AJ150" s="57">
        <v>1</v>
      </c>
      <c r="AK150" s="60">
        <f>Table13[[#This Row],[FTE Salaried - Non-Editorial]]+Table13[[#This Row],[FTE Contractors - Non-Editorial]]</f>
        <v>0</v>
      </c>
      <c r="AL150" s="57">
        <v>0</v>
      </c>
      <c r="AM150" s="57">
        <v>0</v>
      </c>
      <c r="AN150" s="54" t="s">
        <v>351</v>
      </c>
      <c r="AQ150" s="57">
        <v>8500</v>
      </c>
      <c r="AR150" s="57">
        <v>567</v>
      </c>
      <c r="AS150" s="57">
        <v>0</v>
      </c>
      <c r="AT150" s="57">
        <v>0</v>
      </c>
      <c r="AU150" s="57">
        <v>0</v>
      </c>
      <c r="AV150" s="57">
        <v>0</v>
      </c>
      <c r="AW150" s="57">
        <v>0</v>
      </c>
      <c r="AX150" s="57"/>
      <c r="AY150" s="57">
        <v>0</v>
      </c>
    </row>
    <row r="151" spans="1:51" x14ac:dyDescent="0.2">
      <c r="A151" s="54">
        <v>333</v>
      </c>
      <c r="B151" s="54">
        <v>2013</v>
      </c>
      <c r="C151" s="91" t="s">
        <v>80</v>
      </c>
      <c r="D151" s="54" t="s">
        <v>505</v>
      </c>
      <c r="E151" s="54" t="s">
        <v>77</v>
      </c>
      <c r="F151" s="54" t="str">
        <f>_xlfn.CONCAT(Table13[[#This Row],[Geographic Scope]],": ",Table13[[#This Row],[Sub-Type/Focus]])</f>
        <v>Regional: General</v>
      </c>
      <c r="G151" s="54" t="str">
        <f>_xlfn.CONCAT(Table13[[#This Row],[Geographic Scope]],": ",Table13[[#This Row],[Sub-Type/Focus]],": ",Table13[[#This Row],[Content Type]])</f>
        <v>Regional: General: Explanatory &amp; Analysis</v>
      </c>
      <c r="H151" s="54" t="str">
        <f>_xlfn.CONCAT(Table13[[#This Row],[Geographic Scope]],": ",Table13[[#This Row],[Content Type]])</f>
        <v>Regional: Explanatory &amp; Analysis</v>
      </c>
      <c r="I151" s="55">
        <f>Table13[[#This Row],[Total Contributed Income]]+Table13[[#This Row],[Total Earned Income]]</f>
        <v>114705</v>
      </c>
      <c r="J151" s="55">
        <f>Table13[[#This Row],[Cont. Income - Foundation]]+Table13[[#This Row],[Cont. Income - Membership]]+Table13[[#This Row],[Cont. Income - Small Donors]]+Table13[[#This Row],[Cont. Income - Med. Donors]]+Table13[[#This Row],[Cont. Income - Major Donors]]+Table13[[#This Row],[Cont. Income - Other]]</f>
        <v>111355</v>
      </c>
      <c r="K151" s="55">
        <f>Table13[[#This Row],[Earned Income - Advertising]]+Table13[[#This Row],[Earned Income - Sponsorships/Underwriting]]+Table13[[#This Row],[Earned Income - Events]]+Table13[[#This Row],[Earned Income - Subscriptions]]+Table13[[#This Row],[Earned Income - Syndication]]+Table13[[#This Row],[Earned Income - Other]]</f>
        <v>3350</v>
      </c>
      <c r="L151" s="56">
        <v>39692</v>
      </c>
      <c r="M151" s="56">
        <v>17621</v>
      </c>
      <c r="N151" s="71">
        <f>SUM(Table13[[#This Row],[Cont. Income - Small Donors]:[Cont. Income - Major Donors]])</f>
        <v>54042</v>
      </c>
      <c r="O151" s="56">
        <v>7542</v>
      </c>
      <c r="P151" s="56">
        <v>2500</v>
      </c>
      <c r="Q151" s="56">
        <v>44000</v>
      </c>
      <c r="R151" s="56">
        <v>0</v>
      </c>
      <c r="T151" s="56">
        <v>0</v>
      </c>
      <c r="U151" s="56">
        <v>0</v>
      </c>
      <c r="V151" s="56">
        <v>0</v>
      </c>
      <c r="W151" s="56">
        <v>0</v>
      </c>
      <c r="X151" s="56">
        <v>0</v>
      </c>
      <c r="Y151" s="56">
        <v>3350</v>
      </c>
      <c r="Z151" s="54" t="s">
        <v>515</v>
      </c>
      <c r="AA151" s="55">
        <f>Table13[[#This Row],[Expenses - Editorial]]+Table13[[#This Row],[Expenses - Revenue Generation]]+Table13[[#This Row],[Expenses - Tech]]+Table13[[#This Row],[Expenses - Admin]]</f>
        <v>111479</v>
      </c>
      <c r="AB151" s="56">
        <v>70748</v>
      </c>
      <c r="AC151" s="71">
        <f>SUM(Table13[[#This Row],[Expenses - Revenue Generation]:[Expenses - Admin]])</f>
        <v>40731</v>
      </c>
      <c r="AD151" s="56">
        <v>21660</v>
      </c>
      <c r="AE151" s="56">
        <v>2821</v>
      </c>
      <c r="AF151" s="56">
        <v>16250</v>
      </c>
      <c r="AG151" s="59">
        <f>Table13[[#This Row],[Total FTE - Editorial]]+Table13[[#This Row],[Total FTE - Non-Editorial]]</f>
        <v>1.75</v>
      </c>
      <c r="AH151" s="59">
        <f>Table13[[#This Row],[FTE Salaried - Editorial]]+Table13[[#This Row],[FTE Contractors - Editorial]]</f>
        <v>1.5</v>
      </c>
      <c r="AI151" s="57">
        <v>1</v>
      </c>
      <c r="AJ151" s="57">
        <v>0.5</v>
      </c>
      <c r="AK151" s="60">
        <f>Table13[[#This Row],[FTE Salaried - Non-Editorial]]+Table13[[#This Row],[FTE Contractors - Non-Editorial]]</f>
        <v>0.25</v>
      </c>
      <c r="AL151" s="57">
        <v>0</v>
      </c>
      <c r="AM151" s="57">
        <v>0.25</v>
      </c>
      <c r="AN151" s="54" t="s">
        <v>351</v>
      </c>
      <c r="AO151" s="54" t="s">
        <v>356</v>
      </c>
      <c r="AP151" s="54" t="s">
        <v>385</v>
      </c>
      <c r="AQ151" s="57">
        <v>17000</v>
      </c>
      <c r="AR151" s="57">
        <v>5100</v>
      </c>
      <c r="AS151" s="57">
        <v>0</v>
      </c>
      <c r="AT151" s="57">
        <v>0</v>
      </c>
      <c r="AU151" s="57">
        <v>0</v>
      </c>
      <c r="AV151" s="57">
        <v>0</v>
      </c>
      <c r="AW151" s="57">
        <v>0</v>
      </c>
      <c r="AX151" s="57"/>
      <c r="AY151" s="57">
        <v>0</v>
      </c>
    </row>
    <row r="152" spans="1:51" x14ac:dyDescent="0.2">
      <c r="A152" s="54">
        <v>381</v>
      </c>
      <c r="B152" s="54">
        <v>1970</v>
      </c>
      <c r="C152" s="91" t="s">
        <v>80</v>
      </c>
      <c r="D152" s="54" t="s">
        <v>505</v>
      </c>
      <c r="E152" s="54" t="s">
        <v>77</v>
      </c>
      <c r="F152" s="54" t="str">
        <f>_xlfn.CONCAT(Table13[[#This Row],[Geographic Scope]],": ",Table13[[#This Row],[Sub-Type/Focus]])</f>
        <v>Regional: General</v>
      </c>
      <c r="G152" s="54" t="str">
        <f>_xlfn.CONCAT(Table13[[#This Row],[Geographic Scope]],": ",Table13[[#This Row],[Sub-Type/Focus]],": ",Table13[[#This Row],[Content Type]])</f>
        <v>Regional: General: Explanatory &amp; Analysis</v>
      </c>
      <c r="H152" s="54" t="str">
        <f>_xlfn.CONCAT(Table13[[#This Row],[Geographic Scope]],": ",Table13[[#This Row],[Content Type]])</f>
        <v>Regional: Explanatory &amp; Analysis</v>
      </c>
      <c r="I152" s="55">
        <f>Table13[[#This Row],[Total Contributed Income]]+Table13[[#This Row],[Total Earned Income]]</f>
        <v>4653266.79</v>
      </c>
      <c r="J152" s="55">
        <f>Table13[[#This Row],[Cont. Income - Foundation]]+Table13[[#This Row],[Cont. Income - Membership]]+Table13[[#This Row],[Cont. Income - Small Donors]]+Table13[[#This Row],[Cont. Income - Med. Donors]]+Table13[[#This Row],[Cont. Income - Major Donors]]+Table13[[#This Row],[Cont. Income - Other]]</f>
        <v>3563576.79</v>
      </c>
      <c r="K152" s="55">
        <f>Table13[[#This Row],[Earned Income - Advertising]]+Table13[[#This Row],[Earned Income - Sponsorships/Underwriting]]+Table13[[#This Row],[Earned Income - Events]]+Table13[[#This Row],[Earned Income - Subscriptions]]+Table13[[#This Row],[Earned Income - Syndication]]+Table13[[#This Row],[Earned Income - Other]]</f>
        <v>1089690</v>
      </c>
      <c r="L152" s="56">
        <v>516974</v>
      </c>
      <c r="M152" s="56">
        <v>0</v>
      </c>
      <c r="N152" s="71">
        <f>SUM(Table13[[#This Row],[Cont. Income - Small Donors]:[Cont. Income - Major Donors]])</f>
        <v>3046602.79</v>
      </c>
      <c r="O152" s="56">
        <v>846635.5</v>
      </c>
      <c r="P152" s="56">
        <v>261297.36</v>
      </c>
      <c r="Q152" s="56">
        <v>1938669.93</v>
      </c>
      <c r="R152" s="56">
        <v>0</v>
      </c>
      <c r="T152" s="56">
        <v>108384</v>
      </c>
      <c r="U152" s="56">
        <v>5250</v>
      </c>
      <c r="V152" s="56">
        <v>40646</v>
      </c>
      <c r="W152" s="56">
        <v>914811</v>
      </c>
      <c r="X152" s="56">
        <v>6129</v>
      </c>
      <c r="Y152" s="56">
        <v>14470</v>
      </c>
      <c r="Z152" s="54" t="s">
        <v>516</v>
      </c>
      <c r="AA152" s="55">
        <f>Table13[[#This Row],[Expenses - Editorial]]+Table13[[#This Row],[Expenses - Revenue Generation]]+Table13[[#This Row],[Expenses - Tech]]+Table13[[#This Row],[Expenses - Admin]]</f>
        <v>4096105</v>
      </c>
      <c r="AB152" s="56">
        <v>2132731</v>
      </c>
      <c r="AC152" s="71">
        <f>SUM(Table13[[#This Row],[Expenses - Revenue Generation]:[Expenses - Admin]])</f>
        <v>1963374</v>
      </c>
      <c r="AD152" s="56">
        <v>979082</v>
      </c>
      <c r="AE152" s="56">
        <v>227743</v>
      </c>
      <c r="AF152" s="56">
        <v>756549</v>
      </c>
      <c r="AG152" s="59">
        <f>Table13[[#This Row],[Total FTE - Editorial]]+Table13[[#This Row],[Total FTE - Non-Editorial]]</f>
        <v>34.65</v>
      </c>
      <c r="AH152" s="59">
        <f>Table13[[#This Row],[FTE Salaried - Editorial]]+Table13[[#This Row],[FTE Contractors - Editorial]]</f>
        <v>19.45</v>
      </c>
      <c r="AI152" s="57">
        <v>18.25</v>
      </c>
      <c r="AJ152" s="57">
        <v>1.2</v>
      </c>
      <c r="AK152" s="60">
        <f>Table13[[#This Row],[FTE Salaried - Non-Editorial]]+Table13[[#This Row],[FTE Contractors - Non-Editorial]]</f>
        <v>15.2</v>
      </c>
      <c r="AL152" s="57">
        <v>13.95</v>
      </c>
      <c r="AM152" s="57">
        <v>1.25</v>
      </c>
      <c r="AN152" s="54" t="s">
        <v>352</v>
      </c>
      <c r="AO152" s="54" t="s">
        <v>380</v>
      </c>
      <c r="AQ152" s="57">
        <v>315233</v>
      </c>
      <c r="AR152" s="57">
        <v>158933</v>
      </c>
      <c r="AS152" s="57">
        <v>28376</v>
      </c>
      <c r="AT152" s="57">
        <v>12</v>
      </c>
      <c r="AU152" s="57">
        <v>0</v>
      </c>
      <c r="AV152" s="57">
        <v>0</v>
      </c>
      <c r="AW152" s="57">
        <v>0</v>
      </c>
      <c r="AX152" s="57"/>
      <c r="AY152" s="57">
        <v>1160</v>
      </c>
    </row>
    <row r="153" spans="1:51" x14ac:dyDescent="0.2">
      <c r="A153" s="54">
        <v>465</v>
      </c>
      <c r="B153" s="54">
        <v>1972</v>
      </c>
      <c r="C153" s="91" t="s">
        <v>80</v>
      </c>
      <c r="D153" s="54" t="s">
        <v>505</v>
      </c>
      <c r="E153" s="54" t="s">
        <v>77</v>
      </c>
      <c r="F153" s="54" t="str">
        <f>_xlfn.CONCAT(Table13[[#This Row],[Geographic Scope]],": ",Table13[[#This Row],[Sub-Type/Focus]])</f>
        <v>Regional: General</v>
      </c>
      <c r="G153" s="54" t="str">
        <f>_xlfn.CONCAT(Table13[[#This Row],[Geographic Scope]],": ",Table13[[#This Row],[Sub-Type/Focus]],": ",Table13[[#This Row],[Content Type]])</f>
        <v>Regional: General: Explanatory &amp; Analysis</v>
      </c>
      <c r="H153" s="54" t="str">
        <f>_xlfn.CONCAT(Table13[[#This Row],[Geographic Scope]],": ",Table13[[#This Row],[Content Type]])</f>
        <v>Regional: Explanatory &amp; Analysis</v>
      </c>
      <c r="I153" s="55">
        <f>Table13[[#This Row],[Total Contributed Income]]+Table13[[#This Row],[Total Earned Income]]</f>
        <v>7907259</v>
      </c>
      <c r="J153" s="55">
        <f>Table13[[#This Row],[Cont. Income - Foundation]]+Table13[[#This Row],[Cont. Income - Membership]]+Table13[[#This Row],[Cont. Income - Small Donors]]+Table13[[#This Row],[Cont. Income - Med. Donors]]+Table13[[#This Row],[Cont. Income - Major Donors]]+Table13[[#This Row],[Cont. Income - Other]]</f>
        <v>5782996</v>
      </c>
      <c r="K153" s="55">
        <f>Table13[[#This Row],[Earned Income - Advertising]]+Table13[[#This Row],[Earned Income - Sponsorships/Underwriting]]+Table13[[#This Row],[Earned Income - Events]]+Table13[[#This Row],[Earned Income - Subscriptions]]+Table13[[#This Row],[Earned Income - Syndication]]+Table13[[#This Row],[Earned Income - Other]]</f>
        <v>2124263</v>
      </c>
      <c r="L153" s="56">
        <v>0</v>
      </c>
      <c r="M153" s="56">
        <v>0</v>
      </c>
      <c r="N153" s="71">
        <f>SUM(Table13[[#This Row],[Cont. Income - Small Donors]:[Cont. Income - Major Donors]])</f>
        <v>5505053</v>
      </c>
      <c r="O153" s="56">
        <v>3649906</v>
      </c>
      <c r="P153" s="56">
        <v>1011820</v>
      </c>
      <c r="Q153" s="56">
        <v>843327</v>
      </c>
      <c r="R153" s="56">
        <v>277943</v>
      </c>
      <c r="S153" s="55" t="s">
        <v>517</v>
      </c>
      <c r="T153" s="56">
        <v>0</v>
      </c>
      <c r="U153" s="56">
        <v>1598006</v>
      </c>
      <c r="V153" s="56">
        <v>120321</v>
      </c>
      <c r="W153" s="56">
        <v>0</v>
      </c>
      <c r="X153" s="56">
        <v>0</v>
      </c>
      <c r="Y153" s="56">
        <v>405936</v>
      </c>
      <c r="Z153" s="54" t="s">
        <v>518</v>
      </c>
      <c r="AA153" s="55">
        <f>Table13[[#This Row],[Expenses - Editorial]]+Table13[[#This Row],[Expenses - Revenue Generation]]+Table13[[#This Row],[Expenses - Tech]]+Table13[[#This Row],[Expenses - Admin]]</f>
        <v>8596000</v>
      </c>
      <c r="AB153" s="56">
        <v>5365000</v>
      </c>
      <c r="AC153" s="71">
        <f>SUM(Table13[[#This Row],[Expenses - Revenue Generation]:[Expenses - Admin]])</f>
        <v>3231000</v>
      </c>
      <c r="AD153" s="56">
        <v>2085000</v>
      </c>
      <c r="AE153" s="56">
        <v>478000</v>
      </c>
      <c r="AF153" s="56">
        <v>668000</v>
      </c>
      <c r="AG153" s="59">
        <f>Table13[[#This Row],[Total FTE - Editorial]]+Table13[[#This Row],[Total FTE - Non-Editorial]]</f>
        <v>26</v>
      </c>
      <c r="AH153" s="59">
        <f>Table13[[#This Row],[FTE Salaried - Editorial]]+Table13[[#This Row],[FTE Contractors - Editorial]]</f>
        <v>26</v>
      </c>
      <c r="AI153" s="57">
        <v>26</v>
      </c>
      <c r="AJ153" s="57">
        <v>0</v>
      </c>
      <c r="AK153" s="60">
        <f>Table13[[#This Row],[FTE Salaried - Non-Editorial]]+Table13[[#This Row],[FTE Contractors - Non-Editorial]]</f>
        <v>0</v>
      </c>
      <c r="AL153" s="57">
        <v>0</v>
      </c>
      <c r="AM153" s="57">
        <v>0</v>
      </c>
      <c r="AN153" s="54" t="s">
        <v>352</v>
      </c>
      <c r="AO153" s="54" t="s">
        <v>454</v>
      </c>
      <c r="AP153" s="54" t="s">
        <v>385</v>
      </c>
      <c r="AQ153" s="57">
        <v>447364</v>
      </c>
      <c r="AR153" s="57">
        <v>55000</v>
      </c>
      <c r="AS153" s="57">
        <v>0</v>
      </c>
      <c r="AT153" s="57">
        <v>0</v>
      </c>
      <c r="AU153" s="57">
        <v>170000</v>
      </c>
      <c r="AV153" s="57" t="s">
        <v>519</v>
      </c>
      <c r="AW153" s="57">
        <v>0</v>
      </c>
      <c r="AX153" s="57"/>
      <c r="AY153" s="57">
        <v>157608</v>
      </c>
    </row>
    <row r="154" spans="1:51" x14ac:dyDescent="0.2">
      <c r="A154" s="54">
        <v>2523</v>
      </c>
      <c r="B154" s="54">
        <v>1976</v>
      </c>
      <c r="C154" s="91" t="s">
        <v>80</v>
      </c>
      <c r="D154" s="54" t="s">
        <v>505</v>
      </c>
      <c r="E154" s="54" t="s">
        <v>77</v>
      </c>
      <c r="F154" s="54" t="str">
        <f>_xlfn.CONCAT(Table13[[#This Row],[Geographic Scope]],": ",Table13[[#This Row],[Sub-Type/Focus]])</f>
        <v>Regional: General</v>
      </c>
      <c r="G154" s="54" t="str">
        <f>_xlfn.CONCAT(Table13[[#This Row],[Geographic Scope]],": ",Table13[[#This Row],[Sub-Type/Focus]],": ",Table13[[#This Row],[Content Type]])</f>
        <v>Regional: General: Explanatory &amp; Analysis</v>
      </c>
      <c r="H154" s="54" t="str">
        <f>_xlfn.CONCAT(Table13[[#This Row],[Geographic Scope]],": ",Table13[[#This Row],[Content Type]])</f>
        <v>Regional: Explanatory &amp; Analysis</v>
      </c>
      <c r="I154" s="55">
        <f>Table13[[#This Row],[Total Contributed Income]]+Table13[[#This Row],[Total Earned Income]]</f>
        <v>2067288</v>
      </c>
      <c r="J154" s="55">
        <f>Table13[[#This Row],[Cont. Income - Foundation]]+Table13[[#This Row],[Cont. Income - Membership]]+Table13[[#This Row],[Cont. Income - Small Donors]]+Table13[[#This Row],[Cont. Income - Med. Donors]]+Table13[[#This Row],[Cont. Income - Major Donors]]+Table13[[#This Row],[Cont. Income - Other]]</f>
        <v>1155285</v>
      </c>
      <c r="K154" s="55">
        <f>Table13[[#This Row],[Earned Income - Advertising]]+Table13[[#This Row],[Earned Income - Sponsorships/Underwriting]]+Table13[[#This Row],[Earned Income - Events]]+Table13[[#This Row],[Earned Income - Subscriptions]]+Table13[[#This Row],[Earned Income - Syndication]]+Table13[[#This Row],[Earned Income - Other]]</f>
        <v>912003</v>
      </c>
      <c r="L154" s="56">
        <v>15000</v>
      </c>
      <c r="M154" s="56">
        <v>0</v>
      </c>
      <c r="N154" s="71">
        <f>SUM(Table13[[#This Row],[Cont. Income - Small Donors]:[Cont. Income - Major Donors]])</f>
        <v>1140285</v>
      </c>
      <c r="O154" s="56">
        <v>735500</v>
      </c>
      <c r="P154" s="56">
        <v>222182</v>
      </c>
      <c r="Q154" s="56">
        <v>182603</v>
      </c>
      <c r="R154" s="56">
        <v>0</v>
      </c>
      <c r="T154" s="56">
        <v>0</v>
      </c>
      <c r="U154" s="56">
        <v>912003</v>
      </c>
      <c r="V154" s="56">
        <v>0</v>
      </c>
      <c r="W154" s="56">
        <v>0</v>
      </c>
      <c r="X154" s="56">
        <v>0</v>
      </c>
      <c r="Y154" s="56">
        <v>0</v>
      </c>
      <c r="AA154" s="55">
        <f>Table13[[#This Row],[Expenses - Editorial]]+Table13[[#This Row],[Expenses - Revenue Generation]]+Table13[[#This Row],[Expenses - Tech]]+Table13[[#This Row],[Expenses - Admin]]</f>
        <v>0</v>
      </c>
      <c r="AB154" s="56">
        <v>0</v>
      </c>
      <c r="AC154" s="71">
        <f>SUM(Table13[[#This Row],[Expenses - Revenue Generation]:[Expenses - Admin]])</f>
        <v>0</v>
      </c>
      <c r="AD154" s="56">
        <v>0</v>
      </c>
      <c r="AE154" s="56">
        <v>0</v>
      </c>
      <c r="AF154" s="56">
        <v>0</v>
      </c>
      <c r="AG154" s="59">
        <f>Table13[[#This Row],[Total FTE - Editorial]]+Table13[[#This Row],[Total FTE - Non-Editorial]]</f>
        <v>11</v>
      </c>
      <c r="AH154" s="59">
        <f>Table13[[#This Row],[FTE Salaried - Editorial]]+Table13[[#This Row],[FTE Contractors - Editorial]]</f>
        <v>9</v>
      </c>
      <c r="AI154" s="57">
        <v>9</v>
      </c>
      <c r="AJ154" s="57">
        <v>0</v>
      </c>
      <c r="AK154" s="60">
        <f>Table13[[#This Row],[FTE Salaried - Non-Editorial]]+Table13[[#This Row],[FTE Contractors - Non-Editorial]]</f>
        <v>2</v>
      </c>
      <c r="AL154" s="57">
        <v>1</v>
      </c>
      <c r="AM154" s="57">
        <v>1</v>
      </c>
      <c r="AN154" s="54" t="s">
        <v>352</v>
      </c>
      <c r="AO154" s="54" t="s">
        <v>520</v>
      </c>
      <c r="AQ154" s="57">
        <v>200000</v>
      </c>
      <c r="AR154" s="57">
        <v>40000</v>
      </c>
      <c r="AS154" s="57">
        <v>0</v>
      </c>
      <c r="AT154" s="57">
        <v>0</v>
      </c>
      <c r="AU154" s="57">
        <v>0</v>
      </c>
      <c r="AV154" s="58">
        <v>119000</v>
      </c>
      <c r="AW154" s="57">
        <v>0</v>
      </c>
      <c r="AX154" s="57"/>
      <c r="AY154" s="57">
        <v>24000</v>
      </c>
    </row>
    <row r="155" spans="1:51" x14ac:dyDescent="0.2">
      <c r="A155" s="54">
        <v>2918</v>
      </c>
      <c r="B155" s="54">
        <v>2018</v>
      </c>
      <c r="C155" s="91" t="s">
        <v>80</v>
      </c>
      <c r="D155" s="54" t="s">
        <v>505</v>
      </c>
      <c r="E155" s="54" t="s">
        <v>77</v>
      </c>
      <c r="F155" s="54" t="str">
        <f>_xlfn.CONCAT(Table13[[#This Row],[Geographic Scope]],": ",Table13[[#This Row],[Sub-Type/Focus]])</f>
        <v>Regional: General</v>
      </c>
      <c r="G155" s="54" t="str">
        <f>_xlfn.CONCAT(Table13[[#This Row],[Geographic Scope]],": ",Table13[[#This Row],[Sub-Type/Focus]],": ",Table13[[#This Row],[Content Type]])</f>
        <v>Regional: General: Explanatory &amp; Analysis</v>
      </c>
      <c r="H155" s="54" t="str">
        <f>_xlfn.CONCAT(Table13[[#This Row],[Geographic Scope]],": ",Table13[[#This Row],[Content Type]])</f>
        <v>Regional: Explanatory &amp; Analysis</v>
      </c>
      <c r="I155" s="55">
        <f>Table13[[#This Row],[Total Contributed Income]]+Table13[[#This Row],[Total Earned Income]]</f>
        <v>140369</v>
      </c>
      <c r="J155" s="55">
        <f>Table13[[#This Row],[Cont. Income - Foundation]]+Table13[[#This Row],[Cont. Income - Membership]]+Table13[[#This Row],[Cont. Income - Small Donors]]+Table13[[#This Row],[Cont. Income - Med. Donors]]+Table13[[#This Row],[Cont. Income - Major Donors]]+Table13[[#This Row],[Cont. Income - Other]]</f>
        <v>67724</v>
      </c>
      <c r="K155" s="55">
        <f>Table13[[#This Row],[Earned Income - Advertising]]+Table13[[#This Row],[Earned Income - Sponsorships/Underwriting]]+Table13[[#This Row],[Earned Income - Events]]+Table13[[#This Row],[Earned Income - Subscriptions]]+Table13[[#This Row],[Earned Income - Syndication]]+Table13[[#This Row],[Earned Income - Other]]</f>
        <v>72645</v>
      </c>
      <c r="L155" s="56">
        <v>47825</v>
      </c>
      <c r="M155" s="56">
        <v>19899</v>
      </c>
      <c r="N155" s="71">
        <f>SUM(Table13[[#This Row],[Cont. Income - Small Donors]:[Cont. Income - Major Donors]])</f>
        <v>0</v>
      </c>
      <c r="O155" s="56">
        <v>0</v>
      </c>
      <c r="P155" s="56">
        <v>0</v>
      </c>
      <c r="Q155" s="56">
        <v>0</v>
      </c>
      <c r="R155" s="56">
        <v>0</v>
      </c>
      <c r="T155" s="56">
        <v>0</v>
      </c>
      <c r="U155" s="56">
        <v>72645</v>
      </c>
      <c r="V155" s="56">
        <v>0</v>
      </c>
      <c r="W155" s="56">
        <v>0</v>
      </c>
      <c r="X155" s="56">
        <v>0</v>
      </c>
      <c r="Y155" s="56">
        <v>0</v>
      </c>
      <c r="Z155" s="54" t="s">
        <v>521</v>
      </c>
      <c r="AA155" s="55">
        <f>Table13[[#This Row],[Expenses - Editorial]]+Table13[[#This Row],[Expenses - Revenue Generation]]+Table13[[#This Row],[Expenses - Tech]]+Table13[[#This Row],[Expenses - Admin]]</f>
        <v>315727</v>
      </c>
      <c r="AB155" s="56">
        <v>180960</v>
      </c>
      <c r="AC155" s="71">
        <f>SUM(Table13[[#This Row],[Expenses - Revenue Generation]:[Expenses - Admin]])</f>
        <v>134767</v>
      </c>
      <c r="AD155" s="56">
        <v>0</v>
      </c>
      <c r="AE155" s="56">
        <v>0</v>
      </c>
      <c r="AF155" s="56">
        <v>134767</v>
      </c>
      <c r="AG155" s="59">
        <f>Table13[[#This Row],[Total FTE - Editorial]]+Table13[[#This Row],[Total FTE - Non-Editorial]]</f>
        <v>17.599999999999998</v>
      </c>
      <c r="AH155" s="59">
        <f>Table13[[#This Row],[FTE Salaried - Editorial]]+Table13[[#This Row],[FTE Contractors - Editorial]]</f>
        <v>16.399999999999999</v>
      </c>
      <c r="AI155" s="57">
        <v>16</v>
      </c>
      <c r="AJ155" s="57">
        <v>0.4</v>
      </c>
      <c r="AK155" s="60">
        <f>Table13[[#This Row],[FTE Salaried - Non-Editorial]]+Table13[[#This Row],[FTE Contractors - Non-Editorial]]</f>
        <v>1.2</v>
      </c>
      <c r="AL155" s="57">
        <v>1</v>
      </c>
      <c r="AM155" s="57">
        <v>0.2</v>
      </c>
      <c r="AN155" s="54" t="s">
        <v>352</v>
      </c>
      <c r="AO155" s="54" t="s">
        <v>457</v>
      </c>
      <c r="AQ155" s="57">
        <v>39736</v>
      </c>
      <c r="AR155" s="57">
        <v>35599</v>
      </c>
      <c r="AS155" s="57">
        <v>0</v>
      </c>
      <c r="AT155" s="57">
        <v>0</v>
      </c>
      <c r="AU155" s="57">
        <v>0</v>
      </c>
      <c r="AV155" s="57">
        <v>0</v>
      </c>
      <c r="AW155" s="57">
        <v>2660000</v>
      </c>
      <c r="AX155" s="57" t="s">
        <v>522</v>
      </c>
      <c r="AY155" s="57">
        <v>0</v>
      </c>
    </row>
    <row r="156" spans="1:51" x14ac:dyDescent="0.2">
      <c r="A156" s="54">
        <v>6848</v>
      </c>
      <c r="B156" s="54">
        <v>1965</v>
      </c>
      <c r="C156" s="91" t="s">
        <v>80</v>
      </c>
      <c r="D156" s="54" t="s">
        <v>505</v>
      </c>
      <c r="E156" s="54" t="s">
        <v>77</v>
      </c>
      <c r="F156" s="54" t="str">
        <f>_xlfn.CONCAT(Table13[[#This Row],[Geographic Scope]],": ",Table13[[#This Row],[Sub-Type/Focus]])</f>
        <v>Regional: General</v>
      </c>
      <c r="G156" s="54" t="str">
        <f>_xlfn.CONCAT(Table13[[#This Row],[Geographic Scope]],": ",Table13[[#This Row],[Sub-Type/Focus]],": ",Table13[[#This Row],[Content Type]])</f>
        <v>Regional: General: Explanatory &amp; Analysis</v>
      </c>
      <c r="H156" s="54" t="str">
        <f>_xlfn.CONCAT(Table13[[#This Row],[Geographic Scope]],": ",Table13[[#This Row],[Content Type]])</f>
        <v>Regional: Explanatory &amp; Analysis</v>
      </c>
      <c r="I156" s="55">
        <f>Table13[[#This Row],[Total Contributed Income]]+Table13[[#This Row],[Total Earned Income]]</f>
        <v>0</v>
      </c>
      <c r="J156" s="55">
        <f>Table13[[#This Row],[Cont. Income - Foundation]]+Table13[[#This Row],[Cont. Income - Membership]]+Table13[[#This Row],[Cont. Income - Small Donors]]+Table13[[#This Row],[Cont. Income - Med. Donors]]+Table13[[#This Row],[Cont. Income - Major Donors]]+Table13[[#This Row],[Cont. Income - Other]]</f>
        <v>0</v>
      </c>
      <c r="K156" s="55">
        <f>Table13[[#This Row],[Earned Income - Advertising]]+Table13[[#This Row],[Earned Income - Sponsorships/Underwriting]]+Table13[[#This Row],[Earned Income - Events]]+Table13[[#This Row],[Earned Income - Subscriptions]]+Table13[[#This Row],[Earned Income - Syndication]]+Table13[[#This Row],[Earned Income - Other]]</f>
        <v>0</v>
      </c>
      <c r="L156" s="56"/>
      <c r="M156" s="56"/>
      <c r="N156" s="71">
        <f>SUM(Table13[[#This Row],[Cont. Income - Small Donors]:[Cont. Income - Major Donors]])</f>
        <v>0</v>
      </c>
      <c r="O156" s="56"/>
      <c r="P156" s="56"/>
      <c r="Q156" s="56"/>
      <c r="R156" s="56"/>
      <c r="T156" s="56"/>
      <c r="U156" s="56"/>
      <c r="V156" s="56"/>
      <c r="W156" s="56"/>
      <c r="X156" s="56"/>
      <c r="Y156" s="56"/>
      <c r="AA156" s="55">
        <f>Table13[[#This Row],[Expenses - Editorial]]+Table13[[#This Row],[Expenses - Revenue Generation]]+Table13[[#This Row],[Expenses - Tech]]+Table13[[#This Row],[Expenses - Admin]]</f>
        <v>0</v>
      </c>
      <c r="AB156" s="56"/>
      <c r="AC156" s="71">
        <f>SUM(Table13[[#This Row],[Expenses - Revenue Generation]:[Expenses - Admin]])</f>
        <v>0</v>
      </c>
      <c r="AD156" s="56"/>
      <c r="AE156" s="56"/>
      <c r="AF156" s="56"/>
      <c r="AG156" s="59">
        <f>Table13[[#This Row],[Total FTE - Editorial]]+Table13[[#This Row],[Total FTE - Non-Editorial]]</f>
        <v>87</v>
      </c>
      <c r="AH156" s="59">
        <f>Table13[[#This Row],[FTE Salaried - Editorial]]+Table13[[#This Row],[FTE Contractors - Editorial]]</f>
        <v>38</v>
      </c>
      <c r="AI156" s="57">
        <v>38</v>
      </c>
      <c r="AJ156" s="57">
        <v>0</v>
      </c>
      <c r="AK156" s="60">
        <f>Table13[[#This Row],[FTE Salaried - Non-Editorial]]+Table13[[#This Row],[FTE Contractors - Non-Editorial]]</f>
        <v>49</v>
      </c>
      <c r="AL156" s="57">
        <v>49</v>
      </c>
      <c r="AM156" s="57">
        <v>0</v>
      </c>
      <c r="AN156" s="54" t="s">
        <v>352</v>
      </c>
      <c r="AO156" s="54" t="s">
        <v>520</v>
      </c>
      <c r="AQ156" s="57">
        <v>627700</v>
      </c>
      <c r="AR156" s="57">
        <v>17000</v>
      </c>
      <c r="AS156" s="57">
        <v>0</v>
      </c>
      <c r="AT156" s="57">
        <v>0</v>
      </c>
      <c r="AU156" s="57">
        <v>4</v>
      </c>
      <c r="AV156" s="57" t="s">
        <v>523</v>
      </c>
      <c r="AW156" s="57">
        <v>4</v>
      </c>
      <c r="AX156" s="57" t="s">
        <v>523</v>
      </c>
      <c r="AY156" s="57">
        <v>1097659</v>
      </c>
    </row>
    <row r="157" spans="1:51" x14ac:dyDescent="0.2">
      <c r="A157" s="54">
        <v>322</v>
      </c>
      <c r="B157" s="54">
        <v>1998</v>
      </c>
      <c r="C157" s="91" t="s">
        <v>80</v>
      </c>
      <c r="D157" s="54" t="s">
        <v>505</v>
      </c>
      <c r="E157" s="54" t="s">
        <v>78</v>
      </c>
      <c r="F157" s="54" t="str">
        <f>_xlfn.CONCAT(Table13[[#This Row],[Geographic Scope]],": ",Table13[[#This Row],[Sub-Type/Focus]])</f>
        <v>Regional: Multiple Related Topics</v>
      </c>
      <c r="G157" s="54" t="str">
        <f>_xlfn.CONCAT(Table13[[#This Row],[Geographic Scope]],": ",Table13[[#This Row],[Sub-Type/Focus]],": ",Table13[[#This Row],[Content Type]])</f>
        <v>Regional: Multiple Related Topics: Explanatory &amp; Analysis</v>
      </c>
      <c r="H157" s="54" t="str">
        <f>_xlfn.CONCAT(Table13[[#This Row],[Geographic Scope]],": ",Table13[[#This Row],[Content Type]])</f>
        <v>Regional: Explanatory &amp; Analysis</v>
      </c>
      <c r="I157" s="55">
        <f>Table13[[#This Row],[Total Contributed Income]]+Table13[[#This Row],[Total Earned Income]]</f>
        <v>1339564</v>
      </c>
      <c r="J157" s="55">
        <f>Table13[[#This Row],[Cont. Income - Foundation]]+Table13[[#This Row],[Cont. Income - Membership]]+Table13[[#This Row],[Cont. Income - Small Donors]]+Table13[[#This Row],[Cont. Income - Med. Donors]]+Table13[[#This Row],[Cont. Income - Major Donors]]+Table13[[#This Row],[Cont. Income - Other]]</f>
        <v>757463</v>
      </c>
      <c r="K157" s="55">
        <f>Table13[[#This Row],[Earned Income - Advertising]]+Table13[[#This Row],[Earned Income - Sponsorships/Underwriting]]+Table13[[#This Row],[Earned Income - Events]]+Table13[[#This Row],[Earned Income - Subscriptions]]+Table13[[#This Row],[Earned Income - Syndication]]+Table13[[#This Row],[Earned Income - Other]]</f>
        <v>582101</v>
      </c>
      <c r="L157" s="56">
        <v>41500</v>
      </c>
      <c r="M157" s="56">
        <v>0</v>
      </c>
      <c r="N157" s="71">
        <f>SUM(Table13[[#This Row],[Cont. Income - Small Donors]:[Cont. Income - Major Donors]])</f>
        <v>715963</v>
      </c>
      <c r="O157" s="56">
        <v>91789</v>
      </c>
      <c r="P157" s="56">
        <v>76862</v>
      </c>
      <c r="Q157" s="56">
        <v>547312</v>
      </c>
      <c r="R157" s="56">
        <v>0</v>
      </c>
      <c r="T157" s="56">
        <v>216225</v>
      </c>
      <c r="U157" s="56">
        <v>0</v>
      </c>
      <c r="V157" s="56">
        <v>130</v>
      </c>
      <c r="W157" s="56">
        <v>240996</v>
      </c>
      <c r="X157" s="56">
        <v>0</v>
      </c>
      <c r="Y157" s="56">
        <v>124750</v>
      </c>
      <c r="Z157" s="54" t="s">
        <v>524</v>
      </c>
      <c r="AA157" s="55">
        <f>Table13[[#This Row],[Expenses - Editorial]]+Table13[[#This Row],[Expenses - Revenue Generation]]+Table13[[#This Row],[Expenses - Tech]]+Table13[[#This Row],[Expenses - Admin]]</f>
        <v>1220167</v>
      </c>
      <c r="AB157" s="56">
        <v>220297</v>
      </c>
      <c r="AC157" s="71">
        <f>SUM(Table13[[#This Row],[Expenses - Revenue Generation]:[Expenses - Admin]])</f>
        <v>999870</v>
      </c>
      <c r="AD157" s="56">
        <v>777541</v>
      </c>
      <c r="AE157" s="56">
        <v>123153</v>
      </c>
      <c r="AF157" s="56">
        <v>99176</v>
      </c>
      <c r="AG157" s="59">
        <f>Table13[[#This Row],[Total FTE - Editorial]]+Table13[[#This Row],[Total FTE - Non-Editorial]]</f>
        <v>13</v>
      </c>
      <c r="AH157" s="59">
        <f>Table13[[#This Row],[FTE Salaried - Editorial]]+Table13[[#This Row],[FTE Contractors - Editorial]]</f>
        <v>2</v>
      </c>
      <c r="AI157" s="57">
        <v>2</v>
      </c>
      <c r="AJ157" s="57">
        <v>0</v>
      </c>
      <c r="AK157" s="60">
        <f>Table13[[#This Row],[FTE Salaried - Non-Editorial]]+Table13[[#This Row],[FTE Contractors - Non-Editorial]]</f>
        <v>11</v>
      </c>
      <c r="AL157" s="57">
        <v>8</v>
      </c>
      <c r="AM157" s="57">
        <v>3</v>
      </c>
      <c r="AN157" s="54" t="s">
        <v>347</v>
      </c>
      <c r="AO157" s="54" t="s">
        <v>404</v>
      </c>
      <c r="AP157" s="54" t="s">
        <v>385</v>
      </c>
      <c r="AQ157" s="57">
        <v>200000</v>
      </c>
      <c r="AR157" s="57">
        <v>10113</v>
      </c>
      <c r="AS157" s="57">
        <v>0</v>
      </c>
      <c r="AT157" s="57">
        <v>7</v>
      </c>
      <c r="AU157" s="57">
        <v>0</v>
      </c>
      <c r="AV157" s="57">
        <v>0</v>
      </c>
      <c r="AW157" s="57">
        <v>0</v>
      </c>
      <c r="AX157" s="57">
        <v>0</v>
      </c>
      <c r="AY157" s="57">
        <v>0</v>
      </c>
    </row>
    <row r="158" spans="1:51" x14ac:dyDescent="0.2">
      <c r="A158" s="54">
        <v>358</v>
      </c>
      <c r="B158" s="54">
        <v>2007</v>
      </c>
      <c r="C158" s="91" t="s">
        <v>80</v>
      </c>
      <c r="D158" s="54" t="s">
        <v>505</v>
      </c>
      <c r="E158" s="54" t="s">
        <v>78</v>
      </c>
      <c r="F158" s="54" t="str">
        <f>_xlfn.CONCAT(Table13[[#This Row],[Geographic Scope]],": ",Table13[[#This Row],[Sub-Type/Focus]])</f>
        <v>Regional: Multiple Related Topics</v>
      </c>
      <c r="G158" s="54" t="str">
        <f>_xlfn.CONCAT(Table13[[#This Row],[Geographic Scope]],": ",Table13[[#This Row],[Sub-Type/Focus]],": ",Table13[[#This Row],[Content Type]])</f>
        <v>Regional: Multiple Related Topics: Explanatory &amp; Analysis</v>
      </c>
      <c r="H158" s="54" t="str">
        <f>_xlfn.CONCAT(Table13[[#This Row],[Geographic Scope]],": ",Table13[[#This Row],[Content Type]])</f>
        <v>Regional: Explanatory &amp; Analysis</v>
      </c>
      <c r="I158" s="55">
        <f>Table13[[#This Row],[Total Contributed Income]]+Table13[[#This Row],[Total Earned Income]]</f>
        <v>672994</v>
      </c>
      <c r="J158" s="55">
        <f>Table13[[#This Row],[Cont. Income - Foundation]]+Table13[[#This Row],[Cont. Income - Membership]]+Table13[[#This Row],[Cont. Income - Small Donors]]+Table13[[#This Row],[Cont. Income - Med. Donors]]+Table13[[#This Row],[Cont. Income - Major Donors]]+Table13[[#This Row],[Cont. Income - Other]]</f>
        <v>556374</v>
      </c>
      <c r="K158" s="55">
        <f>Table13[[#This Row],[Earned Income - Advertising]]+Table13[[#This Row],[Earned Income - Sponsorships/Underwriting]]+Table13[[#This Row],[Earned Income - Events]]+Table13[[#This Row],[Earned Income - Subscriptions]]+Table13[[#This Row],[Earned Income - Syndication]]+Table13[[#This Row],[Earned Income - Other]]</f>
        <v>116620</v>
      </c>
      <c r="L158" s="56">
        <v>353507</v>
      </c>
      <c r="M158" s="56">
        <v>191670</v>
      </c>
      <c r="N158" s="71">
        <f>SUM(Table13[[#This Row],[Cont. Income - Small Donors]:[Cont. Income - Major Donors]])</f>
        <v>11197</v>
      </c>
      <c r="O158" s="56">
        <v>11197</v>
      </c>
      <c r="P158" s="56">
        <v>0</v>
      </c>
      <c r="Q158" s="56">
        <v>0</v>
      </c>
      <c r="R158" s="56">
        <v>0</v>
      </c>
      <c r="T158" s="56">
        <v>0</v>
      </c>
      <c r="U158" s="56">
        <v>94579</v>
      </c>
      <c r="V158" s="56">
        <v>21441</v>
      </c>
      <c r="W158" s="56">
        <v>0</v>
      </c>
      <c r="X158" s="56">
        <v>0</v>
      </c>
      <c r="Y158" s="56">
        <v>600</v>
      </c>
      <c r="Z158" s="54" t="s">
        <v>525</v>
      </c>
      <c r="AA158" s="55">
        <f>Table13[[#This Row],[Expenses - Editorial]]+Table13[[#This Row],[Expenses - Revenue Generation]]+Table13[[#This Row],[Expenses - Tech]]+Table13[[#This Row],[Expenses - Admin]]</f>
        <v>0</v>
      </c>
      <c r="AB158" s="56">
        <v>0</v>
      </c>
      <c r="AC158" s="71">
        <f>SUM(Table13[[#This Row],[Expenses - Revenue Generation]:[Expenses - Admin]])</f>
        <v>0</v>
      </c>
      <c r="AD158" s="56">
        <v>0</v>
      </c>
      <c r="AE158" s="56">
        <v>0</v>
      </c>
      <c r="AF158" s="56">
        <v>0</v>
      </c>
      <c r="AG158" s="59">
        <f>Table13[[#This Row],[Total FTE - Editorial]]+Table13[[#This Row],[Total FTE - Non-Editorial]]</f>
        <v>34.5</v>
      </c>
      <c r="AH158" s="59">
        <f>Table13[[#This Row],[FTE Salaried - Editorial]]+Table13[[#This Row],[FTE Contractors - Editorial]]</f>
        <v>34.5</v>
      </c>
      <c r="AI158" s="57">
        <v>30.5</v>
      </c>
      <c r="AJ158" s="57">
        <v>4</v>
      </c>
      <c r="AK158" s="60">
        <f>Table13[[#This Row],[FTE Salaried - Non-Editorial]]+Table13[[#This Row],[FTE Contractors - Non-Editorial]]</f>
        <v>0</v>
      </c>
      <c r="AL158" s="57">
        <v>0</v>
      </c>
      <c r="AM158" s="57">
        <v>0</v>
      </c>
      <c r="AN158" s="54" t="s">
        <v>352</v>
      </c>
      <c r="AO158" s="54" t="s">
        <v>526</v>
      </c>
      <c r="AP158" s="54" t="s">
        <v>527</v>
      </c>
      <c r="AQ158" s="57">
        <v>425000</v>
      </c>
      <c r="AR158" s="57">
        <v>14000</v>
      </c>
      <c r="AS158" s="57">
        <v>0</v>
      </c>
      <c r="AT158" s="57">
        <v>0</v>
      </c>
      <c r="AU158" s="57">
        <v>0</v>
      </c>
      <c r="AV158" s="57">
        <v>0</v>
      </c>
      <c r="AW158" s="57">
        <v>10533</v>
      </c>
      <c r="AX158" s="57" t="s">
        <v>528</v>
      </c>
      <c r="AY158" s="57">
        <v>3500</v>
      </c>
    </row>
    <row r="159" spans="1:51" x14ac:dyDescent="0.2">
      <c r="A159" s="54">
        <v>2989</v>
      </c>
      <c r="B159" s="54">
        <v>2017</v>
      </c>
      <c r="C159" s="91" t="s">
        <v>80</v>
      </c>
      <c r="D159" s="54" t="s">
        <v>505</v>
      </c>
      <c r="E159" s="54" t="s">
        <v>78</v>
      </c>
      <c r="F159" s="54" t="str">
        <f>_xlfn.CONCAT(Table13[[#This Row],[Geographic Scope]],": ",Table13[[#This Row],[Sub-Type/Focus]])</f>
        <v>Regional: Multiple Related Topics</v>
      </c>
      <c r="G159" s="54" t="str">
        <f>_xlfn.CONCAT(Table13[[#This Row],[Geographic Scope]],": ",Table13[[#This Row],[Sub-Type/Focus]],": ",Table13[[#This Row],[Content Type]])</f>
        <v>Regional: Multiple Related Topics: Explanatory &amp; Analysis</v>
      </c>
      <c r="H159" s="54" t="str">
        <f>_xlfn.CONCAT(Table13[[#This Row],[Geographic Scope]],": ",Table13[[#This Row],[Content Type]])</f>
        <v>Regional: Explanatory &amp; Analysis</v>
      </c>
      <c r="I159" s="55">
        <f>Table13[[#This Row],[Total Contributed Income]]+Table13[[#This Row],[Total Earned Income]]</f>
        <v>244179</v>
      </c>
      <c r="J159" s="55">
        <f>Table13[[#This Row],[Cont. Income - Foundation]]+Table13[[#This Row],[Cont. Income - Membership]]+Table13[[#This Row],[Cont. Income - Small Donors]]+Table13[[#This Row],[Cont. Income - Med. Donors]]+Table13[[#This Row],[Cont. Income - Major Donors]]+Table13[[#This Row],[Cont. Income - Other]]</f>
        <v>242179</v>
      </c>
      <c r="K159" s="55">
        <f>Table13[[#This Row],[Earned Income - Advertising]]+Table13[[#This Row],[Earned Income - Sponsorships/Underwriting]]+Table13[[#This Row],[Earned Income - Events]]+Table13[[#This Row],[Earned Income - Subscriptions]]+Table13[[#This Row],[Earned Income - Syndication]]+Table13[[#This Row],[Earned Income - Other]]</f>
        <v>2000</v>
      </c>
      <c r="L159" s="56">
        <v>137900</v>
      </c>
      <c r="M159" s="56">
        <v>0</v>
      </c>
      <c r="N159" s="71">
        <f>SUM(Table13[[#This Row],[Cont. Income - Small Donors]:[Cont. Income - Major Donors]])</f>
        <v>104279</v>
      </c>
      <c r="O159" s="56">
        <v>65629</v>
      </c>
      <c r="P159" s="56">
        <v>33650</v>
      </c>
      <c r="Q159" s="56">
        <v>5000</v>
      </c>
      <c r="R159" s="56">
        <v>0</v>
      </c>
      <c r="T159" s="56">
        <v>2000</v>
      </c>
      <c r="U159" s="56">
        <v>0</v>
      </c>
      <c r="V159" s="56">
        <v>0</v>
      </c>
      <c r="W159" s="56">
        <v>0</v>
      </c>
      <c r="X159" s="56">
        <v>0</v>
      </c>
      <c r="Y159" s="56">
        <v>0</v>
      </c>
      <c r="AA159" s="55">
        <f>Table13[[#This Row],[Expenses - Editorial]]+Table13[[#This Row],[Expenses - Revenue Generation]]+Table13[[#This Row],[Expenses - Tech]]+Table13[[#This Row],[Expenses - Admin]]</f>
        <v>214300</v>
      </c>
      <c r="AB159" s="56">
        <v>166200</v>
      </c>
      <c r="AC159" s="71">
        <f>SUM(Table13[[#This Row],[Expenses - Revenue Generation]:[Expenses - Admin]])</f>
        <v>48100</v>
      </c>
      <c r="AD159" s="56">
        <v>20200</v>
      </c>
      <c r="AE159" s="56">
        <v>6700</v>
      </c>
      <c r="AF159" s="56">
        <v>21200</v>
      </c>
      <c r="AG159" s="59">
        <f>Table13[[#This Row],[Total FTE - Editorial]]+Table13[[#This Row],[Total FTE - Non-Editorial]]</f>
        <v>2</v>
      </c>
      <c r="AH159" s="59">
        <f>Table13[[#This Row],[FTE Salaried - Editorial]]+Table13[[#This Row],[FTE Contractors - Editorial]]</f>
        <v>1</v>
      </c>
      <c r="AI159" s="57">
        <v>0</v>
      </c>
      <c r="AJ159" s="57">
        <v>1</v>
      </c>
      <c r="AK159" s="60">
        <f>Table13[[#This Row],[FTE Salaried - Non-Editorial]]+Table13[[#This Row],[FTE Contractors - Non-Editorial]]</f>
        <v>1</v>
      </c>
      <c r="AL159" s="57">
        <v>1</v>
      </c>
      <c r="AM159" s="57">
        <v>0</v>
      </c>
      <c r="AN159" s="54" t="s">
        <v>351</v>
      </c>
      <c r="AQ159" s="57">
        <v>46156</v>
      </c>
      <c r="AR159" s="57">
        <v>3896</v>
      </c>
      <c r="AS159" s="57">
        <v>0</v>
      </c>
      <c r="AT159" s="57">
        <v>0</v>
      </c>
      <c r="AU159" s="57">
        <v>0</v>
      </c>
      <c r="AV159" s="57">
        <v>0</v>
      </c>
      <c r="AW159" s="57">
        <v>0</v>
      </c>
      <c r="AX159" s="57"/>
      <c r="AY159" s="57">
        <v>0</v>
      </c>
    </row>
    <row r="160" spans="1:51" x14ac:dyDescent="0.2">
      <c r="A160" s="54">
        <v>348</v>
      </c>
      <c r="B160" s="54">
        <v>2008</v>
      </c>
      <c r="C160" s="91" t="s">
        <v>80</v>
      </c>
      <c r="D160" s="54" t="s">
        <v>505</v>
      </c>
      <c r="E160" s="54" t="s">
        <v>79</v>
      </c>
      <c r="F160" s="54" t="str">
        <f>_xlfn.CONCAT(Table13[[#This Row],[Geographic Scope]],": ",Table13[[#This Row],[Sub-Type/Focus]])</f>
        <v>Regional: Single-Topic</v>
      </c>
      <c r="G160" s="54" t="str">
        <f>_xlfn.CONCAT(Table13[[#This Row],[Geographic Scope]],": ",Table13[[#This Row],[Sub-Type/Focus]],": ",Table13[[#This Row],[Content Type]])</f>
        <v>Regional: Single-Topic: Explanatory &amp; Analysis</v>
      </c>
      <c r="H160" s="54" t="str">
        <f>_xlfn.CONCAT(Table13[[#This Row],[Geographic Scope]],": ",Table13[[#This Row],[Content Type]])</f>
        <v>Regional: Explanatory &amp; Analysis</v>
      </c>
      <c r="I160" s="55">
        <f>Table13[[#This Row],[Total Contributed Income]]+Table13[[#This Row],[Total Earned Income]]</f>
        <v>1016600</v>
      </c>
      <c r="J160" s="55">
        <f>Table13[[#This Row],[Cont. Income - Foundation]]+Table13[[#This Row],[Cont. Income - Membership]]+Table13[[#This Row],[Cont. Income - Small Donors]]+Table13[[#This Row],[Cont. Income - Med. Donors]]+Table13[[#This Row],[Cont. Income - Major Donors]]+Table13[[#This Row],[Cont. Income - Other]]</f>
        <v>995600</v>
      </c>
      <c r="K160" s="55">
        <f>Table13[[#This Row],[Earned Income - Advertising]]+Table13[[#This Row],[Earned Income - Sponsorships/Underwriting]]+Table13[[#This Row],[Earned Income - Events]]+Table13[[#This Row],[Earned Income - Subscriptions]]+Table13[[#This Row],[Earned Income - Syndication]]+Table13[[#This Row],[Earned Income - Other]]</f>
        <v>21000</v>
      </c>
      <c r="L160" s="56">
        <v>535000</v>
      </c>
      <c r="M160" s="56">
        <v>0</v>
      </c>
      <c r="N160" s="71">
        <f>SUM(Table13[[#This Row],[Cont. Income - Small Donors]:[Cont. Income - Major Donors]])</f>
        <v>460600</v>
      </c>
      <c r="O160" s="56">
        <v>222800</v>
      </c>
      <c r="P160" s="56">
        <v>27800</v>
      </c>
      <c r="Q160" s="56">
        <v>210000</v>
      </c>
      <c r="R160" s="56">
        <v>0</v>
      </c>
      <c r="T160" s="56">
        <v>21000</v>
      </c>
      <c r="U160" s="56">
        <v>0</v>
      </c>
      <c r="V160" s="56">
        <v>0</v>
      </c>
      <c r="W160" s="56">
        <v>0</v>
      </c>
      <c r="X160" s="56">
        <v>0</v>
      </c>
      <c r="Y160" s="56">
        <v>0</v>
      </c>
      <c r="AA160" s="55">
        <f>Table13[[#This Row],[Expenses - Editorial]]+Table13[[#This Row],[Expenses - Revenue Generation]]+Table13[[#This Row],[Expenses - Tech]]+Table13[[#This Row],[Expenses - Admin]]</f>
        <v>959000</v>
      </c>
      <c r="AB160" s="56">
        <v>740000</v>
      </c>
      <c r="AC160" s="71">
        <f>SUM(Table13[[#This Row],[Expenses - Revenue Generation]:[Expenses - Admin]])</f>
        <v>219000</v>
      </c>
      <c r="AD160" s="56">
        <v>115000</v>
      </c>
      <c r="AE160" s="56">
        <v>4000</v>
      </c>
      <c r="AF160" s="56">
        <v>100000</v>
      </c>
      <c r="AG160" s="59">
        <f>Table13[[#This Row],[Total FTE - Editorial]]+Table13[[#This Row],[Total FTE - Non-Editorial]]</f>
        <v>8</v>
      </c>
      <c r="AH160" s="59">
        <f>Table13[[#This Row],[FTE Salaried - Editorial]]+Table13[[#This Row],[FTE Contractors - Editorial]]</f>
        <v>5.5</v>
      </c>
      <c r="AI160" s="57">
        <v>5.5</v>
      </c>
      <c r="AJ160" s="57">
        <v>0</v>
      </c>
      <c r="AK160" s="60">
        <f>Table13[[#This Row],[FTE Salaried - Non-Editorial]]+Table13[[#This Row],[FTE Contractors - Non-Editorial]]</f>
        <v>2.5</v>
      </c>
      <c r="AL160" s="57">
        <v>2.5</v>
      </c>
      <c r="AM160" s="57">
        <v>0</v>
      </c>
      <c r="AN160" s="54" t="s">
        <v>351</v>
      </c>
      <c r="AO160" s="54" t="s">
        <v>404</v>
      </c>
      <c r="AP160" s="54" t="s">
        <v>529</v>
      </c>
      <c r="AQ160" s="57">
        <v>25300</v>
      </c>
      <c r="AR160" s="57">
        <v>5100</v>
      </c>
      <c r="AS160" s="57">
        <v>34000</v>
      </c>
      <c r="AT160" s="57">
        <v>10</v>
      </c>
      <c r="AU160" s="57">
        <v>0</v>
      </c>
      <c r="AV160" s="57">
        <v>0</v>
      </c>
      <c r="AW160" s="57">
        <v>0</v>
      </c>
      <c r="AX160" s="57"/>
      <c r="AY160" s="57">
        <v>0</v>
      </c>
    </row>
    <row r="161" spans="1:51" x14ac:dyDescent="0.2">
      <c r="A161" s="54">
        <v>360</v>
      </c>
      <c r="B161" s="54">
        <v>2015</v>
      </c>
      <c r="C161" s="91" t="s">
        <v>80</v>
      </c>
      <c r="D161" s="54" t="s">
        <v>505</v>
      </c>
      <c r="E161" s="54" t="s">
        <v>79</v>
      </c>
      <c r="F161" s="54" t="str">
        <f>_xlfn.CONCAT(Table13[[#This Row],[Geographic Scope]],": ",Table13[[#This Row],[Sub-Type/Focus]])</f>
        <v>Regional: Single-Topic</v>
      </c>
      <c r="G161" s="54" t="str">
        <f>_xlfn.CONCAT(Table13[[#This Row],[Geographic Scope]],": ",Table13[[#This Row],[Sub-Type/Focus]],": ",Table13[[#This Row],[Content Type]])</f>
        <v>Regional: Single-Topic: Explanatory &amp; Analysis</v>
      </c>
      <c r="H161" s="54" t="str">
        <f>_xlfn.CONCAT(Table13[[#This Row],[Geographic Scope]],": ",Table13[[#This Row],[Content Type]])</f>
        <v>Regional: Explanatory &amp; Analysis</v>
      </c>
      <c r="I161" s="55">
        <f>Table13[[#This Row],[Total Contributed Income]]+Table13[[#This Row],[Total Earned Income]]</f>
        <v>34435</v>
      </c>
      <c r="J161" s="55">
        <f>Table13[[#This Row],[Cont. Income - Foundation]]+Table13[[#This Row],[Cont. Income - Membership]]+Table13[[#This Row],[Cont. Income - Small Donors]]+Table13[[#This Row],[Cont. Income - Med. Donors]]+Table13[[#This Row],[Cont. Income - Major Donors]]+Table13[[#This Row],[Cont. Income - Other]]</f>
        <v>34435</v>
      </c>
      <c r="K161" s="55">
        <f>Table13[[#This Row],[Earned Income - Advertising]]+Table13[[#This Row],[Earned Income - Sponsorships/Underwriting]]+Table13[[#This Row],[Earned Income - Events]]+Table13[[#This Row],[Earned Income - Subscriptions]]+Table13[[#This Row],[Earned Income - Syndication]]+Table13[[#This Row],[Earned Income - Other]]</f>
        <v>0</v>
      </c>
      <c r="L161" s="56">
        <v>25425</v>
      </c>
      <c r="M161" s="56">
        <v>0</v>
      </c>
      <c r="N161" s="71">
        <f>SUM(Table13[[#This Row],[Cont. Income - Small Donors]:[Cont. Income - Major Donors]])</f>
        <v>9010</v>
      </c>
      <c r="O161" s="56">
        <v>8010</v>
      </c>
      <c r="P161" s="56">
        <v>1000</v>
      </c>
      <c r="Q161" s="56">
        <v>0</v>
      </c>
      <c r="R161" s="56">
        <v>0</v>
      </c>
      <c r="T161" s="56">
        <v>0</v>
      </c>
      <c r="U161" s="56">
        <v>0</v>
      </c>
      <c r="V161" s="56">
        <v>0</v>
      </c>
      <c r="W161" s="56">
        <v>0</v>
      </c>
      <c r="X161" s="56">
        <v>0</v>
      </c>
      <c r="Y161" s="56">
        <v>0</v>
      </c>
      <c r="AA161" s="55">
        <f>Table13[[#This Row],[Expenses - Editorial]]+Table13[[#This Row],[Expenses - Revenue Generation]]+Table13[[#This Row],[Expenses - Tech]]+Table13[[#This Row],[Expenses - Admin]]</f>
        <v>24034</v>
      </c>
      <c r="AB161" s="56">
        <v>14775</v>
      </c>
      <c r="AC161" s="71">
        <f>SUM(Table13[[#This Row],[Expenses - Revenue Generation]:[Expenses - Admin]])</f>
        <v>9259</v>
      </c>
      <c r="AD161" s="56">
        <v>0</v>
      </c>
      <c r="AE161" s="56">
        <v>1954</v>
      </c>
      <c r="AF161" s="56">
        <v>7305</v>
      </c>
      <c r="AG161" s="59">
        <f>Table13[[#This Row],[Total FTE - Editorial]]+Table13[[#This Row],[Total FTE - Non-Editorial]]</f>
        <v>0</v>
      </c>
      <c r="AH161" s="59">
        <f>Table13[[#This Row],[FTE Salaried - Editorial]]+Table13[[#This Row],[FTE Contractors - Editorial]]</f>
        <v>0</v>
      </c>
      <c r="AI161" s="57">
        <v>0</v>
      </c>
      <c r="AJ161" s="57">
        <v>0</v>
      </c>
      <c r="AK161" s="60">
        <f>Table13[[#This Row],[FTE Salaried - Non-Editorial]]+Table13[[#This Row],[FTE Contractors - Non-Editorial]]</f>
        <v>0</v>
      </c>
      <c r="AL161" s="57">
        <v>0</v>
      </c>
      <c r="AM161" s="57">
        <v>0</v>
      </c>
      <c r="AN161" s="54" t="s">
        <v>351</v>
      </c>
      <c r="AQ161" s="57">
        <v>475</v>
      </c>
      <c r="AR161" s="57">
        <v>424</v>
      </c>
      <c r="AS161" s="57">
        <v>0</v>
      </c>
      <c r="AT161" s="57">
        <v>0</v>
      </c>
      <c r="AU161" s="57">
        <v>0</v>
      </c>
      <c r="AV161" s="57">
        <v>0</v>
      </c>
      <c r="AW161" s="57">
        <v>0</v>
      </c>
      <c r="AX161" s="57"/>
      <c r="AY161" s="57">
        <v>0</v>
      </c>
    </row>
    <row r="162" spans="1:51" x14ac:dyDescent="0.2">
      <c r="A162" s="54">
        <v>364</v>
      </c>
      <c r="B162" s="54">
        <v>2009</v>
      </c>
      <c r="C162" s="91" t="s">
        <v>80</v>
      </c>
      <c r="D162" s="54" t="s">
        <v>505</v>
      </c>
      <c r="E162" s="54" t="s">
        <v>79</v>
      </c>
      <c r="F162" s="54" t="str">
        <f>_xlfn.CONCAT(Table13[[#This Row],[Geographic Scope]],": ",Table13[[#This Row],[Sub-Type/Focus]])</f>
        <v>Regional: Single-Topic</v>
      </c>
      <c r="G162" s="54" t="str">
        <f>_xlfn.CONCAT(Table13[[#This Row],[Geographic Scope]],": ",Table13[[#This Row],[Sub-Type/Focus]],": ",Table13[[#This Row],[Content Type]])</f>
        <v>Regional: Single-Topic: Explanatory &amp; Analysis</v>
      </c>
      <c r="H162" s="54" t="str">
        <f>_xlfn.CONCAT(Table13[[#This Row],[Geographic Scope]],": ",Table13[[#This Row],[Content Type]])</f>
        <v>Regional: Explanatory &amp; Analysis</v>
      </c>
      <c r="I162" s="55">
        <f>Table13[[#This Row],[Total Contributed Income]]+Table13[[#This Row],[Total Earned Income]]</f>
        <v>253650</v>
      </c>
      <c r="J162" s="55">
        <f>Table13[[#This Row],[Cont. Income - Foundation]]+Table13[[#This Row],[Cont. Income - Membership]]+Table13[[#This Row],[Cont. Income - Small Donors]]+Table13[[#This Row],[Cont. Income - Med. Donors]]+Table13[[#This Row],[Cont. Income - Major Donors]]+Table13[[#This Row],[Cont. Income - Other]]</f>
        <v>239450</v>
      </c>
      <c r="K162" s="55">
        <f>Table13[[#This Row],[Earned Income - Advertising]]+Table13[[#This Row],[Earned Income - Sponsorships/Underwriting]]+Table13[[#This Row],[Earned Income - Events]]+Table13[[#This Row],[Earned Income - Subscriptions]]+Table13[[#This Row],[Earned Income - Syndication]]+Table13[[#This Row],[Earned Income - Other]]</f>
        <v>14200</v>
      </c>
      <c r="L162" s="56">
        <v>102700</v>
      </c>
      <c r="M162" s="56">
        <v>0</v>
      </c>
      <c r="N162" s="71">
        <f>SUM(Table13[[#This Row],[Cont. Income - Small Donors]:[Cont. Income - Major Donors]])</f>
        <v>136750</v>
      </c>
      <c r="O162" s="56">
        <v>75982</v>
      </c>
      <c r="P162" s="56">
        <v>41507</v>
      </c>
      <c r="Q162" s="56">
        <v>19261</v>
      </c>
      <c r="R162" s="56">
        <v>0</v>
      </c>
      <c r="T162" s="56">
        <v>14000</v>
      </c>
      <c r="U162" s="56">
        <v>0</v>
      </c>
      <c r="V162" s="56">
        <v>0</v>
      </c>
      <c r="W162" s="56">
        <v>0</v>
      </c>
      <c r="X162" s="56">
        <v>200</v>
      </c>
      <c r="Y162" s="56">
        <v>0</v>
      </c>
      <c r="AA162" s="55">
        <f>Table13[[#This Row],[Expenses - Editorial]]+Table13[[#This Row],[Expenses - Revenue Generation]]+Table13[[#This Row],[Expenses - Tech]]+Table13[[#This Row],[Expenses - Admin]]</f>
        <v>219752</v>
      </c>
      <c r="AB162" s="56">
        <v>165600</v>
      </c>
      <c r="AC162" s="71">
        <f>SUM(Table13[[#This Row],[Expenses - Revenue Generation]:[Expenses - Admin]])</f>
        <v>54152</v>
      </c>
      <c r="AD162" s="56">
        <v>37152</v>
      </c>
      <c r="AE162" s="56">
        <v>0</v>
      </c>
      <c r="AF162" s="56">
        <v>17000</v>
      </c>
      <c r="AG162" s="59">
        <f>Table13[[#This Row],[Total FTE - Editorial]]+Table13[[#This Row],[Total FTE - Non-Editorial]]</f>
        <v>4</v>
      </c>
      <c r="AH162" s="59">
        <f>Table13[[#This Row],[FTE Salaried - Editorial]]+Table13[[#This Row],[FTE Contractors - Editorial]]</f>
        <v>3</v>
      </c>
      <c r="AI162" s="57">
        <v>3</v>
      </c>
      <c r="AJ162" s="57">
        <v>0</v>
      </c>
      <c r="AK162" s="60">
        <f>Table13[[#This Row],[FTE Salaried - Non-Editorial]]+Table13[[#This Row],[FTE Contractors - Non-Editorial]]</f>
        <v>1</v>
      </c>
      <c r="AL162" s="57">
        <v>1</v>
      </c>
      <c r="AM162" s="57">
        <v>0</v>
      </c>
      <c r="AN162" s="54" t="s">
        <v>347</v>
      </c>
      <c r="AO162" s="54" t="s">
        <v>530</v>
      </c>
      <c r="AQ162" s="57">
        <v>46000</v>
      </c>
      <c r="AR162" s="57">
        <v>12890</v>
      </c>
      <c r="AS162" s="57">
        <v>0</v>
      </c>
      <c r="AT162" s="57">
        <v>0</v>
      </c>
      <c r="AU162" s="57">
        <v>0</v>
      </c>
      <c r="AV162" s="57">
        <v>0</v>
      </c>
      <c r="AW162" s="57">
        <v>0</v>
      </c>
      <c r="AX162" s="57"/>
      <c r="AY162" s="57">
        <v>0</v>
      </c>
    </row>
    <row r="163" spans="1:51" x14ac:dyDescent="0.2">
      <c r="A163" s="54">
        <v>366</v>
      </c>
      <c r="B163" s="54">
        <v>2010</v>
      </c>
      <c r="C163" s="91" t="s">
        <v>80</v>
      </c>
      <c r="D163" s="54" t="s">
        <v>505</v>
      </c>
      <c r="E163" s="54" t="s">
        <v>79</v>
      </c>
      <c r="F163" s="54" t="str">
        <f>_xlfn.CONCAT(Table13[[#This Row],[Geographic Scope]],": ",Table13[[#This Row],[Sub-Type/Focus]])</f>
        <v>Regional: Single-Topic</v>
      </c>
      <c r="G163" s="54" t="str">
        <f>_xlfn.CONCAT(Table13[[#This Row],[Geographic Scope]],": ",Table13[[#This Row],[Sub-Type/Focus]],": ",Table13[[#This Row],[Content Type]])</f>
        <v>Regional: Single-Topic: Explanatory &amp; Analysis</v>
      </c>
      <c r="H163" s="54" t="str">
        <f>_xlfn.CONCAT(Table13[[#This Row],[Geographic Scope]],": ",Table13[[#This Row],[Content Type]])</f>
        <v>Regional: Explanatory &amp; Analysis</v>
      </c>
      <c r="I163" s="55">
        <f>Table13[[#This Row],[Total Contributed Income]]+Table13[[#This Row],[Total Earned Income]]</f>
        <v>1037529</v>
      </c>
      <c r="J163" s="55">
        <f>Table13[[#This Row],[Cont. Income - Foundation]]+Table13[[#This Row],[Cont. Income - Membership]]+Table13[[#This Row],[Cont. Income - Small Donors]]+Table13[[#This Row],[Cont. Income - Med. Donors]]+Table13[[#This Row],[Cont. Income - Major Donors]]+Table13[[#This Row],[Cont. Income - Other]]</f>
        <v>1025421</v>
      </c>
      <c r="K163" s="55">
        <f>Table13[[#This Row],[Earned Income - Advertising]]+Table13[[#This Row],[Earned Income - Sponsorships/Underwriting]]+Table13[[#This Row],[Earned Income - Events]]+Table13[[#This Row],[Earned Income - Subscriptions]]+Table13[[#This Row],[Earned Income - Syndication]]+Table13[[#This Row],[Earned Income - Other]]</f>
        <v>12108</v>
      </c>
      <c r="L163" s="56">
        <v>1006692</v>
      </c>
      <c r="M163" s="56">
        <v>0</v>
      </c>
      <c r="N163" s="71">
        <f>SUM(Table13[[#This Row],[Cont. Income - Small Donors]:[Cont. Income - Major Donors]])</f>
        <v>18729</v>
      </c>
      <c r="O163" s="56">
        <v>12047</v>
      </c>
      <c r="P163" s="56">
        <v>1043</v>
      </c>
      <c r="Q163" s="56">
        <v>5639</v>
      </c>
      <c r="R163" s="56">
        <v>0</v>
      </c>
      <c r="T163" s="56">
        <v>12108</v>
      </c>
      <c r="U163" s="56">
        <v>0</v>
      </c>
      <c r="V163" s="56">
        <v>0</v>
      </c>
      <c r="W163" s="56">
        <v>0</v>
      </c>
      <c r="X163" s="56">
        <v>0</v>
      </c>
      <c r="Y163" s="56">
        <v>0</v>
      </c>
      <c r="AA163" s="55">
        <f>Table13[[#This Row],[Expenses - Editorial]]+Table13[[#This Row],[Expenses - Revenue Generation]]+Table13[[#This Row],[Expenses - Tech]]+Table13[[#This Row],[Expenses - Admin]]</f>
        <v>1037529</v>
      </c>
      <c r="AB163" s="56">
        <v>750000</v>
      </c>
      <c r="AC163" s="71">
        <f>SUM(Table13[[#This Row],[Expenses - Revenue Generation]:[Expenses - Admin]])</f>
        <v>287529</v>
      </c>
      <c r="AD163" s="56">
        <v>60000</v>
      </c>
      <c r="AE163" s="56">
        <v>50000</v>
      </c>
      <c r="AF163" s="56">
        <v>177529</v>
      </c>
      <c r="AG163" s="59">
        <f>Table13[[#This Row],[Total FTE - Editorial]]+Table13[[#This Row],[Total FTE - Non-Editorial]]</f>
        <v>12</v>
      </c>
      <c r="AH163" s="59">
        <f>Table13[[#This Row],[FTE Salaried - Editorial]]+Table13[[#This Row],[FTE Contractors - Editorial]]</f>
        <v>10</v>
      </c>
      <c r="AI163" s="57">
        <v>3</v>
      </c>
      <c r="AJ163" s="57">
        <v>7</v>
      </c>
      <c r="AK163" s="60">
        <f>Table13[[#This Row],[FTE Salaried - Non-Editorial]]+Table13[[#This Row],[FTE Contractors - Non-Editorial]]</f>
        <v>2</v>
      </c>
      <c r="AL163" s="57">
        <v>2</v>
      </c>
      <c r="AM163" s="57">
        <v>0</v>
      </c>
      <c r="AN163" s="54" t="s">
        <v>351</v>
      </c>
      <c r="AQ163" s="57">
        <v>80600</v>
      </c>
      <c r="AR163" s="57">
        <v>33400</v>
      </c>
      <c r="AS163" s="57">
        <v>0</v>
      </c>
      <c r="AT163" s="57">
        <v>0</v>
      </c>
      <c r="AU163" s="57">
        <v>0</v>
      </c>
      <c r="AV163" s="57">
        <v>0</v>
      </c>
      <c r="AW163" s="57">
        <v>0</v>
      </c>
      <c r="AX163" s="57"/>
      <c r="AY163" s="57">
        <v>0</v>
      </c>
    </row>
    <row r="164" spans="1:51" x14ac:dyDescent="0.2">
      <c r="A164" s="54">
        <v>3043</v>
      </c>
      <c r="B164" s="54">
        <v>2020</v>
      </c>
      <c r="C164" s="91" t="s">
        <v>81</v>
      </c>
      <c r="D164" s="54" t="s">
        <v>505</v>
      </c>
      <c r="E164" s="54" t="s">
        <v>77</v>
      </c>
      <c r="F164" s="54" t="str">
        <f>_xlfn.CONCAT(Table13[[#This Row],[Geographic Scope]],": ",Table13[[#This Row],[Sub-Type/Focus]])</f>
        <v>Regional: General</v>
      </c>
      <c r="G164" s="54" t="str">
        <f>_xlfn.CONCAT(Table13[[#This Row],[Geographic Scope]],": ",Table13[[#This Row],[Sub-Type/Focus]],": ",Table13[[#This Row],[Content Type]])</f>
        <v>Regional: General: Investigative</v>
      </c>
      <c r="H164" s="54" t="str">
        <f>_xlfn.CONCAT(Table13[[#This Row],[Geographic Scope]],": ",Table13[[#This Row],[Content Type]])</f>
        <v>Regional: Investigative</v>
      </c>
      <c r="I164" s="55">
        <f>Table13[[#This Row],[Total Contributed Income]]+Table13[[#This Row],[Total Earned Income]]</f>
        <v>0</v>
      </c>
      <c r="J164" s="55">
        <f>Table13[[#This Row],[Cont. Income - Foundation]]+Table13[[#This Row],[Cont. Income - Membership]]+Table13[[#This Row],[Cont. Income - Small Donors]]+Table13[[#This Row],[Cont. Income - Med. Donors]]+Table13[[#This Row],[Cont. Income - Major Donors]]+Table13[[#This Row],[Cont. Income - Other]]</f>
        <v>0</v>
      </c>
      <c r="K164" s="55">
        <f>Table13[[#This Row],[Earned Income - Advertising]]+Table13[[#This Row],[Earned Income - Sponsorships/Underwriting]]+Table13[[#This Row],[Earned Income - Events]]+Table13[[#This Row],[Earned Income - Subscriptions]]+Table13[[#This Row],[Earned Income - Syndication]]+Table13[[#This Row],[Earned Income - Other]]</f>
        <v>0</v>
      </c>
      <c r="L164" s="56"/>
      <c r="M164" s="56"/>
      <c r="N164" s="71">
        <f>SUM(Table13[[#This Row],[Cont. Income - Small Donors]:[Cont. Income - Major Donors]])</f>
        <v>0</v>
      </c>
      <c r="O164" s="56"/>
      <c r="P164" s="56"/>
      <c r="Q164" s="56"/>
      <c r="R164" s="56"/>
      <c r="T164" s="56"/>
      <c r="U164" s="56"/>
      <c r="V164" s="56"/>
      <c r="W164" s="56"/>
      <c r="X164" s="56"/>
      <c r="Y164" s="56"/>
      <c r="AA164" s="55">
        <f>Table13[[#This Row],[Expenses - Editorial]]+Table13[[#This Row],[Expenses - Revenue Generation]]+Table13[[#This Row],[Expenses - Tech]]+Table13[[#This Row],[Expenses - Admin]]</f>
        <v>0</v>
      </c>
      <c r="AB164" s="57"/>
      <c r="AC164" s="71">
        <f>SUM(Table13[[#This Row],[Expenses - Revenue Generation]:[Expenses - Admin]])</f>
        <v>0</v>
      </c>
      <c r="AD164" s="57"/>
      <c r="AE164" s="57"/>
      <c r="AF164" s="57"/>
      <c r="AG164" s="59">
        <f>Table13[[#This Row],[Total FTE - Editorial]]+Table13[[#This Row],[Total FTE - Non-Editorial]]</f>
        <v>0.5</v>
      </c>
      <c r="AH164" s="59">
        <f>Table13[[#This Row],[FTE Salaried - Editorial]]+Table13[[#This Row],[FTE Contractors - Editorial]]</f>
        <v>0.5</v>
      </c>
      <c r="AI164" s="57">
        <v>0</v>
      </c>
      <c r="AJ164" s="57">
        <v>0.5</v>
      </c>
      <c r="AK164" s="60">
        <f>Table13[[#This Row],[FTE Salaried - Non-Editorial]]+Table13[[#This Row],[FTE Contractors - Non-Editorial]]</f>
        <v>0</v>
      </c>
      <c r="AL164" s="57">
        <v>0</v>
      </c>
      <c r="AM164" s="57">
        <v>0</v>
      </c>
      <c r="AN164" s="54" t="s">
        <v>351</v>
      </c>
      <c r="AQ164" s="57">
        <v>25000</v>
      </c>
      <c r="AR164" s="57">
        <v>300</v>
      </c>
      <c r="AS164" s="57">
        <v>0</v>
      </c>
      <c r="AT164" s="57">
        <v>0</v>
      </c>
      <c r="AU164" s="57">
        <v>0</v>
      </c>
      <c r="AV164" s="57">
        <v>0</v>
      </c>
      <c r="AW164" s="57">
        <v>0</v>
      </c>
      <c r="AX164" s="57"/>
      <c r="AY164" s="57">
        <v>0</v>
      </c>
    </row>
    <row r="165" spans="1:51" x14ac:dyDescent="0.2">
      <c r="A165" s="54">
        <v>385</v>
      </c>
      <c r="B165" s="54">
        <v>2017</v>
      </c>
      <c r="C165" s="91" t="s">
        <v>81</v>
      </c>
      <c r="D165" s="54" t="s">
        <v>505</v>
      </c>
      <c r="E165" s="54" t="s">
        <v>78</v>
      </c>
      <c r="F165" s="54" t="str">
        <f>_xlfn.CONCAT(Table13[[#This Row],[Geographic Scope]],": ",Table13[[#This Row],[Sub-Type/Focus]])</f>
        <v>Regional: Multiple Related Topics</v>
      </c>
      <c r="G165" s="54" t="str">
        <f>_xlfn.CONCAT(Table13[[#This Row],[Geographic Scope]],": ",Table13[[#This Row],[Sub-Type/Focus]],": ",Table13[[#This Row],[Content Type]])</f>
        <v>Regional: Multiple Related Topics: Investigative</v>
      </c>
      <c r="H165" s="54" t="str">
        <f>_xlfn.CONCAT(Table13[[#This Row],[Geographic Scope]],": ",Table13[[#This Row],[Content Type]])</f>
        <v>Regional: Investigative</v>
      </c>
      <c r="I165" s="55">
        <f>Table13[[#This Row],[Total Contributed Income]]+Table13[[#This Row],[Total Earned Income]]</f>
        <v>200000</v>
      </c>
      <c r="J165" s="55">
        <f>Table13[[#This Row],[Cont. Income - Foundation]]+Table13[[#This Row],[Cont. Income - Membership]]+Table13[[#This Row],[Cont. Income - Small Donors]]+Table13[[#This Row],[Cont. Income - Med. Donors]]+Table13[[#This Row],[Cont. Income - Major Donors]]+Table13[[#This Row],[Cont. Income - Other]]</f>
        <v>200000</v>
      </c>
      <c r="K165" s="55">
        <f>Table13[[#This Row],[Earned Income - Advertising]]+Table13[[#This Row],[Earned Income - Sponsorships/Underwriting]]+Table13[[#This Row],[Earned Income - Events]]+Table13[[#This Row],[Earned Income - Subscriptions]]+Table13[[#This Row],[Earned Income - Syndication]]+Table13[[#This Row],[Earned Income - Other]]</f>
        <v>0</v>
      </c>
      <c r="L165" s="56">
        <v>200000</v>
      </c>
      <c r="M165" s="56">
        <v>0</v>
      </c>
      <c r="N165" s="71">
        <f>SUM(Table13[[#This Row],[Cont. Income - Small Donors]:[Cont. Income - Major Donors]])</f>
        <v>0</v>
      </c>
      <c r="O165" s="56">
        <v>0</v>
      </c>
      <c r="P165" s="56">
        <v>0</v>
      </c>
      <c r="Q165" s="56">
        <v>0</v>
      </c>
      <c r="R165" s="56">
        <v>0</v>
      </c>
      <c r="T165" s="56">
        <v>0</v>
      </c>
      <c r="U165" s="56">
        <v>0</v>
      </c>
      <c r="V165" s="56">
        <v>0</v>
      </c>
      <c r="W165" s="56">
        <v>0</v>
      </c>
      <c r="X165" s="56">
        <v>0</v>
      </c>
      <c r="Y165" s="56">
        <v>0</v>
      </c>
      <c r="AA165" s="55">
        <f>Table13[[#This Row],[Expenses - Editorial]]+Table13[[#This Row],[Expenses - Revenue Generation]]+Table13[[#This Row],[Expenses - Tech]]+Table13[[#This Row],[Expenses - Admin]]</f>
        <v>0</v>
      </c>
      <c r="AB165" s="56">
        <v>0</v>
      </c>
      <c r="AC165" s="71">
        <f>SUM(Table13[[#This Row],[Expenses - Revenue Generation]:[Expenses - Admin]])</f>
        <v>0</v>
      </c>
      <c r="AD165" s="56">
        <v>0</v>
      </c>
      <c r="AE165" s="56">
        <v>0</v>
      </c>
      <c r="AF165" s="56">
        <v>0</v>
      </c>
      <c r="AG165" s="59">
        <f>Table13[[#This Row],[Total FTE - Editorial]]+Table13[[#This Row],[Total FTE - Non-Editorial]]</f>
        <v>1</v>
      </c>
      <c r="AH165" s="59">
        <f>Table13[[#This Row],[FTE Salaried - Editorial]]+Table13[[#This Row],[FTE Contractors - Editorial]]</f>
        <v>1</v>
      </c>
      <c r="AI165" s="57">
        <v>1</v>
      </c>
      <c r="AJ165" s="57">
        <v>0</v>
      </c>
      <c r="AK165" s="60">
        <f>Table13[[#This Row],[FTE Salaried - Non-Editorial]]+Table13[[#This Row],[FTE Contractors - Non-Editorial]]</f>
        <v>0</v>
      </c>
      <c r="AL165" s="57">
        <v>0</v>
      </c>
      <c r="AM165" s="57">
        <v>0</v>
      </c>
      <c r="AN165" s="54" t="s">
        <v>351</v>
      </c>
      <c r="AO165" s="54" t="s">
        <v>359</v>
      </c>
      <c r="AQ165" s="57">
        <v>0</v>
      </c>
      <c r="AR165" s="57">
        <v>0</v>
      </c>
      <c r="AS165" s="57">
        <v>0</v>
      </c>
      <c r="AT165" s="57">
        <v>0</v>
      </c>
      <c r="AU165" s="57">
        <v>0</v>
      </c>
      <c r="AV165" s="57">
        <v>0</v>
      </c>
      <c r="AW165" s="57">
        <v>0</v>
      </c>
      <c r="AX165" s="57"/>
      <c r="AY165" s="57">
        <v>0</v>
      </c>
    </row>
    <row r="166" spans="1:51" x14ac:dyDescent="0.2">
      <c r="A166" s="54">
        <v>391</v>
      </c>
      <c r="B166" s="54">
        <v>2009</v>
      </c>
      <c r="C166" s="91" t="s">
        <v>81</v>
      </c>
      <c r="D166" s="54" t="s">
        <v>505</v>
      </c>
      <c r="E166" s="54" t="s">
        <v>78</v>
      </c>
      <c r="F166" s="54" t="str">
        <f>_xlfn.CONCAT(Table13[[#This Row],[Geographic Scope]],": ",Table13[[#This Row],[Sub-Type/Focus]])</f>
        <v>Regional: Multiple Related Topics</v>
      </c>
      <c r="G166" s="54" t="str">
        <f>_xlfn.CONCAT(Table13[[#This Row],[Geographic Scope]],": ",Table13[[#This Row],[Sub-Type/Focus]],": ",Table13[[#This Row],[Content Type]])</f>
        <v>Regional: Multiple Related Topics: Investigative</v>
      </c>
      <c r="H166" s="54" t="str">
        <f>_xlfn.CONCAT(Table13[[#This Row],[Geographic Scope]],": ",Table13[[#This Row],[Content Type]])</f>
        <v>Regional: Investigative</v>
      </c>
      <c r="I166" s="55">
        <f>Table13[[#This Row],[Total Contributed Income]]+Table13[[#This Row],[Total Earned Income]]</f>
        <v>359239.78</v>
      </c>
      <c r="J166" s="55">
        <f>Table13[[#This Row],[Cont. Income - Foundation]]+Table13[[#This Row],[Cont. Income - Membership]]+Table13[[#This Row],[Cont. Income - Small Donors]]+Table13[[#This Row],[Cont. Income - Med. Donors]]+Table13[[#This Row],[Cont. Income - Major Donors]]+Table13[[#This Row],[Cont. Income - Other]]</f>
        <v>354239.78</v>
      </c>
      <c r="K166" s="55">
        <f>Table13[[#This Row],[Earned Income - Advertising]]+Table13[[#This Row],[Earned Income - Sponsorships/Underwriting]]+Table13[[#This Row],[Earned Income - Events]]+Table13[[#This Row],[Earned Income - Subscriptions]]+Table13[[#This Row],[Earned Income - Syndication]]+Table13[[#This Row],[Earned Income - Other]]</f>
        <v>5000</v>
      </c>
      <c r="L166" s="56">
        <v>169979</v>
      </c>
      <c r="M166" s="56">
        <v>0</v>
      </c>
      <c r="N166" s="71">
        <f>SUM(Table13[[#This Row],[Cont. Income - Small Donors]:[Cont. Income - Major Donors]])</f>
        <v>184260.78</v>
      </c>
      <c r="O166" s="56">
        <v>24692.6</v>
      </c>
      <c r="P166" s="56">
        <v>14378.18</v>
      </c>
      <c r="Q166" s="56">
        <v>145190</v>
      </c>
      <c r="R166" s="56">
        <v>0</v>
      </c>
      <c r="T166" s="56">
        <v>0</v>
      </c>
      <c r="U166" s="56">
        <v>0</v>
      </c>
      <c r="V166" s="56">
        <v>0</v>
      </c>
      <c r="W166" s="56">
        <v>0</v>
      </c>
      <c r="X166" s="56">
        <v>5000</v>
      </c>
      <c r="Y166" s="56">
        <v>0</v>
      </c>
      <c r="AA166" s="55">
        <f>Table13[[#This Row],[Expenses - Editorial]]+Table13[[#This Row],[Expenses - Revenue Generation]]+Table13[[#This Row],[Expenses - Tech]]+Table13[[#This Row],[Expenses - Admin]]</f>
        <v>355000</v>
      </c>
      <c r="AB166" s="56">
        <v>187000</v>
      </c>
      <c r="AC166" s="71">
        <f>SUM(Table13[[#This Row],[Expenses - Revenue Generation]:[Expenses - Admin]])</f>
        <v>168000</v>
      </c>
      <c r="AD166" s="56">
        <v>47000</v>
      </c>
      <c r="AE166" s="56">
        <v>6000</v>
      </c>
      <c r="AF166" s="56">
        <v>115000</v>
      </c>
      <c r="AG166" s="59">
        <f>Table13[[#This Row],[Total FTE - Editorial]]+Table13[[#This Row],[Total FTE - Non-Editorial]]</f>
        <v>4.5</v>
      </c>
      <c r="AH166" s="59">
        <f>Table13[[#This Row],[FTE Salaried - Editorial]]+Table13[[#This Row],[FTE Contractors - Editorial]]</f>
        <v>1.5</v>
      </c>
      <c r="AI166" s="57">
        <v>1</v>
      </c>
      <c r="AJ166" s="57">
        <v>0.5</v>
      </c>
      <c r="AK166" s="60">
        <f>Table13[[#This Row],[FTE Salaried - Non-Editorial]]+Table13[[#This Row],[FTE Contractors - Non-Editorial]]</f>
        <v>3</v>
      </c>
      <c r="AL166" s="57">
        <v>2</v>
      </c>
      <c r="AM166" s="57">
        <v>1</v>
      </c>
      <c r="AN166" s="54" t="s">
        <v>351</v>
      </c>
      <c r="AO166" s="54" t="s">
        <v>366</v>
      </c>
      <c r="AP166" s="54" t="s">
        <v>531</v>
      </c>
      <c r="AQ166" s="57">
        <v>7988</v>
      </c>
      <c r="AR166" s="57">
        <v>1868</v>
      </c>
      <c r="AS166" s="57">
        <v>0</v>
      </c>
      <c r="AT166" s="57">
        <v>0</v>
      </c>
      <c r="AU166" s="57">
        <v>0</v>
      </c>
      <c r="AV166" s="57">
        <v>0</v>
      </c>
      <c r="AW166" s="57">
        <v>0</v>
      </c>
      <c r="AX166" s="57"/>
      <c r="AY166" s="57">
        <v>0</v>
      </c>
    </row>
    <row r="167" spans="1:51" x14ac:dyDescent="0.2">
      <c r="A167" s="54">
        <v>454</v>
      </c>
      <c r="B167" s="54">
        <v>2014</v>
      </c>
      <c r="C167" s="91" t="s">
        <v>81</v>
      </c>
      <c r="D167" s="54" t="s">
        <v>505</v>
      </c>
      <c r="E167" s="54" t="s">
        <v>78</v>
      </c>
      <c r="F167" s="54" t="str">
        <f>_xlfn.CONCAT(Table13[[#This Row],[Geographic Scope]],": ",Table13[[#This Row],[Sub-Type/Focus]])</f>
        <v>Regional: Multiple Related Topics</v>
      </c>
      <c r="G167" s="54" t="str">
        <f>_xlfn.CONCAT(Table13[[#This Row],[Geographic Scope]],": ",Table13[[#This Row],[Sub-Type/Focus]],": ",Table13[[#This Row],[Content Type]])</f>
        <v>Regional: Multiple Related Topics: Investigative</v>
      </c>
      <c r="H167" s="54" t="str">
        <f>_xlfn.CONCAT(Table13[[#This Row],[Geographic Scope]],": ",Table13[[#This Row],[Content Type]])</f>
        <v>Regional: Investigative</v>
      </c>
      <c r="I167" s="55">
        <f>Table13[[#This Row],[Total Contributed Income]]+Table13[[#This Row],[Total Earned Income]]</f>
        <v>353722</v>
      </c>
      <c r="J167" s="55">
        <f>Table13[[#This Row],[Cont. Income - Foundation]]+Table13[[#This Row],[Cont. Income - Membership]]+Table13[[#This Row],[Cont. Income - Small Donors]]+Table13[[#This Row],[Cont. Income - Med. Donors]]+Table13[[#This Row],[Cont. Income - Major Donors]]+Table13[[#This Row],[Cont. Income - Other]]</f>
        <v>353722</v>
      </c>
      <c r="K167" s="55">
        <f>Table13[[#This Row],[Earned Income - Advertising]]+Table13[[#This Row],[Earned Income - Sponsorships/Underwriting]]+Table13[[#This Row],[Earned Income - Events]]+Table13[[#This Row],[Earned Income - Subscriptions]]+Table13[[#This Row],[Earned Income - Syndication]]+Table13[[#This Row],[Earned Income - Other]]</f>
        <v>0</v>
      </c>
      <c r="L167" s="56">
        <v>231200</v>
      </c>
      <c r="M167" s="56">
        <v>29460</v>
      </c>
      <c r="N167" s="71">
        <f>SUM(Table13[[#This Row],[Cont. Income - Small Donors]:[Cont. Income - Major Donors]])</f>
        <v>93062</v>
      </c>
      <c r="O167" s="56">
        <v>30062</v>
      </c>
      <c r="P167" s="56">
        <v>1000</v>
      </c>
      <c r="Q167" s="56">
        <v>62000</v>
      </c>
      <c r="R167" s="56">
        <v>0</v>
      </c>
      <c r="T167" s="56">
        <v>0</v>
      </c>
      <c r="U167" s="56">
        <v>0</v>
      </c>
      <c r="V167" s="56">
        <v>0</v>
      </c>
      <c r="W167" s="56">
        <v>0</v>
      </c>
      <c r="X167" s="56">
        <v>0</v>
      </c>
      <c r="Y167" s="56">
        <v>0</v>
      </c>
      <c r="AA167" s="55">
        <f>Table13[[#This Row],[Expenses - Editorial]]+Table13[[#This Row],[Expenses - Revenue Generation]]+Table13[[#This Row],[Expenses - Tech]]+Table13[[#This Row],[Expenses - Admin]]</f>
        <v>346701</v>
      </c>
      <c r="AB167" s="56">
        <v>216271</v>
      </c>
      <c r="AC167" s="71">
        <f>SUM(Table13[[#This Row],[Expenses - Revenue Generation]:[Expenses - Admin]])</f>
        <v>130430</v>
      </c>
      <c r="AD167" s="56">
        <v>20000</v>
      </c>
      <c r="AE167" s="56">
        <v>20805</v>
      </c>
      <c r="AF167" s="56">
        <v>89625</v>
      </c>
      <c r="AG167" s="59">
        <f>Table13[[#This Row],[Total FTE - Editorial]]+Table13[[#This Row],[Total FTE - Non-Editorial]]</f>
        <v>3.75</v>
      </c>
      <c r="AH167" s="59">
        <f>Table13[[#This Row],[FTE Salaried - Editorial]]+Table13[[#This Row],[FTE Contractors - Editorial]]</f>
        <v>3</v>
      </c>
      <c r="AI167" s="57">
        <v>1</v>
      </c>
      <c r="AJ167" s="57">
        <v>2</v>
      </c>
      <c r="AK167" s="60">
        <f>Table13[[#This Row],[FTE Salaried - Non-Editorial]]+Table13[[#This Row],[FTE Contractors - Non-Editorial]]</f>
        <v>0.75</v>
      </c>
      <c r="AL167" s="57">
        <v>0.5</v>
      </c>
      <c r="AM167" s="57">
        <v>0.25</v>
      </c>
      <c r="AN167" s="54" t="s">
        <v>351</v>
      </c>
      <c r="AO167" s="54" t="s">
        <v>356</v>
      </c>
      <c r="AP167" s="54" t="s">
        <v>532</v>
      </c>
      <c r="AQ167" s="57">
        <v>40784</v>
      </c>
      <c r="AR167" s="57">
        <v>14594</v>
      </c>
      <c r="AS167" s="57">
        <v>0</v>
      </c>
      <c r="AT167" s="57">
        <v>0</v>
      </c>
      <c r="AU167" s="57">
        <v>0</v>
      </c>
      <c r="AV167" s="57">
        <v>0</v>
      </c>
      <c r="AW167" s="57">
        <v>0</v>
      </c>
      <c r="AX167" s="57"/>
      <c r="AY167" s="57">
        <v>0</v>
      </c>
    </row>
    <row r="168" spans="1:51" x14ac:dyDescent="0.2">
      <c r="A168" s="54">
        <v>462</v>
      </c>
      <c r="B168" s="54">
        <v>2018</v>
      </c>
      <c r="C168" s="91" t="s">
        <v>81</v>
      </c>
      <c r="D168" s="54" t="s">
        <v>505</v>
      </c>
      <c r="E168" s="54" t="s">
        <v>78</v>
      </c>
      <c r="F168" s="54" t="str">
        <f>_xlfn.CONCAT(Table13[[#This Row],[Geographic Scope]],": ",Table13[[#This Row],[Sub-Type/Focus]])</f>
        <v>Regional: Multiple Related Topics</v>
      </c>
      <c r="G168" s="54" t="str">
        <f>_xlfn.CONCAT(Table13[[#This Row],[Geographic Scope]],": ",Table13[[#This Row],[Sub-Type/Focus]],": ",Table13[[#This Row],[Content Type]])</f>
        <v>Regional: Multiple Related Topics: Investigative</v>
      </c>
      <c r="H168" s="54" t="str">
        <f>_xlfn.CONCAT(Table13[[#This Row],[Geographic Scope]],": ",Table13[[#This Row],[Content Type]])</f>
        <v>Regional: Investigative</v>
      </c>
      <c r="I168" s="55">
        <f>Table13[[#This Row],[Total Contributed Income]]+Table13[[#This Row],[Total Earned Income]]</f>
        <v>94431</v>
      </c>
      <c r="J168" s="55">
        <f>Table13[[#This Row],[Cont. Income - Foundation]]+Table13[[#This Row],[Cont. Income - Membership]]+Table13[[#This Row],[Cont. Income - Small Donors]]+Table13[[#This Row],[Cont. Income - Med. Donors]]+Table13[[#This Row],[Cont. Income - Major Donors]]+Table13[[#This Row],[Cont. Income - Other]]</f>
        <v>94431</v>
      </c>
      <c r="K168" s="55">
        <f>Table13[[#This Row],[Earned Income - Advertising]]+Table13[[#This Row],[Earned Income - Sponsorships/Underwriting]]+Table13[[#This Row],[Earned Income - Events]]+Table13[[#This Row],[Earned Income - Subscriptions]]+Table13[[#This Row],[Earned Income - Syndication]]+Table13[[#This Row],[Earned Income - Other]]</f>
        <v>0</v>
      </c>
      <c r="L168" s="56">
        <v>48000</v>
      </c>
      <c r="M168" s="56">
        <v>24167</v>
      </c>
      <c r="N168" s="71">
        <f>SUM(Table13[[#This Row],[Cont. Income - Small Donors]:[Cont. Income - Major Donors]])</f>
        <v>22264</v>
      </c>
      <c r="O168" s="56">
        <v>4514</v>
      </c>
      <c r="P168" s="56">
        <v>12750</v>
      </c>
      <c r="Q168" s="56">
        <v>5000</v>
      </c>
      <c r="R168" s="56">
        <v>0</v>
      </c>
      <c r="T168" s="56">
        <v>0</v>
      </c>
      <c r="U168" s="56">
        <v>0</v>
      </c>
      <c r="V168" s="56">
        <v>0</v>
      </c>
      <c r="W168" s="56">
        <v>0</v>
      </c>
      <c r="X168" s="56">
        <v>0</v>
      </c>
      <c r="Y168" s="56">
        <v>0</v>
      </c>
      <c r="AA168" s="55">
        <f>Table13[[#This Row],[Expenses - Editorial]]+Table13[[#This Row],[Expenses - Revenue Generation]]+Table13[[#This Row],[Expenses - Tech]]+Table13[[#This Row],[Expenses - Admin]]</f>
        <v>70090</v>
      </c>
      <c r="AB168" s="56">
        <v>60000</v>
      </c>
      <c r="AC168" s="71">
        <f>SUM(Table13[[#This Row],[Expenses - Revenue Generation]:[Expenses - Admin]])</f>
        <v>10090</v>
      </c>
      <c r="AD168" s="56">
        <v>1000</v>
      </c>
      <c r="AE168" s="56">
        <v>2000</v>
      </c>
      <c r="AF168" s="56">
        <v>7090</v>
      </c>
      <c r="AG168" s="59">
        <f>Table13[[#This Row],[Total FTE - Editorial]]+Table13[[#This Row],[Total FTE - Non-Editorial]]</f>
        <v>1</v>
      </c>
      <c r="AH168" s="59">
        <f>Table13[[#This Row],[FTE Salaried - Editorial]]+Table13[[#This Row],[FTE Contractors - Editorial]]</f>
        <v>1</v>
      </c>
      <c r="AI168" s="57">
        <v>0</v>
      </c>
      <c r="AJ168" s="57">
        <v>1</v>
      </c>
      <c r="AK168" s="60">
        <f>Table13[[#This Row],[FTE Salaried - Non-Editorial]]+Table13[[#This Row],[FTE Contractors - Non-Editorial]]</f>
        <v>0</v>
      </c>
      <c r="AL168" s="57">
        <v>0</v>
      </c>
      <c r="AM168" s="57">
        <v>0</v>
      </c>
      <c r="AN168" s="54" t="s">
        <v>352</v>
      </c>
      <c r="AO168" s="54" t="s">
        <v>533</v>
      </c>
      <c r="AQ168" s="57">
        <v>20000</v>
      </c>
      <c r="AR168" s="57">
        <v>7750</v>
      </c>
      <c r="AS168" s="57">
        <v>0</v>
      </c>
      <c r="AT168" s="57">
        <v>0</v>
      </c>
      <c r="AU168" s="57">
        <v>0</v>
      </c>
      <c r="AV168" s="57">
        <v>0</v>
      </c>
      <c r="AW168" s="57">
        <v>0</v>
      </c>
      <c r="AX168" s="57"/>
      <c r="AY168" s="57">
        <v>0</v>
      </c>
    </row>
    <row r="169" spans="1:51" x14ac:dyDescent="0.2">
      <c r="A169" s="54">
        <v>2937</v>
      </c>
      <c r="B169" s="54">
        <v>2020</v>
      </c>
      <c r="C169" s="91" t="s">
        <v>81</v>
      </c>
      <c r="D169" s="54" t="s">
        <v>505</v>
      </c>
      <c r="E169" s="54" t="s">
        <v>78</v>
      </c>
      <c r="F169" s="54" t="str">
        <f>_xlfn.CONCAT(Table13[[#This Row],[Geographic Scope]],": ",Table13[[#This Row],[Sub-Type/Focus]])</f>
        <v>Regional: Multiple Related Topics</v>
      </c>
      <c r="G169" s="54" t="str">
        <f>_xlfn.CONCAT(Table13[[#This Row],[Geographic Scope]],": ",Table13[[#This Row],[Sub-Type/Focus]],": ",Table13[[#This Row],[Content Type]])</f>
        <v>Regional: Multiple Related Topics: Investigative</v>
      </c>
      <c r="H169" s="54" t="str">
        <f>_xlfn.CONCAT(Table13[[#This Row],[Geographic Scope]],": ",Table13[[#This Row],[Content Type]])</f>
        <v>Regional: Investigative</v>
      </c>
      <c r="I169" s="55">
        <f>Table13[[#This Row],[Total Contributed Income]]+Table13[[#This Row],[Total Earned Income]]</f>
        <v>0</v>
      </c>
      <c r="J169" s="55">
        <f>Table13[[#This Row],[Cont. Income - Foundation]]+Table13[[#This Row],[Cont. Income - Membership]]+Table13[[#This Row],[Cont. Income - Small Donors]]+Table13[[#This Row],[Cont. Income - Med. Donors]]+Table13[[#This Row],[Cont. Income - Major Donors]]+Table13[[#This Row],[Cont. Income - Other]]</f>
        <v>0</v>
      </c>
      <c r="K169" s="55">
        <f>Table13[[#This Row],[Earned Income - Advertising]]+Table13[[#This Row],[Earned Income - Sponsorships/Underwriting]]+Table13[[#This Row],[Earned Income - Events]]+Table13[[#This Row],[Earned Income - Subscriptions]]+Table13[[#This Row],[Earned Income - Syndication]]+Table13[[#This Row],[Earned Income - Other]]</f>
        <v>0</v>
      </c>
      <c r="L169" s="56"/>
      <c r="M169" s="56"/>
      <c r="N169" s="71">
        <f>SUM(Table13[[#This Row],[Cont. Income - Small Donors]:[Cont. Income - Major Donors]])</f>
        <v>0</v>
      </c>
      <c r="O169" s="56"/>
      <c r="P169" s="56"/>
      <c r="Q169" s="56"/>
      <c r="R169" s="56"/>
      <c r="T169" s="56"/>
      <c r="U169" s="56"/>
      <c r="V169" s="56"/>
      <c r="W169" s="56"/>
      <c r="X169" s="56"/>
      <c r="Y169" s="56"/>
      <c r="AA169" s="55">
        <f>Table13[[#This Row],[Expenses - Editorial]]+Table13[[#This Row],[Expenses - Revenue Generation]]+Table13[[#This Row],[Expenses - Tech]]+Table13[[#This Row],[Expenses - Admin]]</f>
        <v>0</v>
      </c>
      <c r="AB169" s="57"/>
      <c r="AC169" s="71">
        <f>SUM(Table13[[#This Row],[Expenses - Revenue Generation]:[Expenses - Admin]])</f>
        <v>0</v>
      </c>
      <c r="AD169" s="57"/>
      <c r="AE169" s="57"/>
      <c r="AF169" s="57"/>
      <c r="AG169" s="59">
        <f>Table13[[#This Row],[Total FTE - Editorial]]+Table13[[#This Row],[Total FTE - Non-Editorial]]</f>
        <v>5.5</v>
      </c>
      <c r="AH169" s="59">
        <f>Table13[[#This Row],[FTE Salaried - Editorial]]+Table13[[#This Row],[FTE Contractors - Editorial]]</f>
        <v>3.5</v>
      </c>
      <c r="AI169" s="57">
        <v>2.5</v>
      </c>
      <c r="AJ169" s="57">
        <v>1</v>
      </c>
      <c r="AK169" s="60">
        <f>Table13[[#This Row],[FTE Salaried - Non-Editorial]]+Table13[[#This Row],[FTE Contractors - Non-Editorial]]</f>
        <v>2</v>
      </c>
      <c r="AL169" s="57">
        <v>1.5</v>
      </c>
      <c r="AM169" s="57">
        <v>0.5</v>
      </c>
      <c r="AN169" s="54" t="s">
        <v>347</v>
      </c>
      <c r="AO169" s="54" t="s">
        <v>356</v>
      </c>
      <c r="AP169" s="54" t="s">
        <v>534</v>
      </c>
      <c r="AQ169" s="57">
        <v>6000</v>
      </c>
      <c r="AR169" s="57">
        <v>1829</v>
      </c>
      <c r="AS169" s="57">
        <v>500</v>
      </c>
      <c r="AT169" s="57">
        <v>2</v>
      </c>
      <c r="AU169" s="57">
        <v>0</v>
      </c>
      <c r="AV169" s="57">
        <v>0</v>
      </c>
      <c r="AW169" s="57">
        <v>0</v>
      </c>
      <c r="AX169" s="57"/>
      <c r="AY169" s="57">
        <v>0</v>
      </c>
    </row>
    <row r="170" spans="1:51" x14ac:dyDescent="0.2">
      <c r="A170" s="54">
        <v>6829</v>
      </c>
      <c r="B170" s="54">
        <v>2017</v>
      </c>
      <c r="C170" s="91" t="s">
        <v>81</v>
      </c>
      <c r="D170" s="54" t="s">
        <v>505</v>
      </c>
      <c r="E170" s="54" t="s">
        <v>78</v>
      </c>
      <c r="F170" s="54" t="str">
        <f>_xlfn.CONCAT(Table13[[#This Row],[Geographic Scope]],": ",Table13[[#This Row],[Sub-Type/Focus]])</f>
        <v>Regional: Multiple Related Topics</v>
      </c>
      <c r="G170" s="54" t="str">
        <f>_xlfn.CONCAT(Table13[[#This Row],[Geographic Scope]],": ",Table13[[#This Row],[Sub-Type/Focus]],": ",Table13[[#This Row],[Content Type]])</f>
        <v>Regional: Multiple Related Topics: Investigative</v>
      </c>
      <c r="H170" s="54" t="str">
        <f>_xlfn.CONCAT(Table13[[#This Row],[Geographic Scope]],": ",Table13[[#This Row],[Content Type]])</f>
        <v>Regional: Investigative</v>
      </c>
      <c r="I170" s="55">
        <f>Table13[[#This Row],[Total Contributed Income]]+Table13[[#This Row],[Total Earned Income]]</f>
        <v>202072.48</v>
      </c>
      <c r="J170" s="55">
        <f>Table13[[#This Row],[Cont. Income - Foundation]]+Table13[[#This Row],[Cont. Income - Membership]]+Table13[[#This Row],[Cont. Income - Small Donors]]+Table13[[#This Row],[Cont. Income - Med. Donors]]+Table13[[#This Row],[Cont. Income - Major Donors]]+Table13[[#This Row],[Cont. Income - Other]]</f>
        <v>200572.48</v>
      </c>
      <c r="K170" s="55">
        <f>Table13[[#This Row],[Earned Income - Advertising]]+Table13[[#This Row],[Earned Income - Sponsorships/Underwriting]]+Table13[[#This Row],[Earned Income - Events]]+Table13[[#This Row],[Earned Income - Subscriptions]]+Table13[[#This Row],[Earned Income - Syndication]]+Table13[[#This Row],[Earned Income - Other]]</f>
        <v>1500</v>
      </c>
      <c r="L170" s="56">
        <v>153400</v>
      </c>
      <c r="M170" s="56">
        <v>0</v>
      </c>
      <c r="N170" s="71">
        <f>SUM(Table13[[#This Row],[Cont. Income - Small Donors]:[Cont. Income - Major Donors]])</f>
        <v>47172.479999999996</v>
      </c>
      <c r="O170" s="56">
        <v>7772.48</v>
      </c>
      <c r="P170" s="56">
        <v>6400</v>
      </c>
      <c r="Q170" s="56">
        <v>33000</v>
      </c>
      <c r="R170" s="56">
        <v>0</v>
      </c>
      <c r="T170" s="56">
        <v>0</v>
      </c>
      <c r="U170" s="56">
        <v>0</v>
      </c>
      <c r="V170" s="56">
        <v>1500</v>
      </c>
      <c r="W170" s="56">
        <v>0</v>
      </c>
      <c r="X170" s="56">
        <v>0</v>
      </c>
      <c r="Y170" s="56">
        <v>0</v>
      </c>
      <c r="AA170" s="55">
        <f>Table13[[#This Row],[Expenses - Editorial]]+Table13[[#This Row],[Expenses - Revenue Generation]]+Table13[[#This Row],[Expenses - Tech]]+Table13[[#This Row],[Expenses - Admin]]</f>
        <v>114500</v>
      </c>
      <c r="AB170" s="56">
        <v>104500</v>
      </c>
      <c r="AC170" s="71">
        <f>SUM(Table13[[#This Row],[Expenses - Revenue Generation]:[Expenses - Admin]])</f>
        <v>10000</v>
      </c>
      <c r="AD170" s="56">
        <v>0</v>
      </c>
      <c r="AE170" s="56">
        <v>5000</v>
      </c>
      <c r="AF170" s="56">
        <v>5000</v>
      </c>
      <c r="AG170" s="59">
        <f>Table13[[#This Row],[Total FTE - Editorial]]+Table13[[#This Row],[Total FTE - Non-Editorial]]</f>
        <v>7.5</v>
      </c>
      <c r="AH170" s="59">
        <f>Table13[[#This Row],[FTE Salaried - Editorial]]+Table13[[#This Row],[FTE Contractors - Editorial]]</f>
        <v>6.5</v>
      </c>
      <c r="AI170" s="57">
        <v>5</v>
      </c>
      <c r="AJ170" s="57">
        <v>1.5</v>
      </c>
      <c r="AK170" s="60">
        <f>Table13[[#This Row],[FTE Salaried - Non-Editorial]]+Table13[[#This Row],[FTE Contractors - Non-Editorial]]</f>
        <v>1</v>
      </c>
      <c r="AL170" s="57">
        <v>1</v>
      </c>
      <c r="AM170" s="57">
        <v>0</v>
      </c>
      <c r="AN170" s="54" t="s">
        <v>351</v>
      </c>
      <c r="AO170" s="54" t="s">
        <v>356</v>
      </c>
      <c r="AP170" s="54" t="s">
        <v>535</v>
      </c>
      <c r="AQ170" s="57">
        <v>21000</v>
      </c>
      <c r="AR170" s="57">
        <v>3200</v>
      </c>
      <c r="AS170" s="57">
        <v>0</v>
      </c>
      <c r="AT170" s="57">
        <v>0</v>
      </c>
      <c r="AU170" s="57">
        <v>100000</v>
      </c>
      <c r="AV170" s="57">
        <v>0</v>
      </c>
      <c r="AW170" s="57">
        <v>0</v>
      </c>
      <c r="AX170" s="57"/>
      <c r="AY170" s="57">
        <v>0</v>
      </c>
    </row>
    <row r="171" spans="1:51" x14ac:dyDescent="0.2">
      <c r="A171" s="54">
        <v>489</v>
      </c>
      <c r="B171" s="54">
        <v>2013</v>
      </c>
      <c r="C171" s="91" t="s">
        <v>81</v>
      </c>
      <c r="D171" s="54" t="s">
        <v>505</v>
      </c>
      <c r="E171" s="54" t="s">
        <v>79</v>
      </c>
      <c r="F171" s="54" t="str">
        <f>_xlfn.CONCAT(Table13[[#This Row],[Geographic Scope]],": ",Table13[[#This Row],[Sub-Type/Focus]])</f>
        <v>Regional: Single-Topic</v>
      </c>
      <c r="G171" s="54" t="str">
        <f>_xlfn.CONCAT(Table13[[#This Row],[Geographic Scope]],": ",Table13[[#This Row],[Sub-Type/Focus]],": ",Table13[[#This Row],[Content Type]])</f>
        <v>Regional: Single-Topic: Investigative</v>
      </c>
      <c r="H171" s="54" t="str">
        <f>_xlfn.CONCAT(Table13[[#This Row],[Geographic Scope]],": ",Table13[[#This Row],[Content Type]])</f>
        <v>Regional: Investigative</v>
      </c>
      <c r="I171" s="55">
        <f>Table13[[#This Row],[Total Contributed Income]]+Table13[[#This Row],[Total Earned Income]]</f>
        <v>838309</v>
      </c>
      <c r="J171" s="55">
        <f>Table13[[#This Row],[Cont. Income - Foundation]]+Table13[[#This Row],[Cont. Income - Membership]]+Table13[[#This Row],[Cont. Income - Small Donors]]+Table13[[#This Row],[Cont. Income - Med. Donors]]+Table13[[#This Row],[Cont. Income - Major Donors]]+Table13[[#This Row],[Cont. Income - Other]]</f>
        <v>773807</v>
      </c>
      <c r="K171" s="55">
        <f>Table13[[#This Row],[Earned Income - Advertising]]+Table13[[#This Row],[Earned Income - Sponsorships/Underwriting]]+Table13[[#This Row],[Earned Income - Events]]+Table13[[#This Row],[Earned Income - Subscriptions]]+Table13[[#This Row],[Earned Income - Syndication]]+Table13[[#This Row],[Earned Income - Other]]</f>
        <v>64502</v>
      </c>
      <c r="L171" s="56">
        <v>462895</v>
      </c>
      <c r="M171" s="56">
        <v>234050</v>
      </c>
      <c r="N171" s="71">
        <f>SUM(Table13[[#This Row],[Cont. Income - Small Donors]:[Cont. Income - Major Donors]])</f>
        <v>76862</v>
      </c>
      <c r="O171" s="56">
        <v>37110</v>
      </c>
      <c r="P171" s="56">
        <v>4259</v>
      </c>
      <c r="Q171" s="56">
        <v>35493</v>
      </c>
      <c r="R171" s="56">
        <v>0</v>
      </c>
      <c r="T171" s="56">
        <v>0</v>
      </c>
      <c r="U171" s="56">
        <v>0</v>
      </c>
      <c r="V171" s="56">
        <v>0</v>
      </c>
      <c r="W171" s="56">
        <v>0</v>
      </c>
      <c r="X171" s="56">
        <v>0</v>
      </c>
      <c r="Y171" s="56">
        <v>64502</v>
      </c>
      <c r="Z171" s="54" t="s">
        <v>536</v>
      </c>
      <c r="AA171" s="55">
        <f>Table13[[#This Row],[Expenses - Editorial]]+Table13[[#This Row],[Expenses - Revenue Generation]]+Table13[[#This Row],[Expenses - Tech]]+Table13[[#This Row],[Expenses - Admin]]</f>
        <v>705914</v>
      </c>
      <c r="AB171" s="56">
        <v>571830</v>
      </c>
      <c r="AC171" s="71">
        <f>SUM(Table13[[#This Row],[Expenses - Revenue Generation]:[Expenses - Admin]])</f>
        <v>134084</v>
      </c>
      <c r="AD171" s="56">
        <v>35493</v>
      </c>
      <c r="AE171" s="56">
        <v>39436</v>
      </c>
      <c r="AF171" s="56">
        <v>59155</v>
      </c>
      <c r="AG171" s="59">
        <f>Table13[[#This Row],[Total FTE - Editorial]]+Table13[[#This Row],[Total FTE - Non-Editorial]]</f>
        <v>11.5</v>
      </c>
      <c r="AH171" s="59">
        <f>Table13[[#This Row],[FTE Salaried - Editorial]]+Table13[[#This Row],[FTE Contractors - Editorial]]</f>
        <v>10</v>
      </c>
      <c r="AI171" s="57">
        <v>10</v>
      </c>
      <c r="AJ171" s="57">
        <v>0</v>
      </c>
      <c r="AK171" s="60">
        <f>Table13[[#This Row],[FTE Salaried - Non-Editorial]]+Table13[[#This Row],[FTE Contractors - Non-Editorial]]</f>
        <v>1.5</v>
      </c>
      <c r="AL171" s="57">
        <v>0</v>
      </c>
      <c r="AM171" s="57">
        <v>1.5</v>
      </c>
      <c r="AN171" s="54" t="s">
        <v>347</v>
      </c>
      <c r="AO171" s="54" t="s">
        <v>356</v>
      </c>
      <c r="AP171" s="54" t="s">
        <v>537</v>
      </c>
      <c r="AQ171" s="57">
        <v>200000</v>
      </c>
      <c r="AR171" s="57">
        <v>40000</v>
      </c>
      <c r="AS171" s="57">
        <v>800</v>
      </c>
      <c r="AT171" s="57">
        <v>1</v>
      </c>
      <c r="AU171" s="57">
        <v>0</v>
      </c>
      <c r="AV171" s="57">
        <v>0</v>
      </c>
      <c r="AW171" s="57">
        <v>0</v>
      </c>
      <c r="AX171" s="57"/>
      <c r="AY171" s="57">
        <v>0</v>
      </c>
    </row>
    <row r="172" spans="1:51" x14ac:dyDescent="0.2">
      <c r="A172" s="54">
        <v>2890</v>
      </c>
      <c r="B172" s="54">
        <v>2018</v>
      </c>
      <c r="C172" s="91" t="s">
        <v>81</v>
      </c>
      <c r="D172" s="54" t="s">
        <v>505</v>
      </c>
      <c r="E172" s="54" t="s">
        <v>79</v>
      </c>
      <c r="F172" s="54" t="str">
        <f>_xlfn.CONCAT(Table13[[#This Row],[Geographic Scope]],": ",Table13[[#This Row],[Sub-Type/Focus]])</f>
        <v>Regional: Single-Topic</v>
      </c>
      <c r="G172" s="54" t="str">
        <f>_xlfn.CONCAT(Table13[[#This Row],[Geographic Scope]],": ",Table13[[#This Row],[Sub-Type/Focus]],": ",Table13[[#This Row],[Content Type]])</f>
        <v>Regional: Single-Topic: Investigative</v>
      </c>
      <c r="H172" s="54" t="str">
        <f>_xlfn.CONCAT(Table13[[#This Row],[Geographic Scope]],": ",Table13[[#This Row],[Content Type]])</f>
        <v>Regional: Investigative</v>
      </c>
      <c r="I172" s="55">
        <f>Table13[[#This Row],[Total Contributed Income]]+Table13[[#This Row],[Total Earned Income]]</f>
        <v>68934.45</v>
      </c>
      <c r="J172" s="55">
        <f>Table13[[#This Row],[Cont. Income - Foundation]]+Table13[[#This Row],[Cont. Income - Membership]]+Table13[[#This Row],[Cont. Income - Small Donors]]+Table13[[#This Row],[Cont. Income - Med. Donors]]+Table13[[#This Row],[Cont. Income - Major Donors]]+Table13[[#This Row],[Cont. Income - Other]]</f>
        <v>68934.45</v>
      </c>
      <c r="K172" s="55">
        <f>Table13[[#This Row],[Earned Income - Advertising]]+Table13[[#This Row],[Earned Income - Sponsorships/Underwriting]]+Table13[[#This Row],[Earned Income - Events]]+Table13[[#This Row],[Earned Income - Subscriptions]]+Table13[[#This Row],[Earned Income - Syndication]]+Table13[[#This Row],[Earned Income - Other]]</f>
        <v>0</v>
      </c>
      <c r="L172" s="56">
        <v>15432</v>
      </c>
      <c r="M172" s="56">
        <v>0</v>
      </c>
      <c r="N172" s="71">
        <f>SUM(Table13[[#This Row],[Cont. Income - Small Donors]:[Cont. Income - Major Donors]])</f>
        <v>53502.45</v>
      </c>
      <c r="O172" s="56">
        <v>19421.68</v>
      </c>
      <c r="P172" s="56">
        <v>24080.77</v>
      </c>
      <c r="Q172" s="56">
        <v>10000</v>
      </c>
      <c r="R172" s="56">
        <v>0</v>
      </c>
      <c r="T172" s="56">
        <v>0</v>
      </c>
      <c r="U172" s="56">
        <v>0</v>
      </c>
      <c r="V172" s="56">
        <v>0</v>
      </c>
      <c r="W172" s="56">
        <v>0</v>
      </c>
      <c r="X172" s="56">
        <v>0</v>
      </c>
      <c r="Y172" s="56">
        <v>0</v>
      </c>
      <c r="AA172" s="55">
        <f>Table13[[#This Row],[Expenses - Editorial]]+Table13[[#This Row],[Expenses - Revenue Generation]]+Table13[[#This Row],[Expenses - Tech]]+Table13[[#This Row],[Expenses - Admin]]</f>
        <v>60268</v>
      </c>
      <c r="AB172" s="56">
        <v>46159</v>
      </c>
      <c r="AC172" s="71">
        <f>SUM(Table13[[#This Row],[Expenses - Revenue Generation]:[Expenses - Admin]])</f>
        <v>14109</v>
      </c>
      <c r="AD172" s="56">
        <v>4455</v>
      </c>
      <c r="AE172" s="56">
        <v>4471</v>
      </c>
      <c r="AF172" s="56">
        <v>5183</v>
      </c>
      <c r="AG172" s="59">
        <f>Table13[[#This Row],[Total FTE - Editorial]]+Table13[[#This Row],[Total FTE - Non-Editorial]]</f>
        <v>1</v>
      </c>
      <c r="AH172" s="59">
        <f>Table13[[#This Row],[FTE Salaried - Editorial]]+Table13[[#This Row],[FTE Contractors - Editorial]]</f>
        <v>1</v>
      </c>
      <c r="AI172" s="57">
        <v>0</v>
      </c>
      <c r="AJ172" s="57">
        <v>1</v>
      </c>
      <c r="AK172" s="60">
        <f>Table13[[#This Row],[FTE Salaried - Non-Editorial]]+Table13[[#This Row],[FTE Contractors - Non-Editorial]]</f>
        <v>0</v>
      </c>
      <c r="AL172" s="57">
        <v>0</v>
      </c>
      <c r="AM172" s="57">
        <v>0</v>
      </c>
      <c r="AN172" s="54" t="s">
        <v>351</v>
      </c>
      <c r="AO172" s="54" t="s">
        <v>359</v>
      </c>
      <c r="AQ172" s="57">
        <v>4500</v>
      </c>
      <c r="AR172" s="57">
        <v>1305</v>
      </c>
      <c r="AS172" s="57">
        <v>0</v>
      </c>
      <c r="AT172" s="57">
        <v>0</v>
      </c>
      <c r="AU172" s="57">
        <v>0</v>
      </c>
      <c r="AV172" s="57">
        <v>0</v>
      </c>
      <c r="AW172" s="57">
        <v>0</v>
      </c>
      <c r="AX172" s="57"/>
      <c r="AY172" s="57">
        <v>0</v>
      </c>
    </row>
    <row r="173" spans="1:51" x14ac:dyDescent="0.2">
      <c r="B173" s="54">
        <v>2010</v>
      </c>
      <c r="D173" s="54" t="s">
        <v>83</v>
      </c>
      <c r="E173" s="54" t="s">
        <v>78</v>
      </c>
      <c r="F173" s="54" t="str">
        <f>_xlfn.CONCAT(Table13[[#This Row],[Geographic Scope]],": ",Table13[[#This Row],[Sub-Type/Focus]])</f>
        <v>State: Multiple Related Topics</v>
      </c>
      <c r="G173" s="54" t="str">
        <f>_xlfn.CONCAT(Table13[[#This Row],[Geographic Scope]],": ",Table13[[#This Row],[Sub-Type/Focus]],": ",Table13[[#This Row],[Content Type]])</f>
        <v xml:space="preserve">State: Multiple Related Topics: </v>
      </c>
      <c r="H173" s="54" t="str">
        <f>_xlfn.CONCAT(Table13[[#This Row],[Geographic Scope]],": ",Table13[[#This Row],[Content Type]])</f>
        <v xml:space="preserve">State: </v>
      </c>
      <c r="I173" s="55">
        <f>Table13[[#This Row],[Total Contributed Income]]+Table13[[#This Row],[Total Earned Income]]</f>
        <v>117150</v>
      </c>
      <c r="J173" s="55">
        <f>Table13[[#This Row],[Cont. Income - Foundation]]+Table13[[#This Row],[Cont. Income - Membership]]+Table13[[#This Row],[Cont. Income - Small Donors]]+Table13[[#This Row],[Cont. Income - Med. Donors]]+Table13[[#This Row],[Cont. Income - Major Donors]]+Table13[[#This Row],[Cont. Income - Other]]</f>
        <v>114950</v>
      </c>
      <c r="K173" s="55">
        <f>Table13[[#This Row],[Earned Income - Advertising]]+Table13[[#This Row],[Earned Income - Sponsorships/Underwriting]]+Table13[[#This Row],[Earned Income - Events]]+Table13[[#This Row],[Earned Income - Subscriptions]]+Table13[[#This Row],[Earned Income - Syndication]]+Table13[[#This Row],[Earned Income - Other]]</f>
        <v>2200</v>
      </c>
      <c r="L173" s="56">
        <v>70950</v>
      </c>
      <c r="M173" s="56">
        <v>0</v>
      </c>
      <c r="N173" s="71">
        <f>SUM(Table13[[#This Row],[Cont. Income - Small Donors]:[Cont. Income - Major Donors]])</f>
        <v>44000</v>
      </c>
      <c r="O173" s="56">
        <v>30000</v>
      </c>
      <c r="P173" s="56">
        <v>4000</v>
      </c>
      <c r="Q173" s="56">
        <v>10000</v>
      </c>
      <c r="R173" s="56">
        <v>0</v>
      </c>
      <c r="T173" s="56">
        <v>0</v>
      </c>
      <c r="U173" s="56">
        <v>0</v>
      </c>
      <c r="V173" s="56">
        <v>2200</v>
      </c>
      <c r="W173" s="56">
        <v>0</v>
      </c>
      <c r="X173" s="56">
        <v>0</v>
      </c>
      <c r="Y173" s="56">
        <v>0</v>
      </c>
      <c r="AA173" s="55">
        <f>Table13[[#This Row],[Expenses - Editorial]]+Table13[[#This Row],[Expenses - Revenue Generation]]+Table13[[#This Row],[Expenses - Tech]]+Table13[[#This Row],[Expenses - Admin]]</f>
        <v>91000</v>
      </c>
      <c r="AB173" s="56">
        <v>80000</v>
      </c>
      <c r="AC173" s="71">
        <f>SUM(Table13[[#This Row],[Expenses - Revenue Generation]:[Expenses - Admin]])</f>
        <v>11000</v>
      </c>
      <c r="AD173" s="56">
        <v>0</v>
      </c>
      <c r="AE173" s="56">
        <v>1000</v>
      </c>
      <c r="AF173" s="56">
        <v>10000</v>
      </c>
      <c r="AG173" s="59">
        <f>Table13[[#This Row],[Total FTE - Editorial]]+Table13[[#This Row],[Total FTE - Non-Editorial]]</f>
        <v>1</v>
      </c>
      <c r="AH173" s="59">
        <f>Table13[[#This Row],[FTE Salaried - Editorial]]+Table13[[#This Row],[FTE Contractors - Editorial]]</f>
        <v>1</v>
      </c>
      <c r="AI173" s="57">
        <v>1</v>
      </c>
      <c r="AJ173" s="57">
        <v>0</v>
      </c>
      <c r="AK173" s="60">
        <f>Table13[[#This Row],[FTE Salaried - Non-Editorial]]+Table13[[#This Row],[FTE Contractors - Non-Editorial]]</f>
        <v>0</v>
      </c>
      <c r="AL173" s="57">
        <v>0</v>
      </c>
      <c r="AM173" s="57">
        <v>0</v>
      </c>
      <c r="AN173" s="54" t="s">
        <v>351</v>
      </c>
      <c r="AO173" s="54" t="s">
        <v>359</v>
      </c>
      <c r="AQ173" s="57">
        <v>0</v>
      </c>
      <c r="AR173" s="57">
        <v>0</v>
      </c>
      <c r="AS173" s="57">
        <v>0</v>
      </c>
      <c r="AT173" s="57">
        <v>0</v>
      </c>
      <c r="AU173" s="57">
        <v>0</v>
      </c>
      <c r="AV173" s="57">
        <v>0</v>
      </c>
      <c r="AW173" s="57">
        <v>0</v>
      </c>
      <c r="AX173" s="57"/>
      <c r="AY173" s="57">
        <v>0</v>
      </c>
    </row>
    <row r="174" spans="1:51" x14ac:dyDescent="0.2">
      <c r="A174" s="54">
        <v>433</v>
      </c>
      <c r="B174" s="54">
        <v>2018</v>
      </c>
      <c r="C174" s="91" t="s">
        <v>82</v>
      </c>
      <c r="D174" s="54" t="s">
        <v>83</v>
      </c>
      <c r="E174" s="54" t="s">
        <v>77</v>
      </c>
      <c r="F174" s="54" t="str">
        <f>_xlfn.CONCAT(Table13[[#This Row],[Geographic Scope]],": ",Table13[[#This Row],[Sub-Type/Focus]])</f>
        <v>State: General</v>
      </c>
      <c r="G174" s="54" t="str">
        <f>_xlfn.CONCAT(Table13[[#This Row],[Geographic Scope]],": ",Table13[[#This Row],[Sub-Type/Focus]],": ",Table13[[#This Row],[Content Type]])</f>
        <v>State: General: Current News &amp; Events</v>
      </c>
      <c r="H174" s="54" t="str">
        <f>_xlfn.CONCAT(Table13[[#This Row],[Geographic Scope]],": ",Table13[[#This Row],[Content Type]])</f>
        <v>State: Current News &amp; Events</v>
      </c>
      <c r="I174" s="55">
        <f>Table13[[#This Row],[Total Contributed Income]]+Table13[[#This Row],[Total Earned Income]]</f>
        <v>87507.340000000011</v>
      </c>
      <c r="J174" s="55">
        <f>Table13[[#This Row],[Cont. Income - Foundation]]+Table13[[#This Row],[Cont. Income - Membership]]+Table13[[#This Row],[Cont. Income - Small Donors]]+Table13[[#This Row],[Cont. Income - Med. Donors]]+Table13[[#This Row],[Cont. Income - Major Donors]]+Table13[[#This Row],[Cont. Income - Other]]</f>
        <v>87507.340000000011</v>
      </c>
      <c r="K174" s="55">
        <f>Table13[[#This Row],[Earned Income - Advertising]]+Table13[[#This Row],[Earned Income - Sponsorships/Underwriting]]+Table13[[#This Row],[Earned Income - Events]]+Table13[[#This Row],[Earned Income - Subscriptions]]+Table13[[#This Row],[Earned Income - Syndication]]+Table13[[#This Row],[Earned Income - Other]]</f>
        <v>0</v>
      </c>
      <c r="L174" s="56">
        <v>74606.02</v>
      </c>
      <c r="M174" s="56">
        <v>0</v>
      </c>
      <c r="N174" s="71">
        <f>SUM(Table13[[#This Row],[Cont. Income - Small Donors]:[Cont. Income - Major Donors]])</f>
        <v>5746.77</v>
      </c>
      <c r="O174" s="56">
        <v>5746.77</v>
      </c>
      <c r="P174" s="56">
        <v>0</v>
      </c>
      <c r="Q174" s="56">
        <v>0</v>
      </c>
      <c r="R174" s="56">
        <v>7154.55</v>
      </c>
      <c r="S174" s="55" t="s">
        <v>538</v>
      </c>
      <c r="T174" s="56">
        <v>0</v>
      </c>
      <c r="U174" s="56">
        <v>0</v>
      </c>
      <c r="V174" s="56">
        <v>0</v>
      </c>
      <c r="W174" s="56">
        <v>0</v>
      </c>
      <c r="X174" s="56">
        <v>0</v>
      </c>
      <c r="Y174" s="56">
        <v>0</v>
      </c>
      <c r="AA174" s="55">
        <f>Table13[[#This Row],[Expenses - Editorial]]+Table13[[#This Row],[Expenses - Revenue Generation]]+Table13[[#This Row],[Expenses - Tech]]+Table13[[#This Row],[Expenses - Admin]]</f>
        <v>86484.88</v>
      </c>
      <c r="AB174" s="56">
        <v>66044.88</v>
      </c>
      <c r="AC174" s="71">
        <f>SUM(Table13[[#This Row],[Expenses - Revenue Generation]:[Expenses - Admin]])</f>
        <v>20440</v>
      </c>
      <c r="AD174" s="56">
        <v>20000</v>
      </c>
      <c r="AE174" s="56">
        <v>440</v>
      </c>
      <c r="AF174" s="56">
        <v>0</v>
      </c>
      <c r="AG174" s="59">
        <f>Table13[[#This Row],[Total FTE - Editorial]]+Table13[[#This Row],[Total FTE - Non-Editorial]]</f>
        <v>2</v>
      </c>
      <c r="AH174" s="59">
        <f>Table13[[#This Row],[FTE Salaried - Editorial]]+Table13[[#This Row],[FTE Contractors - Editorial]]</f>
        <v>1.5</v>
      </c>
      <c r="AI174" s="57">
        <v>0.5</v>
      </c>
      <c r="AJ174" s="57">
        <v>1</v>
      </c>
      <c r="AK174" s="60">
        <f>Table13[[#This Row],[FTE Salaried - Non-Editorial]]+Table13[[#This Row],[FTE Contractors - Non-Editorial]]</f>
        <v>0.5</v>
      </c>
      <c r="AL174" s="57">
        <v>0.5</v>
      </c>
      <c r="AM174" s="57">
        <v>0</v>
      </c>
      <c r="AN174" s="54" t="s">
        <v>352</v>
      </c>
      <c r="AO174" s="54" t="s">
        <v>446</v>
      </c>
      <c r="AQ174" s="57">
        <v>3027</v>
      </c>
      <c r="AR174" s="57">
        <v>885</v>
      </c>
      <c r="AS174" s="57">
        <v>0</v>
      </c>
      <c r="AT174" s="57">
        <v>0</v>
      </c>
      <c r="AU174" s="57">
        <v>0</v>
      </c>
      <c r="AV174" s="57">
        <v>0</v>
      </c>
      <c r="AW174" s="57">
        <v>0</v>
      </c>
      <c r="AX174" s="57"/>
      <c r="AY174" s="57">
        <v>0</v>
      </c>
    </row>
    <row r="175" spans="1:51" x14ac:dyDescent="0.2">
      <c r="A175" s="54">
        <v>450</v>
      </c>
      <c r="B175" s="54">
        <v>1956</v>
      </c>
      <c r="C175" s="91" t="s">
        <v>82</v>
      </c>
      <c r="D175" s="54" t="s">
        <v>83</v>
      </c>
      <c r="E175" s="54" t="s">
        <v>77</v>
      </c>
      <c r="F175" s="54" t="str">
        <f>_xlfn.CONCAT(Table13[[#This Row],[Geographic Scope]],": ",Table13[[#This Row],[Sub-Type/Focus]])</f>
        <v>State: General</v>
      </c>
      <c r="G175" s="54" t="str">
        <f>_xlfn.CONCAT(Table13[[#This Row],[Geographic Scope]],": ",Table13[[#This Row],[Sub-Type/Focus]],": ",Table13[[#This Row],[Content Type]])</f>
        <v>State: General: Current News &amp; Events</v>
      </c>
      <c r="H175" s="54" t="str">
        <f>_xlfn.CONCAT(Table13[[#This Row],[Geographic Scope]],": ",Table13[[#This Row],[Content Type]])</f>
        <v>State: Current News &amp; Events</v>
      </c>
      <c r="I175" s="55">
        <f>Table13[[#This Row],[Total Contributed Income]]+Table13[[#This Row],[Total Earned Income]]</f>
        <v>0</v>
      </c>
      <c r="J175" s="55">
        <f>Table13[[#This Row],[Cont. Income - Foundation]]+Table13[[#This Row],[Cont. Income - Membership]]+Table13[[#This Row],[Cont. Income - Small Donors]]+Table13[[#This Row],[Cont. Income - Med. Donors]]+Table13[[#This Row],[Cont. Income - Major Donors]]+Table13[[#This Row],[Cont. Income - Other]]</f>
        <v>0</v>
      </c>
      <c r="K175" s="55">
        <f>Table13[[#This Row],[Earned Income - Advertising]]+Table13[[#This Row],[Earned Income - Sponsorships/Underwriting]]+Table13[[#This Row],[Earned Income - Events]]+Table13[[#This Row],[Earned Income - Subscriptions]]+Table13[[#This Row],[Earned Income - Syndication]]+Table13[[#This Row],[Earned Income - Other]]</f>
        <v>0</v>
      </c>
      <c r="L175" s="56"/>
      <c r="M175" s="56"/>
      <c r="N175" s="71">
        <f>SUM(Table13[[#This Row],[Cont. Income - Small Donors]:[Cont. Income - Major Donors]])</f>
        <v>0</v>
      </c>
      <c r="O175" s="56"/>
      <c r="P175" s="56"/>
      <c r="Q175" s="56"/>
      <c r="R175" s="56"/>
      <c r="T175" s="56"/>
      <c r="U175" s="56"/>
      <c r="V175" s="56"/>
      <c r="W175" s="56"/>
      <c r="X175" s="56"/>
      <c r="Y175" s="56"/>
      <c r="AA175" s="55">
        <f>Table13[[#This Row],[Expenses - Editorial]]+Table13[[#This Row],[Expenses - Revenue Generation]]+Table13[[#This Row],[Expenses - Tech]]+Table13[[#This Row],[Expenses - Admin]]</f>
        <v>0</v>
      </c>
      <c r="AB175" s="56"/>
      <c r="AC175" s="71">
        <f>SUM(Table13[[#This Row],[Expenses - Revenue Generation]:[Expenses - Admin]])</f>
        <v>0</v>
      </c>
      <c r="AD175" s="56"/>
      <c r="AE175" s="56"/>
      <c r="AF175" s="56"/>
      <c r="AG175" s="59">
        <f>Table13[[#This Row],[Total FTE - Editorial]]+Table13[[#This Row],[Total FTE - Non-Editorial]]</f>
        <v>11</v>
      </c>
      <c r="AH175" s="59">
        <f>Table13[[#This Row],[FTE Salaried - Editorial]]+Table13[[#This Row],[FTE Contractors - Editorial]]</f>
        <v>6</v>
      </c>
      <c r="AI175" s="57">
        <v>6</v>
      </c>
      <c r="AJ175" s="57">
        <v>0</v>
      </c>
      <c r="AK175" s="60">
        <f>Table13[[#This Row],[FTE Salaried - Non-Editorial]]+Table13[[#This Row],[FTE Contractors - Non-Editorial]]</f>
        <v>5</v>
      </c>
      <c r="AL175" s="57">
        <v>5</v>
      </c>
      <c r="AM175" s="57">
        <v>0</v>
      </c>
      <c r="AN175" s="54" t="s">
        <v>352</v>
      </c>
      <c r="AO175" s="54" t="s">
        <v>520</v>
      </c>
      <c r="AQ175" s="57">
        <v>15000</v>
      </c>
      <c r="AR175" s="57">
        <v>8000</v>
      </c>
      <c r="AS175" s="57">
        <v>0</v>
      </c>
      <c r="AT175" s="57">
        <v>0</v>
      </c>
      <c r="AU175" s="57">
        <v>89300</v>
      </c>
      <c r="AV175" s="57" t="s">
        <v>539</v>
      </c>
      <c r="AW175" s="57">
        <v>564000</v>
      </c>
      <c r="AX175" s="57" t="s">
        <v>540</v>
      </c>
      <c r="AY175" s="57">
        <v>50</v>
      </c>
    </row>
    <row r="176" spans="1:51" x14ac:dyDescent="0.2">
      <c r="A176" s="54">
        <v>468</v>
      </c>
      <c r="B176" s="54">
        <v>1954</v>
      </c>
      <c r="C176" s="91" t="s">
        <v>82</v>
      </c>
      <c r="D176" s="54" t="s">
        <v>83</v>
      </c>
      <c r="E176" s="54" t="s">
        <v>77</v>
      </c>
      <c r="F176" s="54" t="str">
        <f>_xlfn.CONCAT(Table13[[#This Row],[Geographic Scope]],": ",Table13[[#This Row],[Sub-Type/Focus]])</f>
        <v>State: General</v>
      </c>
      <c r="G176" s="54" t="str">
        <f>_xlfn.CONCAT(Table13[[#This Row],[Geographic Scope]],": ",Table13[[#This Row],[Sub-Type/Focus]],": ",Table13[[#This Row],[Content Type]])</f>
        <v>State: General: Current News &amp; Events</v>
      </c>
      <c r="H176" s="54" t="str">
        <f>_xlfn.CONCAT(Table13[[#This Row],[Geographic Scope]],": ",Table13[[#This Row],[Content Type]])</f>
        <v>State: Current News &amp; Events</v>
      </c>
      <c r="I176" s="55">
        <f>Table13[[#This Row],[Total Contributed Income]]+Table13[[#This Row],[Total Earned Income]]</f>
        <v>1510073.67</v>
      </c>
      <c r="J176" s="55">
        <f>Table13[[#This Row],[Cont. Income - Foundation]]+Table13[[#This Row],[Cont. Income - Membership]]+Table13[[#This Row],[Cont. Income - Small Donors]]+Table13[[#This Row],[Cont. Income - Med. Donors]]+Table13[[#This Row],[Cont. Income - Major Donors]]+Table13[[#This Row],[Cont. Income - Other]]</f>
        <v>1259568.67</v>
      </c>
      <c r="K176" s="55">
        <f>Table13[[#This Row],[Earned Income - Advertising]]+Table13[[#This Row],[Earned Income - Sponsorships/Underwriting]]+Table13[[#This Row],[Earned Income - Events]]+Table13[[#This Row],[Earned Income - Subscriptions]]+Table13[[#This Row],[Earned Income - Syndication]]+Table13[[#This Row],[Earned Income - Other]]</f>
        <v>250505</v>
      </c>
      <c r="L176" s="56">
        <v>795300</v>
      </c>
      <c r="M176" s="56">
        <v>143953.01999999999</v>
      </c>
      <c r="N176" s="71">
        <f>SUM(Table13[[#This Row],[Cont. Income - Small Donors]:[Cont. Income - Major Donors]])</f>
        <v>245315.65</v>
      </c>
      <c r="O176" s="56">
        <v>74315.649999999994</v>
      </c>
      <c r="P176" s="56">
        <v>29000</v>
      </c>
      <c r="Q176" s="56">
        <v>142000</v>
      </c>
      <c r="R176" s="56">
        <v>75000</v>
      </c>
      <c r="S176" s="55" t="s">
        <v>541</v>
      </c>
      <c r="T176" s="56">
        <v>13346</v>
      </c>
      <c r="U176" s="56">
        <v>0</v>
      </c>
      <c r="V176" s="56">
        <v>177490</v>
      </c>
      <c r="W176" s="56">
        <v>0</v>
      </c>
      <c r="X176" s="56">
        <v>15069</v>
      </c>
      <c r="Y176" s="56">
        <v>44600</v>
      </c>
      <c r="Z176" s="54" t="s">
        <v>542</v>
      </c>
      <c r="AA176" s="55">
        <f>Table13[[#This Row],[Expenses - Editorial]]+Table13[[#This Row],[Expenses - Revenue Generation]]+Table13[[#This Row],[Expenses - Tech]]+Table13[[#This Row],[Expenses - Admin]]</f>
        <v>1396721</v>
      </c>
      <c r="AB176" s="56">
        <v>919083</v>
      </c>
      <c r="AC176" s="71">
        <f>SUM(Table13[[#This Row],[Expenses - Revenue Generation]:[Expenses - Admin]])</f>
        <v>477638</v>
      </c>
      <c r="AD176" s="56">
        <v>321874</v>
      </c>
      <c r="AE176" s="56">
        <v>41134</v>
      </c>
      <c r="AF176" s="56">
        <v>114630</v>
      </c>
      <c r="AG176" s="59">
        <f>Table13[[#This Row],[Total FTE - Editorial]]+Table13[[#This Row],[Total FTE - Non-Editorial]]</f>
        <v>20.5</v>
      </c>
      <c r="AH176" s="59">
        <f>Table13[[#This Row],[FTE Salaried - Editorial]]+Table13[[#This Row],[FTE Contractors - Editorial]]</f>
        <v>14.5</v>
      </c>
      <c r="AI176" s="57">
        <v>10</v>
      </c>
      <c r="AJ176" s="57">
        <v>4.5</v>
      </c>
      <c r="AK176" s="60">
        <f>Table13[[#This Row],[FTE Salaried - Non-Editorial]]+Table13[[#This Row],[FTE Contractors - Non-Editorial]]</f>
        <v>6</v>
      </c>
      <c r="AL176" s="57">
        <v>5</v>
      </c>
      <c r="AM176" s="57">
        <v>1</v>
      </c>
      <c r="AN176" s="54" t="s">
        <v>347</v>
      </c>
      <c r="AO176" s="54" t="s">
        <v>543</v>
      </c>
      <c r="AQ176" s="57">
        <v>375000</v>
      </c>
      <c r="AR176" s="57">
        <v>32000</v>
      </c>
      <c r="AS176" s="57">
        <v>4916</v>
      </c>
      <c r="AT176" s="57">
        <v>6</v>
      </c>
      <c r="AU176" s="57">
        <v>0</v>
      </c>
      <c r="AV176" s="57">
        <v>0</v>
      </c>
      <c r="AW176" s="57">
        <v>0</v>
      </c>
      <c r="AX176" s="57"/>
      <c r="AY176" s="57">
        <v>0</v>
      </c>
    </row>
    <row r="177" spans="1:51" x14ac:dyDescent="0.2">
      <c r="A177" s="54">
        <v>481</v>
      </c>
      <c r="B177" s="54">
        <v>2015</v>
      </c>
      <c r="C177" s="91" t="s">
        <v>82</v>
      </c>
      <c r="D177" s="54" t="s">
        <v>83</v>
      </c>
      <c r="E177" s="54" t="s">
        <v>77</v>
      </c>
      <c r="F177" s="54" t="str">
        <f>_xlfn.CONCAT(Table13[[#This Row],[Geographic Scope]],": ",Table13[[#This Row],[Sub-Type/Focus]])</f>
        <v>State: General</v>
      </c>
      <c r="G177" s="54" t="str">
        <f>_xlfn.CONCAT(Table13[[#This Row],[Geographic Scope]],": ",Table13[[#This Row],[Sub-Type/Focus]],": ",Table13[[#This Row],[Content Type]])</f>
        <v>State: General: Current News &amp; Events</v>
      </c>
      <c r="H177" s="54" t="str">
        <f>_xlfn.CONCAT(Table13[[#This Row],[Geographic Scope]],": ",Table13[[#This Row],[Content Type]])</f>
        <v>State: Current News &amp; Events</v>
      </c>
      <c r="I177" s="55">
        <f>Table13[[#This Row],[Total Contributed Income]]+Table13[[#This Row],[Total Earned Income]]</f>
        <v>475000</v>
      </c>
      <c r="J177" s="55">
        <f>Table13[[#This Row],[Cont. Income - Foundation]]+Table13[[#This Row],[Cont. Income - Membership]]+Table13[[#This Row],[Cont. Income - Small Donors]]+Table13[[#This Row],[Cont. Income - Med. Donors]]+Table13[[#This Row],[Cont. Income - Major Donors]]+Table13[[#This Row],[Cont. Income - Other]]</f>
        <v>475000</v>
      </c>
      <c r="K177" s="55">
        <f>Table13[[#This Row],[Earned Income - Advertising]]+Table13[[#This Row],[Earned Income - Sponsorships/Underwriting]]+Table13[[#This Row],[Earned Income - Events]]+Table13[[#This Row],[Earned Income - Subscriptions]]+Table13[[#This Row],[Earned Income - Syndication]]+Table13[[#This Row],[Earned Income - Other]]</f>
        <v>0</v>
      </c>
      <c r="L177" s="56">
        <v>225000</v>
      </c>
      <c r="M177" s="56">
        <v>50000</v>
      </c>
      <c r="N177" s="71">
        <f>SUM(Table13[[#This Row],[Cont. Income - Small Donors]:[Cont. Income - Major Donors]])</f>
        <v>200000</v>
      </c>
      <c r="O177" s="56">
        <v>50000</v>
      </c>
      <c r="P177" s="56">
        <v>50000</v>
      </c>
      <c r="Q177" s="56">
        <v>100000</v>
      </c>
      <c r="R177" s="56">
        <v>0</v>
      </c>
      <c r="T177" s="56">
        <v>0</v>
      </c>
      <c r="U177" s="56">
        <v>0</v>
      </c>
      <c r="V177" s="56">
        <v>0</v>
      </c>
      <c r="W177" s="56">
        <v>0</v>
      </c>
      <c r="X177" s="56">
        <v>0</v>
      </c>
      <c r="Y177" s="56">
        <v>0</v>
      </c>
      <c r="AA177" s="55">
        <f>Table13[[#This Row],[Expenses - Editorial]]+Table13[[#This Row],[Expenses - Revenue Generation]]+Table13[[#This Row],[Expenses - Tech]]+Table13[[#This Row],[Expenses - Admin]]</f>
        <v>360000</v>
      </c>
      <c r="AB177" s="56">
        <v>310000</v>
      </c>
      <c r="AC177" s="71">
        <f>SUM(Table13[[#This Row],[Expenses - Revenue Generation]:[Expenses - Admin]])</f>
        <v>50000</v>
      </c>
      <c r="AD177" s="56">
        <v>10000</v>
      </c>
      <c r="AE177" s="56">
        <v>10000</v>
      </c>
      <c r="AF177" s="56">
        <v>30000</v>
      </c>
      <c r="AG177" s="59">
        <f>Table13[[#This Row],[Total FTE - Editorial]]+Table13[[#This Row],[Total FTE - Non-Editorial]]</f>
        <v>6</v>
      </c>
      <c r="AH177" s="59">
        <f>Table13[[#This Row],[FTE Salaried - Editorial]]+Table13[[#This Row],[FTE Contractors - Editorial]]</f>
        <v>6</v>
      </c>
      <c r="AI177" s="57">
        <v>6</v>
      </c>
      <c r="AJ177" s="57">
        <v>0</v>
      </c>
      <c r="AK177" s="60">
        <f>Table13[[#This Row],[FTE Salaried - Non-Editorial]]+Table13[[#This Row],[FTE Contractors - Non-Editorial]]</f>
        <v>0</v>
      </c>
      <c r="AL177" s="57">
        <v>0</v>
      </c>
      <c r="AM177" s="57">
        <v>0</v>
      </c>
      <c r="AN177" s="54" t="s">
        <v>351</v>
      </c>
      <c r="AO177" s="54" t="s">
        <v>359</v>
      </c>
      <c r="AQ177" s="57">
        <v>200000</v>
      </c>
      <c r="AR177" s="57">
        <v>0</v>
      </c>
      <c r="AS177" s="57">
        <v>0</v>
      </c>
      <c r="AT177" s="57">
        <v>0</v>
      </c>
      <c r="AU177" s="57">
        <v>0</v>
      </c>
      <c r="AV177" s="57">
        <v>0</v>
      </c>
      <c r="AW177" s="57">
        <v>0</v>
      </c>
      <c r="AX177" s="57"/>
      <c r="AY177" s="57">
        <v>2500</v>
      </c>
    </row>
    <row r="178" spans="1:51" x14ac:dyDescent="0.2">
      <c r="A178" s="54">
        <v>511</v>
      </c>
      <c r="B178" s="54">
        <v>2009</v>
      </c>
      <c r="C178" s="91" t="s">
        <v>82</v>
      </c>
      <c r="D178" s="54" t="s">
        <v>83</v>
      </c>
      <c r="E178" s="54" t="s">
        <v>77</v>
      </c>
      <c r="F178" s="54" t="str">
        <f>_xlfn.CONCAT(Table13[[#This Row],[Geographic Scope]],": ",Table13[[#This Row],[Sub-Type/Focus]])</f>
        <v>State: General</v>
      </c>
      <c r="G178" s="54" t="str">
        <f>_xlfn.CONCAT(Table13[[#This Row],[Geographic Scope]],": ",Table13[[#This Row],[Sub-Type/Focus]],": ",Table13[[#This Row],[Content Type]])</f>
        <v>State: General: Current News &amp; Events</v>
      </c>
      <c r="H178" s="54" t="str">
        <f>_xlfn.CONCAT(Table13[[#This Row],[Geographic Scope]],": ",Table13[[#This Row],[Content Type]])</f>
        <v>State: Current News &amp; Events</v>
      </c>
      <c r="I178" s="55">
        <f>Table13[[#This Row],[Total Contributed Income]]+Table13[[#This Row],[Total Earned Income]]</f>
        <v>1284653.58</v>
      </c>
      <c r="J178" s="55">
        <f>Table13[[#This Row],[Cont. Income - Foundation]]+Table13[[#This Row],[Cont. Income - Membership]]+Table13[[#This Row],[Cont. Income - Small Donors]]+Table13[[#This Row],[Cont. Income - Med. Donors]]+Table13[[#This Row],[Cont. Income - Major Donors]]+Table13[[#This Row],[Cont. Income - Other]]</f>
        <v>1097451.6600000001</v>
      </c>
      <c r="K178" s="55">
        <f>Table13[[#This Row],[Earned Income - Advertising]]+Table13[[#This Row],[Earned Income - Sponsorships/Underwriting]]+Table13[[#This Row],[Earned Income - Events]]+Table13[[#This Row],[Earned Income - Subscriptions]]+Table13[[#This Row],[Earned Income - Syndication]]+Table13[[#This Row],[Earned Income - Other]]</f>
        <v>187201.92000000001</v>
      </c>
      <c r="L178" s="56">
        <v>779000</v>
      </c>
      <c r="M178" s="56">
        <v>0</v>
      </c>
      <c r="N178" s="71">
        <f>SUM(Table13[[#This Row],[Cont. Income - Small Donors]:[Cont. Income - Major Donors]])</f>
        <v>224870.66</v>
      </c>
      <c r="O178" s="56">
        <v>71115.66</v>
      </c>
      <c r="P178" s="56">
        <v>47250</v>
      </c>
      <c r="Q178" s="56">
        <v>106505</v>
      </c>
      <c r="R178" s="56">
        <v>93581</v>
      </c>
      <c r="S178" s="55" t="s">
        <v>544</v>
      </c>
      <c r="T178" s="56">
        <v>0</v>
      </c>
      <c r="U178" s="56">
        <v>8000</v>
      </c>
      <c r="V178" s="56">
        <v>186</v>
      </c>
      <c r="W178" s="56">
        <v>0</v>
      </c>
      <c r="X178" s="56">
        <v>175803.92</v>
      </c>
      <c r="Y178" s="56">
        <v>3212</v>
      </c>
      <c r="Z178" s="54" t="s">
        <v>362</v>
      </c>
      <c r="AA178" s="55">
        <f>Table13[[#This Row],[Expenses - Editorial]]+Table13[[#This Row],[Expenses - Revenue Generation]]+Table13[[#This Row],[Expenses - Tech]]+Table13[[#This Row],[Expenses - Admin]]</f>
        <v>1183998.7899999998</v>
      </c>
      <c r="AB178" s="56">
        <v>899839.08</v>
      </c>
      <c r="AC178" s="71">
        <f>SUM(Table13[[#This Row],[Expenses - Revenue Generation]:[Expenses - Admin]])</f>
        <v>284159.71000000002</v>
      </c>
      <c r="AD178" s="56">
        <v>177599.82</v>
      </c>
      <c r="AE178" s="56">
        <v>47359.95</v>
      </c>
      <c r="AF178" s="56">
        <v>59199.94</v>
      </c>
      <c r="AG178" s="59">
        <f>Table13[[#This Row],[Total FTE - Editorial]]+Table13[[#This Row],[Total FTE - Non-Editorial]]</f>
        <v>16.850000000000001</v>
      </c>
      <c r="AH178" s="59">
        <f>Table13[[#This Row],[FTE Salaried - Editorial]]+Table13[[#This Row],[FTE Contractors - Editorial]]</f>
        <v>12</v>
      </c>
      <c r="AI178" s="57">
        <v>7</v>
      </c>
      <c r="AJ178" s="57">
        <v>5</v>
      </c>
      <c r="AK178" s="60">
        <f>Table13[[#This Row],[FTE Salaried - Non-Editorial]]+Table13[[#This Row],[FTE Contractors - Non-Editorial]]</f>
        <v>4.8499999999999996</v>
      </c>
      <c r="AL178" s="57">
        <v>4.5999999999999996</v>
      </c>
      <c r="AM178" s="57">
        <v>0.25</v>
      </c>
      <c r="AN178" s="54" t="s">
        <v>351</v>
      </c>
      <c r="AO178" s="54" t="s">
        <v>368</v>
      </c>
      <c r="AQ178" s="57">
        <v>50467</v>
      </c>
      <c r="AR178" s="57">
        <v>9457</v>
      </c>
      <c r="AS178" s="57">
        <v>0</v>
      </c>
      <c r="AT178" s="57">
        <v>0</v>
      </c>
      <c r="AU178" s="57">
        <v>0</v>
      </c>
      <c r="AV178" s="57">
        <v>0</v>
      </c>
      <c r="AW178" s="57">
        <v>0</v>
      </c>
      <c r="AX178" s="57"/>
      <c r="AY178" s="57">
        <v>73</v>
      </c>
    </row>
    <row r="179" spans="1:51" x14ac:dyDescent="0.2">
      <c r="A179" s="54">
        <v>2529</v>
      </c>
      <c r="B179" s="54">
        <v>2017</v>
      </c>
      <c r="C179" s="91" t="s">
        <v>82</v>
      </c>
      <c r="D179" s="54" t="s">
        <v>83</v>
      </c>
      <c r="E179" s="54" t="s">
        <v>77</v>
      </c>
      <c r="F179" s="54" t="str">
        <f>_xlfn.CONCAT(Table13[[#This Row],[Geographic Scope]],": ",Table13[[#This Row],[Sub-Type/Focus]])</f>
        <v>State: General</v>
      </c>
      <c r="G179" s="54" t="str">
        <f>_xlfn.CONCAT(Table13[[#This Row],[Geographic Scope]],": ",Table13[[#This Row],[Sub-Type/Focus]],": ",Table13[[#This Row],[Content Type]])</f>
        <v>State: General: Current News &amp; Events</v>
      </c>
      <c r="H179" s="54" t="str">
        <f>_xlfn.CONCAT(Table13[[#This Row],[Geographic Scope]],": ",Table13[[#This Row],[Content Type]])</f>
        <v>State: Current News &amp; Events</v>
      </c>
      <c r="I179" s="55">
        <f>Table13[[#This Row],[Total Contributed Income]]+Table13[[#This Row],[Total Earned Income]]</f>
        <v>41664.19</v>
      </c>
      <c r="J179" s="55">
        <f>Table13[[#This Row],[Cont. Income - Foundation]]+Table13[[#This Row],[Cont. Income - Membership]]+Table13[[#This Row],[Cont. Income - Small Donors]]+Table13[[#This Row],[Cont. Income - Med. Donors]]+Table13[[#This Row],[Cont. Income - Major Donors]]+Table13[[#This Row],[Cont. Income - Other]]</f>
        <v>41464.19</v>
      </c>
      <c r="K179" s="55">
        <f>Table13[[#This Row],[Earned Income - Advertising]]+Table13[[#This Row],[Earned Income - Sponsorships/Underwriting]]+Table13[[#This Row],[Earned Income - Events]]+Table13[[#This Row],[Earned Income - Subscriptions]]+Table13[[#This Row],[Earned Income - Syndication]]+Table13[[#This Row],[Earned Income - Other]]</f>
        <v>200</v>
      </c>
      <c r="L179" s="56">
        <v>7925</v>
      </c>
      <c r="M179" s="56">
        <v>0</v>
      </c>
      <c r="N179" s="71">
        <f>SUM(Table13[[#This Row],[Cont. Income - Small Donors]:[Cont. Income - Major Donors]])</f>
        <v>33539.19</v>
      </c>
      <c r="O179" s="56">
        <v>22539.19</v>
      </c>
      <c r="P179" s="56">
        <v>11000</v>
      </c>
      <c r="Q179" s="56">
        <v>0</v>
      </c>
      <c r="R179" s="56">
        <v>0</v>
      </c>
      <c r="T179" s="56">
        <v>0</v>
      </c>
      <c r="U179" s="56">
        <v>0</v>
      </c>
      <c r="V179" s="56">
        <v>0</v>
      </c>
      <c r="W179" s="56">
        <v>0</v>
      </c>
      <c r="X179" s="56">
        <v>0</v>
      </c>
      <c r="Y179" s="56">
        <v>200</v>
      </c>
      <c r="Z179" s="54" t="s">
        <v>545</v>
      </c>
      <c r="AA179" s="55">
        <f>Table13[[#This Row],[Expenses - Editorial]]+Table13[[#This Row],[Expenses - Revenue Generation]]+Table13[[#This Row],[Expenses - Tech]]+Table13[[#This Row],[Expenses - Admin]]</f>
        <v>23559.57</v>
      </c>
      <c r="AB179" s="56">
        <v>17045.52</v>
      </c>
      <c r="AC179" s="71">
        <f>SUM(Table13[[#This Row],[Expenses - Revenue Generation]:[Expenses - Admin]])</f>
        <v>6514.05</v>
      </c>
      <c r="AD179" s="56">
        <v>580</v>
      </c>
      <c r="AE179" s="56">
        <v>562.38</v>
      </c>
      <c r="AF179" s="56">
        <v>5371.67</v>
      </c>
      <c r="AG179" s="59">
        <f>Table13[[#This Row],[Total FTE - Editorial]]+Table13[[#This Row],[Total FTE - Non-Editorial]]</f>
        <v>1</v>
      </c>
      <c r="AH179" s="59">
        <f>Table13[[#This Row],[FTE Salaried - Editorial]]+Table13[[#This Row],[FTE Contractors - Editorial]]</f>
        <v>1</v>
      </c>
      <c r="AI179" s="57">
        <v>0</v>
      </c>
      <c r="AJ179" s="57">
        <v>1</v>
      </c>
      <c r="AK179" s="60">
        <f>Table13[[#This Row],[FTE Salaried - Non-Editorial]]+Table13[[#This Row],[FTE Contractors - Non-Editorial]]</f>
        <v>0</v>
      </c>
      <c r="AL179" s="57">
        <v>0</v>
      </c>
      <c r="AM179" s="57">
        <v>0</v>
      </c>
      <c r="AN179" s="54" t="s">
        <v>347</v>
      </c>
      <c r="AO179" s="54" t="s">
        <v>543</v>
      </c>
      <c r="AQ179" s="57">
        <v>0</v>
      </c>
      <c r="AR179" s="57">
        <v>10948</v>
      </c>
      <c r="AS179" s="57">
        <v>0</v>
      </c>
      <c r="AT179" s="57">
        <v>0</v>
      </c>
      <c r="AU179" s="57">
        <v>0</v>
      </c>
      <c r="AV179" s="57">
        <v>0</v>
      </c>
      <c r="AW179" s="57">
        <v>0</v>
      </c>
      <c r="AX179" s="57"/>
      <c r="AY179" s="57">
        <v>0</v>
      </c>
    </row>
    <row r="180" spans="1:51" x14ac:dyDescent="0.2">
      <c r="A180" s="54">
        <v>2916</v>
      </c>
      <c r="B180" s="54">
        <v>1980</v>
      </c>
      <c r="C180" s="91" t="s">
        <v>82</v>
      </c>
      <c r="D180" s="54" t="s">
        <v>83</v>
      </c>
      <c r="E180" s="54" t="s">
        <v>77</v>
      </c>
      <c r="F180" s="54" t="str">
        <f>_xlfn.CONCAT(Table13[[#This Row],[Geographic Scope]],": ",Table13[[#This Row],[Sub-Type/Focus]])</f>
        <v>State: General</v>
      </c>
      <c r="G180" s="54" t="str">
        <f>_xlfn.CONCAT(Table13[[#This Row],[Geographic Scope]],": ",Table13[[#This Row],[Sub-Type/Focus]],": ",Table13[[#This Row],[Content Type]])</f>
        <v>State: General: Current News &amp; Events</v>
      </c>
      <c r="H180" s="54" t="str">
        <f>_xlfn.CONCAT(Table13[[#This Row],[Geographic Scope]],": ",Table13[[#This Row],[Content Type]])</f>
        <v>State: Current News &amp; Events</v>
      </c>
      <c r="I180" s="55">
        <f>Table13[[#This Row],[Total Contributed Income]]+Table13[[#This Row],[Total Earned Income]]</f>
        <v>9448035</v>
      </c>
      <c r="J180" s="55">
        <f>Table13[[#This Row],[Cont. Income - Foundation]]+Table13[[#This Row],[Cont. Income - Membership]]+Table13[[#This Row],[Cont. Income - Small Donors]]+Table13[[#This Row],[Cont. Income - Med. Donors]]+Table13[[#This Row],[Cont. Income - Major Donors]]+Table13[[#This Row],[Cont. Income - Other]]</f>
        <v>2690756</v>
      </c>
      <c r="K180" s="55">
        <f>Table13[[#This Row],[Earned Income - Advertising]]+Table13[[#This Row],[Earned Income - Sponsorships/Underwriting]]+Table13[[#This Row],[Earned Income - Events]]+Table13[[#This Row],[Earned Income - Subscriptions]]+Table13[[#This Row],[Earned Income - Syndication]]+Table13[[#This Row],[Earned Income - Other]]</f>
        <v>6757279</v>
      </c>
      <c r="L180" s="56">
        <v>32000</v>
      </c>
      <c r="M180" s="56">
        <v>0</v>
      </c>
      <c r="N180" s="71">
        <f>SUM(Table13[[#This Row],[Cont. Income - Small Donors]:[Cont. Income - Major Donors]])</f>
        <v>2658756</v>
      </c>
      <c r="O180" s="56">
        <v>1695174</v>
      </c>
      <c r="P180" s="56">
        <v>334445</v>
      </c>
      <c r="Q180" s="56">
        <v>629137</v>
      </c>
      <c r="R180" s="56">
        <v>0</v>
      </c>
      <c r="T180" s="56">
        <v>2621746</v>
      </c>
      <c r="U180" s="56">
        <v>2163321</v>
      </c>
      <c r="V180" s="56">
        <v>0</v>
      </c>
      <c r="W180" s="56">
        <v>5088</v>
      </c>
      <c r="X180" s="56">
        <v>0</v>
      </c>
      <c r="Y180" s="56">
        <v>1967124</v>
      </c>
      <c r="Z180" s="54" t="s">
        <v>546</v>
      </c>
      <c r="AA180" s="55">
        <f>Table13[[#This Row],[Expenses - Editorial]]+Table13[[#This Row],[Expenses - Revenue Generation]]+Table13[[#This Row],[Expenses - Tech]]+Table13[[#This Row],[Expenses - Admin]]</f>
        <v>4306252</v>
      </c>
      <c r="AB180" s="56">
        <v>1352845</v>
      </c>
      <c r="AC180" s="71">
        <f>SUM(Table13[[#This Row],[Expenses - Revenue Generation]:[Expenses - Admin]])</f>
        <v>2953407</v>
      </c>
      <c r="AD180" s="56">
        <v>5000</v>
      </c>
      <c r="AE180" s="56">
        <v>950748</v>
      </c>
      <c r="AF180" s="56">
        <v>1997659</v>
      </c>
      <c r="AG180" s="59">
        <f>Table13[[#This Row],[Total FTE - Editorial]]+Table13[[#This Row],[Total FTE - Non-Editorial]]</f>
        <v>0</v>
      </c>
      <c r="AH180" s="59">
        <f>Table13[[#This Row],[FTE Salaried - Editorial]]+Table13[[#This Row],[FTE Contractors - Editorial]]</f>
        <v>0</v>
      </c>
      <c r="AI180" s="57">
        <v>0</v>
      </c>
      <c r="AJ180" s="57">
        <v>0</v>
      </c>
      <c r="AK180" s="60">
        <f>Table13[[#This Row],[FTE Salaried - Non-Editorial]]+Table13[[#This Row],[FTE Contractors - Non-Editorial]]</f>
        <v>0</v>
      </c>
      <c r="AL180" s="57">
        <v>0</v>
      </c>
      <c r="AM180" s="57">
        <v>0</v>
      </c>
      <c r="AN180" s="54" t="s">
        <v>352</v>
      </c>
      <c r="AO180" s="54" t="s">
        <v>547</v>
      </c>
      <c r="AQ180" s="57">
        <v>150000</v>
      </c>
      <c r="AR180" s="57">
        <v>17055</v>
      </c>
      <c r="AS180" s="57">
        <v>240000</v>
      </c>
      <c r="AT180" s="57">
        <v>6</v>
      </c>
      <c r="AU180" s="57">
        <v>274900</v>
      </c>
      <c r="AV180" s="57" t="s">
        <v>548</v>
      </c>
      <c r="AW180" s="57">
        <v>0</v>
      </c>
      <c r="AX180" s="57"/>
      <c r="AY180" s="57">
        <v>0</v>
      </c>
    </row>
    <row r="181" spans="1:51" x14ac:dyDescent="0.2">
      <c r="A181" s="54">
        <v>2920</v>
      </c>
      <c r="B181" s="54">
        <v>2019</v>
      </c>
      <c r="C181" s="91" t="s">
        <v>82</v>
      </c>
      <c r="D181" s="54" t="s">
        <v>83</v>
      </c>
      <c r="E181" s="54" t="s">
        <v>77</v>
      </c>
      <c r="F181" s="54" t="str">
        <f>_xlfn.CONCAT(Table13[[#This Row],[Geographic Scope]],": ",Table13[[#This Row],[Sub-Type/Focus]])</f>
        <v>State: General</v>
      </c>
      <c r="G181" s="54" t="str">
        <f>_xlfn.CONCAT(Table13[[#This Row],[Geographic Scope]],": ",Table13[[#This Row],[Sub-Type/Focus]],": ",Table13[[#This Row],[Content Type]])</f>
        <v>State: General: Current News &amp; Events</v>
      </c>
      <c r="H181" s="54" t="str">
        <f>_xlfn.CONCAT(Table13[[#This Row],[Geographic Scope]],": ",Table13[[#This Row],[Content Type]])</f>
        <v>State: Current News &amp; Events</v>
      </c>
      <c r="I181" s="55">
        <f>Table13[[#This Row],[Total Contributed Income]]+Table13[[#This Row],[Total Earned Income]]</f>
        <v>745174</v>
      </c>
      <c r="J181" s="55">
        <f>Table13[[#This Row],[Cont. Income - Foundation]]+Table13[[#This Row],[Cont. Income - Membership]]+Table13[[#This Row],[Cont. Income - Small Donors]]+Table13[[#This Row],[Cont. Income - Med. Donors]]+Table13[[#This Row],[Cont. Income - Major Donors]]+Table13[[#This Row],[Cont. Income - Other]]</f>
        <v>640604</v>
      </c>
      <c r="K181" s="55">
        <f>Table13[[#This Row],[Earned Income - Advertising]]+Table13[[#This Row],[Earned Income - Sponsorships/Underwriting]]+Table13[[#This Row],[Earned Income - Events]]+Table13[[#This Row],[Earned Income - Subscriptions]]+Table13[[#This Row],[Earned Income - Syndication]]+Table13[[#This Row],[Earned Income - Other]]</f>
        <v>104570</v>
      </c>
      <c r="L181" s="56">
        <v>546090</v>
      </c>
      <c r="M181" s="56">
        <v>0</v>
      </c>
      <c r="N181" s="71">
        <f>SUM(Table13[[#This Row],[Cont. Income - Small Donors]:[Cont. Income - Major Donors]])</f>
        <v>92514</v>
      </c>
      <c r="O181" s="56">
        <v>68899</v>
      </c>
      <c r="P181" s="56">
        <v>13615</v>
      </c>
      <c r="Q181" s="56">
        <v>10000</v>
      </c>
      <c r="R181" s="56">
        <v>2000</v>
      </c>
      <c r="S181" s="55" t="s">
        <v>549</v>
      </c>
      <c r="T181" s="56">
        <v>0</v>
      </c>
      <c r="U181" s="56">
        <v>55870</v>
      </c>
      <c r="V181" s="56">
        <v>0</v>
      </c>
      <c r="W181" s="56">
        <v>0</v>
      </c>
      <c r="X181" s="56">
        <v>7500</v>
      </c>
      <c r="Y181" s="56">
        <v>41200</v>
      </c>
      <c r="Z181" s="54" t="s">
        <v>550</v>
      </c>
      <c r="AA181" s="55">
        <f>Table13[[#This Row],[Expenses - Editorial]]+Table13[[#This Row],[Expenses - Revenue Generation]]+Table13[[#This Row],[Expenses - Tech]]+Table13[[#This Row],[Expenses - Admin]]</f>
        <v>598850</v>
      </c>
      <c r="AB181" s="56">
        <v>365403</v>
      </c>
      <c r="AC181" s="71">
        <f>SUM(Table13[[#This Row],[Expenses - Revenue Generation]:[Expenses - Admin]])</f>
        <v>233447</v>
      </c>
      <c r="AD181" s="56">
        <v>97833</v>
      </c>
      <c r="AE181" s="56">
        <v>39960</v>
      </c>
      <c r="AF181" s="56">
        <v>95654</v>
      </c>
      <c r="AG181" s="59">
        <f>Table13[[#This Row],[Total FTE - Editorial]]+Table13[[#This Row],[Total FTE - Non-Editorial]]</f>
        <v>9.25</v>
      </c>
      <c r="AH181" s="59">
        <f>Table13[[#This Row],[FTE Salaried - Editorial]]+Table13[[#This Row],[FTE Contractors - Editorial]]</f>
        <v>8.25</v>
      </c>
      <c r="AI181" s="57">
        <v>8</v>
      </c>
      <c r="AJ181" s="57">
        <v>0.25</v>
      </c>
      <c r="AK181" s="60">
        <f>Table13[[#This Row],[FTE Salaried - Non-Editorial]]+Table13[[#This Row],[FTE Contractors - Non-Editorial]]</f>
        <v>1</v>
      </c>
      <c r="AL181" s="57">
        <v>1</v>
      </c>
      <c r="AM181" s="57">
        <v>0</v>
      </c>
      <c r="AN181" s="54" t="s">
        <v>351</v>
      </c>
      <c r="AO181" s="54" t="s">
        <v>465</v>
      </c>
      <c r="AQ181" s="57">
        <v>93654</v>
      </c>
      <c r="AR181" s="57">
        <v>3364</v>
      </c>
      <c r="AS181" s="57">
        <v>0</v>
      </c>
      <c r="AT181" s="57">
        <v>0</v>
      </c>
      <c r="AU181" s="57">
        <v>0</v>
      </c>
      <c r="AV181" s="57">
        <v>0</v>
      </c>
      <c r="AW181" s="57">
        <v>0</v>
      </c>
      <c r="AX181" s="57"/>
      <c r="AY181" s="57">
        <v>0</v>
      </c>
    </row>
    <row r="182" spans="1:51" x14ac:dyDescent="0.2">
      <c r="A182" s="54">
        <v>6803</v>
      </c>
      <c r="B182" s="54">
        <v>2020</v>
      </c>
      <c r="C182" s="91" t="s">
        <v>82</v>
      </c>
      <c r="D182" s="54" t="s">
        <v>83</v>
      </c>
      <c r="E182" s="54" t="s">
        <v>77</v>
      </c>
      <c r="F182" s="54" t="str">
        <f>_xlfn.CONCAT(Table13[[#This Row],[Geographic Scope]],": ",Table13[[#This Row],[Sub-Type/Focus]])</f>
        <v>State: General</v>
      </c>
      <c r="G182" s="54" t="str">
        <f>_xlfn.CONCAT(Table13[[#This Row],[Geographic Scope]],": ",Table13[[#This Row],[Sub-Type/Focus]],": ",Table13[[#This Row],[Content Type]])</f>
        <v>State: General: Current News &amp; Events</v>
      </c>
      <c r="H182" s="54" t="str">
        <f>_xlfn.CONCAT(Table13[[#This Row],[Geographic Scope]],": ",Table13[[#This Row],[Content Type]])</f>
        <v>State: Current News &amp; Events</v>
      </c>
      <c r="I182" s="55">
        <f>Table13[[#This Row],[Total Contributed Income]]+Table13[[#This Row],[Total Earned Income]]</f>
        <v>0</v>
      </c>
      <c r="J182" s="55">
        <f>Table13[[#This Row],[Cont. Income - Foundation]]+Table13[[#This Row],[Cont. Income - Membership]]+Table13[[#This Row],[Cont. Income - Small Donors]]+Table13[[#This Row],[Cont. Income - Med. Donors]]+Table13[[#This Row],[Cont. Income - Major Donors]]+Table13[[#This Row],[Cont. Income - Other]]</f>
        <v>0</v>
      </c>
      <c r="K182" s="55">
        <f>Table13[[#This Row],[Earned Income - Advertising]]+Table13[[#This Row],[Earned Income - Sponsorships/Underwriting]]+Table13[[#This Row],[Earned Income - Events]]+Table13[[#This Row],[Earned Income - Subscriptions]]+Table13[[#This Row],[Earned Income - Syndication]]+Table13[[#This Row],[Earned Income - Other]]</f>
        <v>0</v>
      </c>
      <c r="L182" s="56"/>
      <c r="M182" s="56"/>
      <c r="N182" s="71">
        <f>SUM(Table13[[#This Row],[Cont. Income - Small Donors]:[Cont. Income - Major Donors]])</f>
        <v>0</v>
      </c>
      <c r="O182" s="56"/>
      <c r="P182" s="56"/>
      <c r="Q182" s="56"/>
      <c r="R182" s="56"/>
      <c r="T182" s="56"/>
      <c r="U182" s="56"/>
      <c r="V182" s="56"/>
      <c r="W182" s="56"/>
      <c r="X182" s="56"/>
      <c r="Y182" s="56"/>
      <c r="AA182" s="55">
        <f>Table13[[#This Row],[Expenses - Editorial]]+Table13[[#This Row],[Expenses - Revenue Generation]]+Table13[[#This Row],[Expenses - Tech]]+Table13[[#This Row],[Expenses - Admin]]</f>
        <v>0</v>
      </c>
      <c r="AB182" s="57"/>
      <c r="AC182" s="71">
        <f>SUM(Table13[[#This Row],[Expenses - Revenue Generation]:[Expenses - Admin]])</f>
        <v>0</v>
      </c>
      <c r="AD182" s="57"/>
      <c r="AE182" s="57"/>
      <c r="AF182" s="57"/>
      <c r="AG182" s="59">
        <f>Table13[[#This Row],[Total FTE - Editorial]]+Table13[[#This Row],[Total FTE - Non-Editorial]]</f>
        <v>5</v>
      </c>
      <c r="AH182" s="59">
        <f>Table13[[#This Row],[FTE Salaried - Editorial]]+Table13[[#This Row],[FTE Contractors - Editorial]]</f>
        <v>3.5</v>
      </c>
      <c r="AI182" s="57">
        <v>0</v>
      </c>
      <c r="AJ182" s="57">
        <v>3.5</v>
      </c>
      <c r="AK182" s="60">
        <f>Table13[[#This Row],[FTE Salaried - Non-Editorial]]+Table13[[#This Row],[FTE Contractors - Non-Editorial]]</f>
        <v>1.5</v>
      </c>
      <c r="AL182" s="57">
        <v>0</v>
      </c>
      <c r="AM182" s="57">
        <v>1.5</v>
      </c>
      <c r="AN182" s="54" t="s">
        <v>351</v>
      </c>
      <c r="AQ182" s="57">
        <v>97270</v>
      </c>
      <c r="AR182" s="57">
        <v>1600</v>
      </c>
      <c r="AS182" s="57">
        <v>0</v>
      </c>
      <c r="AT182" s="57">
        <v>0</v>
      </c>
      <c r="AU182" s="57">
        <v>0</v>
      </c>
      <c r="AV182" s="57">
        <v>0</v>
      </c>
      <c r="AW182" s="57">
        <v>0</v>
      </c>
      <c r="AX182" s="57"/>
      <c r="AY182" s="57">
        <v>0</v>
      </c>
    </row>
    <row r="183" spans="1:51" x14ac:dyDescent="0.2">
      <c r="A183" s="54">
        <v>6808</v>
      </c>
      <c r="B183" s="54">
        <v>2010</v>
      </c>
      <c r="C183" s="91" t="s">
        <v>82</v>
      </c>
      <c r="D183" s="54" t="s">
        <v>83</v>
      </c>
      <c r="E183" s="54" t="s">
        <v>77</v>
      </c>
      <c r="F183" s="54" t="str">
        <f>_xlfn.CONCAT(Table13[[#This Row],[Geographic Scope]],": ",Table13[[#This Row],[Sub-Type/Focus]])</f>
        <v>State: General</v>
      </c>
      <c r="G183" s="54" t="str">
        <f>_xlfn.CONCAT(Table13[[#This Row],[Geographic Scope]],": ",Table13[[#This Row],[Sub-Type/Focus]],": ",Table13[[#This Row],[Content Type]])</f>
        <v>State: General: Current News &amp; Events</v>
      </c>
      <c r="H183" s="54" t="str">
        <f>_xlfn.CONCAT(Table13[[#This Row],[Geographic Scope]],": ",Table13[[#This Row],[Content Type]])</f>
        <v>State: Current News &amp; Events</v>
      </c>
      <c r="I183" s="55">
        <f>Table13[[#This Row],[Total Contributed Income]]+Table13[[#This Row],[Total Earned Income]]</f>
        <v>341055</v>
      </c>
      <c r="J183" s="55">
        <f>Table13[[#This Row],[Cont. Income - Foundation]]+Table13[[#This Row],[Cont. Income - Membership]]+Table13[[#This Row],[Cont. Income - Small Donors]]+Table13[[#This Row],[Cont. Income - Med. Donors]]+Table13[[#This Row],[Cont. Income - Major Donors]]+Table13[[#This Row],[Cont. Income - Other]]</f>
        <v>142228</v>
      </c>
      <c r="K183" s="55">
        <f>Table13[[#This Row],[Earned Income - Advertising]]+Table13[[#This Row],[Earned Income - Sponsorships/Underwriting]]+Table13[[#This Row],[Earned Income - Events]]+Table13[[#This Row],[Earned Income - Subscriptions]]+Table13[[#This Row],[Earned Income - Syndication]]+Table13[[#This Row],[Earned Income - Other]]</f>
        <v>198827</v>
      </c>
      <c r="L183" s="56">
        <v>0</v>
      </c>
      <c r="M183" s="56">
        <v>0</v>
      </c>
      <c r="N183" s="71">
        <f>SUM(Table13[[#This Row],[Cont. Income - Small Donors]:[Cont. Income - Major Donors]])</f>
        <v>142228</v>
      </c>
      <c r="O183" s="56">
        <v>73724</v>
      </c>
      <c r="P183" s="56">
        <v>50573</v>
      </c>
      <c r="Q183" s="56">
        <v>17931</v>
      </c>
      <c r="R183" s="56">
        <v>0</v>
      </c>
      <c r="T183" s="56">
        <v>0</v>
      </c>
      <c r="U183" s="56">
        <v>198737</v>
      </c>
      <c r="V183" s="56">
        <v>0</v>
      </c>
      <c r="W183" s="56">
        <v>0</v>
      </c>
      <c r="X183" s="56">
        <v>0</v>
      </c>
      <c r="Y183" s="56">
        <v>90</v>
      </c>
      <c r="Z183" s="54" t="s">
        <v>387</v>
      </c>
      <c r="AA183" s="55">
        <f>Table13[[#This Row],[Expenses - Editorial]]+Table13[[#This Row],[Expenses - Revenue Generation]]+Table13[[#This Row],[Expenses - Tech]]+Table13[[#This Row],[Expenses - Admin]]</f>
        <v>805036</v>
      </c>
      <c r="AB183" s="56">
        <v>355484</v>
      </c>
      <c r="AC183" s="71">
        <f>SUM(Table13[[#This Row],[Expenses - Revenue Generation]:[Expenses - Admin]])</f>
        <v>449552</v>
      </c>
      <c r="AD183" s="56">
        <v>122753</v>
      </c>
      <c r="AE183" s="56">
        <v>130220</v>
      </c>
      <c r="AF183" s="56">
        <v>196579</v>
      </c>
      <c r="AG183" s="59">
        <f>Table13[[#This Row],[Total FTE - Editorial]]+Table13[[#This Row],[Total FTE - Non-Editorial]]</f>
        <v>8</v>
      </c>
      <c r="AH183" s="59">
        <f>Table13[[#This Row],[FTE Salaried - Editorial]]+Table13[[#This Row],[FTE Contractors - Editorial]]</f>
        <v>5</v>
      </c>
      <c r="AI183" s="57">
        <v>5</v>
      </c>
      <c r="AJ183" s="57">
        <v>0</v>
      </c>
      <c r="AK183" s="60">
        <f>Table13[[#This Row],[FTE Salaried - Non-Editorial]]+Table13[[#This Row],[FTE Contractors - Non-Editorial]]</f>
        <v>3</v>
      </c>
      <c r="AL183" s="57">
        <v>1.5</v>
      </c>
      <c r="AM183" s="57">
        <v>1.5</v>
      </c>
      <c r="AN183" s="54" t="s">
        <v>488</v>
      </c>
      <c r="AO183" s="54" t="s">
        <v>380</v>
      </c>
      <c r="AQ183" s="57">
        <v>95644</v>
      </c>
      <c r="AR183" s="57">
        <v>1985</v>
      </c>
      <c r="AS183" s="57">
        <v>400</v>
      </c>
      <c r="AT183" s="57">
        <v>1</v>
      </c>
      <c r="AU183" s="57">
        <v>0</v>
      </c>
      <c r="AV183" s="57" t="s">
        <v>551</v>
      </c>
      <c r="AW183" s="57">
        <v>0</v>
      </c>
      <c r="AX183" s="57" t="s">
        <v>552</v>
      </c>
      <c r="AY183" s="57">
        <v>0</v>
      </c>
    </row>
    <row r="184" spans="1:51" x14ac:dyDescent="0.2">
      <c r="A184" s="54">
        <v>405</v>
      </c>
      <c r="B184" s="54">
        <v>2017</v>
      </c>
      <c r="C184" s="91" t="s">
        <v>82</v>
      </c>
      <c r="D184" s="54" t="s">
        <v>83</v>
      </c>
      <c r="E184" s="54" t="s">
        <v>78</v>
      </c>
      <c r="F184" s="54" t="str">
        <f>_xlfn.CONCAT(Table13[[#This Row],[Geographic Scope]],": ",Table13[[#This Row],[Sub-Type/Focus]])</f>
        <v>State: Multiple Related Topics</v>
      </c>
      <c r="G184" s="54" t="str">
        <f>_xlfn.CONCAT(Table13[[#This Row],[Geographic Scope]],": ",Table13[[#This Row],[Sub-Type/Focus]],": ",Table13[[#This Row],[Content Type]])</f>
        <v>State: Multiple Related Topics: Current News &amp; Events</v>
      </c>
      <c r="H184" s="54" t="str">
        <f>_xlfn.CONCAT(Table13[[#This Row],[Geographic Scope]],": ",Table13[[#This Row],[Content Type]])</f>
        <v>State: Current News &amp; Events</v>
      </c>
      <c r="I184" s="55">
        <f>Table13[[#This Row],[Total Contributed Income]]+Table13[[#This Row],[Total Earned Income]]</f>
        <v>548315</v>
      </c>
      <c r="J184" s="55">
        <f>Table13[[#This Row],[Cont. Income - Foundation]]+Table13[[#This Row],[Cont. Income - Membership]]+Table13[[#This Row],[Cont. Income - Small Donors]]+Table13[[#This Row],[Cont. Income - Med. Donors]]+Table13[[#This Row],[Cont. Income - Major Donors]]+Table13[[#This Row],[Cont. Income - Other]]</f>
        <v>546087</v>
      </c>
      <c r="K184" s="55">
        <f>Table13[[#This Row],[Earned Income - Advertising]]+Table13[[#This Row],[Earned Income - Sponsorships/Underwriting]]+Table13[[#This Row],[Earned Income - Events]]+Table13[[#This Row],[Earned Income - Subscriptions]]+Table13[[#This Row],[Earned Income - Syndication]]+Table13[[#This Row],[Earned Income - Other]]</f>
        <v>2228</v>
      </c>
      <c r="L184" s="56">
        <v>379945</v>
      </c>
      <c r="M184" s="56">
        <v>0</v>
      </c>
      <c r="N184" s="71">
        <f>SUM(Table13[[#This Row],[Cont. Income - Small Donors]:[Cont. Income - Major Donors]])</f>
        <v>155142</v>
      </c>
      <c r="O184" s="56">
        <v>80992</v>
      </c>
      <c r="P184" s="56">
        <v>9150</v>
      </c>
      <c r="Q184" s="56">
        <v>65000</v>
      </c>
      <c r="R184" s="56">
        <v>11000</v>
      </c>
      <c r="S184" s="55" t="s">
        <v>553</v>
      </c>
      <c r="T184" s="56">
        <v>0</v>
      </c>
      <c r="U184" s="56">
        <v>0</v>
      </c>
      <c r="V184" s="56">
        <v>0</v>
      </c>
      <c r="W184" s="56">
        <v>0</v>
      </c>
      <c r="X184" s="56">
        <v>2228</v>
      </c>
      <c r="Y184" s="56">
        <v>0</v>
      </c>
      <c r="AA184" s="55">
        <f>Table13[[#This Row],[Expenses - Editorial]]+Table13[[#This Row],[Expenses - Revenue Generation]]+Table13[[#This Row],[Expenses - Tech]]+Table13[[#This Row],[Expenses - Admin]]</f>
        <v>533736</v>
      </c>
      <c r="AB184" s="56">
        <v>362407</v>
      </c>
      <c r="AC184" s="71">
        <f>SUM(Table13[[#This Row],[Expenses - Revenue Generation]:[Expenses - Admin]])</f>
        <v>171329</v>
      </c>
      <c r="AD184" s="56">
        <v>79527</v>
      </c>
      <c r="AE184" s="56">
        <v>7595</v>
      </c>
      <c r="AF184" s="56">
        <v>84207</v>
      </c>
      <c r="AG184" s="59">
        <f>Table13[[#This Row],[Total FTE - Editorial]]+Table13[[#This Row],[Total FTE - Non-Editorial]]</f>
        <v>8.5</v>
      </c>
      <c r="AH184" s="59">
        <f>Table13[[#This Row],[FTE Salaried - Editorial]]+Table13[[#This Row],[FTE Contractors - Editorial]]</f>
        <v>7</v>
      </c>
      <c r="AI184" s="57">
        <v>6</v>
      </c>
      <c r="AJ184" s="57">
        <v>1</v>
      </c>
      <c r="AK184" s="60">
        <f>Table13[[#This Row],[FTE Salaried - Non-Editorial]]+Table13[[#This Row],[FTE Contractors - Non-Editorial]]</f>
        <v>1.5</v>
      </c>
      <c r="AL184" s="57">
        <v>1</v>
      </c>
      <c r="AM184" s="57">
        <v>0.5</v>
      </c>
      <c r="AN184" s="54" t="s">
        <v>351</v>
      </c>
      <c r="AO184" s="54" t="s">
        <v>359</v>
      </c>
      <c r="AQ184" s="57">
        <v>110000</v>
      </c>
      <c r="AR184" s="57">
        <v>8400</v>
      </c>
      <c r="AS184" s="57">
        <v>0</v>
      </c>
      <c r="AT184" s="57">
        <v>0</v>
      </c>
      <c r="AU184" s="57">
        <v>0</v>
      </c>
      <c r="AV184" s="57">
        <v>0</v>
      </c>
      <c r="AW184" s="57">
        <v>0</v>
      </c>
      <c r="AX184" s="57" t="s">
        <v>554</v>
      </c>
      <c r="AY184" s="57">
        <v>0</v>
      </c>
    </row>
    <row r="185" spans="1:51" x14ac:dyDescent="0.2">
      <c r="A185" s="54">
        <v>406</v>
      </c>
      <c r="B185" s="54">
        <v>2009</v>
      </c>
      <c r="C185" s="91" t="s">
        <v>82</v>
      </c>
      <c r="D185" s="54" t="s">
        <v>83</v>
      </c>
      <c r="E185" s="54" t="s">
        <v>78</v>
      </c>
      <c r="F185" s="54" t="str">
        <f>_xlfn.CONCAT(Table13[[#This Row],[Geographic Scope]],": ",Table13[[#This Row],[Sub-Type/Focus]])</f>
        <v>State: Multiple Related Topics</v>
      </c>
      <c r="G185" s="54" t="str">
        <f>_xlfn.CONCAT(Table13[[#This Row],[Geographic Scope]],": ",Table13[[#This Row],[Sub-Type/Focus]],": ",Table13[[#This Row],[Content Type]])</f>
        <v>State: Multiple Related Topics: Current News &amp; Events</v>
      </c>
      <c r="H185" s="54" t="str">
        <f>_xlfn.CONCAT(Table13[[#This Row],[Geographic Scope]],": ",Table13[[#This Row],[Content Type]])</f>
        <v>State: Current News &amp; Events</v>
      </c>
      <c r="I185" s="55">
        <f>Table13[[#This Row],[Total Contributed Income]]+Table13[[#This Row],[Total Earned Income]]</f>
        <v>104897</v>
      </c>
      <c r="J185" s="55">
        <f>Table13[[#This Row],[Cont. Income - Foundation]]+Table13[[#This Row],[Cont. Income - Membership]]+Table13[[#This Row],[Cont. Income - Small Donors]]+Table13[[#This Row],[Cont. Income - Med. Donors]]+Table13[[#This Row],[Cont. Income - Major Donors]]+Table13[[#This Row],[Cont. Income - Other]]</f>
        <v>78395</v>
      </c>
      <c r="K185" s="55">
        <f>Table13[[#This Row],[Earned Income - Advertising]]+Table13[[#This Row],[Earned Income - Sponsorships/Underwriting]]+Table13[[#This Row],[Earned Income - Events]]+Table13[[#This Row],[Earned Income - Subscriptions]]+Table13[[#This Row],[Earned Income - Syndication]]+Table13[[#This Row],[Earned Income - Other]]</f>
        <v>26502</v>
      </c>
      <c r="L185" s="56">
        <v>37500</v>
      </c>
      <c r="M185" s="56">
        <v>0</v>
      </c>
      <c r="N185" s="71">
        <f>SUM(Table13[[#This Row],[Cont. Income - Small Donors]:[Cont. Income - Major Donors]])</f>
        <v>35895</v>
      </c>
      <c r="O185" s="56">
        <v>27995</v>
      </c>
      <c r="P185" s="56">
        <v>7900</v>
      </c>
      <c r="Q185" s="56">
        <v>0</v>
      </c>
      <c r="R185" s="56">
        <v>5000</v>
      </c>
      <c r="S185" s="55" t="s">
        <v>555</v>
      </c>
      <c r="T185" s="56">
        <v>2696</v>
      </c>
      <c r="U185" s="56">
        <v>23806</v>
      </c>
      <c r="V185" s="56">
        <v>0</v>
      </c>
      <c r="W185" s="56">
        <v>0</v>
      </c>
      <c r="X185" s="56">
        <v>0</v>
      </c>
      <c r="Y185" s="56">
        <v>0</v>
      </c>
      <c r="AA185" s="55">
        <f>Table13[[#This Row],[Expenses - Editorial]]+Table13[[#This Row],[Expenses - Revenue Generation]]+Table13[[#This Row],[Expenses - Tech]]+Table13[[#This Row],[Expenses - Admin]]</f>
        <v>96550</v>
      </c>
      <c r="AB185" s="56">
        <v>72150</v>
      </c>
      <c r="AC185" s="71">
        <f>SUM(Table13[[#This Row],[Expenses - Revenue Generation]:[Expenses - Admin]])</f>
        <v>24400</v>
      </c>
      <c r="AD185" s="56">
        <v>6375</v>
      </c>
      <c r="AE185" s="56">
        <v>8000</v>
      </c>
      <c r="AF185" s="56">
        <v>10025</v>
      </c>
      <c r="AG185" s="59">
        <f>Table13[[#This Row],[Total FTE - Editorial]]+Table13[[#This Row],[Total FTE - Non-Editorial]]</f>
        <v>3.5</v>
      </c>
      <c r="AH185" s="59">
        <f>Table13[[#This Row],[FTE Salaried - Editorial]]+Table13[[#This Row],[FTE Contractors - Editorial]]</f>
        <v>3.5</v>
      </c>
      <c r="AI185" s="57">
        <v>3</v>
      </c>
      <c r="AJ185" s="57">
        <v>0.5</v>
      </c>
      <c r="AK185" s="60">
        <f>Table13[[#This Row],[FTE Salaried - Non-Editorial]]+Table13[[#This Row],[FTE Contractors - Non-Editorial]]</f>
        <v>0</v>
      </c>
      <c r="AL185" s="57">
        <v>0</v>
      </c>
      <c r="AM185" s="57">
        <v>0</v>
      </c>
      <c r="AN185" s="54" t="s">
        <v>347</v>
      </c>
      <c r="AO185" s="54" t="s">
        <v>363</v>
      </c>
      <c r="AQ185" s="57">
        <v>100000</v>
      </c>
      <c r="AR185" s="57">
        <v>7300</v>
      </c>
      <c r="AS185" s="57">
        <v>0</v>
      </c>
      <c r="AT185" s="57">
        <v>0</v>
      </c>
      <c r="AU185" s="57">
        <v>0</v>
      </c>
      <c r="AV185" s="57">
        <v>0</v>
      </c>
      <c r="AW185" s="57">
        <v>0</v>
      </c>
      <c r="AX185" s="57"/>
      <c r="AY185" s="57">
        <v>0</v>
      </c>
    </row>
    <row r="186" spans="1:51" x14ac:dyDescent="0.2">
      <c r="A186" s="54">
        <v>410</v>
      </c>
      <c r="B186" s="54">
        <v>2007</v>
      </c>
      <c r="C186" s="91" t="s">
        <v>82</v>
      </c>
      <c r="D186" s="54" t="s">
        <v>83</v>
      </c>
      <c r="E186" s="54" t="s">
        <v>78</v>
      </c>
      <c r="F186" s="54" t="str">
        <f>_xlfn.CONCAT(Table13[[#This Row],[Geographic Scope]],": ",Table13[[#This Row],[Sub-Type/Focus]])</f>
        <v>State: Multiple Related Topics</v>
      </c>
      <c r="G186" s="54" t="str">
        <f>_xlfn.CONCAT(Table13[[#This Row],[Geographic Scope]],": ",Table13[[#This Row],[Sub-Type/Focus]],": ",Table13[[#This Row],[Content Type]])</f>
        <v>State: Multiple Related Topics: Current News &amp; Events</v>
      </c>
      <c r="H186" s="54" t="str">
        <f>_xlfn.CONCAT(Table13[[#This Row],[Geographic Scope]],": ",Table13[[#This Row],[Content Type]])</f>
        <v>State: Current News &amp; Events</v>
      </c>
      <c r="I186" s="55">
        <f>Table13[[#This Row],[Total Contributed Income]]+Table13[[#This Row],[Total Earned Income]]</f>
        <v>2053414</v>
      </c>
      <c r="J186" s="55">
        <f>Table13[[#This Row],[Cont. Income - Foundation]]+Table13[[#This Row],[Cont. Income - Membership]]+Table13[[#This Row],[Cont. Income - Small Donors]]+Table13[[#This Row],[Cont. Income - Med. Donors]]+Table13[[#This Row],[Cont. Income - Major Donors]]+Table13[[#This Row],[Cont. Income - Other]]</f>
        <v>1791223</v>
      </c>
      <c r="K186" s="55">
        <f>Table13[[#This Row],[Earned Income - Advertising]]+Table13[[#This Row],[Earned Income - Sponsorships/Underwriting]]+Table13[[#This Row],[Earned Income - Events]]+Table13[[#This Row],[Earned Income - Subscriptions]]+Table13[[#This Row],[Earned Income - Syndication]]+Table13[[#This Row],[Earned Income - Other]]</f>
        <v>262191</v>
      </c>
      <c r="L186" s="56">
        <v>321000</v>
      </c>
      <c r="M186" s="56">
        <v>0</v>
      </c>
      <c r="N186" s="71">
        <f>SUM(Table13[[#This Row],[Cont. Income - Small Donors]:[Cont. Income - Major Donors]])</f>
        <v>1220223</v>
      </c>
      <c r="O186" s="56">
        <v>577306</v>
      </c>
      <c r="P186" s="56">
        <v>177203</v>
      </c>
      <c r="Q186" s="56">
        <v>465714</v>
      </c>
      <c r="R186" s="56">
        <v>250000</v>
      </c>
      <c r="S186" s="55" t="s">
        <v>556</v>
      </c>
      <c r="T186" s="56">
        <v>181000</v>
      </c>
      <c r="U186" s="56">
        <v>61000</v>
      </c>
      <c r="V186" s="56">
        <v>19620</v>
      </c>
      <c r="W186" s="56">
        <v>0</v>
      </c>
      <c r="X186" s="56">
        <v>0</v>
      </c>
      <c r="Y186" s="56">
        <v>571</v>
      </c>
      <c r="Z186" s="54" t="s">
        <v>387</v>
      </c>
      <c r="AA186" s="55">
        <f>Table13[[#This Row],[Expenses - Editorial]]+Table13[[#This Row],[Expenses - Revenue Generation]]+Table13[[#This Row],[Expenses - Tech]]+Table13[[#This Row],[Expenses - Admin]]</f>
        <v>1772089</v>
      </c>
      <c r="AB186" s="56">
        <v>1171357</v>
      </c>
      <c r="AC186" s="71">
        <f>SUM(Table13[[#This Row],[Expenses - Revenue Generation]:[Expenses - Admin]])</f>
        <v>600732</v>
      </c>
      <c r="AD186" s="56">
        <v>417082</v>
      </c>
      <c r="AE186" s="56">
        <v>16650</v>
      </c>
      <c r="AF186" s="56">
        <v>167000</v>
      </c>
      <c r="AG186" s="59">
        <f>Table13[[#This Row],[Total FTE - Editorial]]+Table13[[#This Row],[Total FTE - Non-Editorial]]</f>
        <v>16</v>
      </c>
      <c r="AH186" s="59">
        <f>Table13[[#This Row],[FTE Salaried - Editorial]]+Table13[[#This Row],[FTE Contractors - Editorial]]</f>
        <v>12</v>
      </c>
      <c r="AI186" s="57">
        <v>9</v>
      </c>
      <c r="AJ186" s="57">
        <v>3</v>
      </c>
      <c r="AK186" s="60">
        <f>Table13[[#This Row],[FTE Salaried - Non-Editorial]]+Table13[[#This Row],[FTE Contractors - Non-Editorial]]</f>
        <v>4</v>
      </c>
      <c r="AL186" s="57">
        <v>3</v>
      </c>
      <c r="AM186" s="57">
        <v>1</v>
      </c>
      <c r="AN186" s="54" t="s">
        <v>351</v>
      </c>
      <c r="AQ186" s="57">
        <v>897486</v>
      </c>
      <c r="AR186" s="57">
        <v>22988</v>
      </c>
      <c r="AS186" s="57">
        <v>0</v>
      </c>
      <c r="AT186" s="57">
        <v>0</v>
      </c>
      <c r="AU186" s="57">
        <v>0</v>
      </c>
      <c r="AV186" s="57">
        <v>0</v>
      </c>
      <c r="AW186" s="57">
        <v>0</v>
      </c>
      <c r="AX186" s="57"/>
      <c r="AY186" s="57">
        <v>0</v>
      </c>
    </row>
    <row r="187" spans="1:51" x14ac:dyDescent="0.2">
      <c r="A187" s="54">
        <v>412</v>
      </c>
      <c r="B187" s="54">
        <v>2016</v>
      </c>
      <c r="C187" s="91" t="s">
        <v>82</v>
      </c>
      <c r="D187" s="54" t="s">
        <v>83</v>
      </c>
      <c r="E187" s="54" t="s">
        <v>78</v>
      </c>
      <c r="F187" s="54" t="str">
        <f>_xlfn.CONCAT(Table13[[#This Row],[Geographic Scope]],": ",Table13[[#This Row],[Sub-Type/Focus]])</f>
        <v>State: Multiple Related Topics</v>
      </c>
      <c r="G187" s="54" t="str">
        <f>_xlfn.CONCAT(Table13[[#This Row],[Geographic Scope]],": ",Table13[[#This Row],[Sub-Type/Focus]],": ",Table13[[#This Row],[Content Type]])</f>
        <v>State: Multiple Related Topics: Current News &amp; Events</v>
      </c>
      <c r="H187" s="54" t="str">
        <f>_xlfn.CONCAT(Table13[[#This Row],[Geographic Scope]],": ",Table13[[#This Row],[Content Type]])</f>
        <v>State: Current News &amp; Events</v>
      </c>
      <c r="I187" s="55">
        <f>Table13[[#This Row],[Total Contributed Income]]+Table13[[#This Row],[Total Earned Income]]</f>
        <v>1759747</v>
      </c>
      <c r="J187" s="55">
        <f>Table13[[#This Row],[Cont. Income - Foundation]]+Table13[[#This Row],[Cont. Income - Membership]]+Table13[[#This Row],[Cont. Income - Small Donors]]+Table13[[#This Row],[Cont. Income - Med. Donors]]+Table13[[#This Row],[Cont. Income - Major Donors]]+Table13[[#This Row],[Cont. Income - Other]]</f>
        <v>1732191</v>
      </c>
      <c r="K187" s="55">
        <f>Table13[[#This Row],[Earned Income - Advertising]]+Table13[[#This Row],[Earned Income - Sponsorships/Underwriting]]+Table13[[#This Row],[Earned Income - Events]]+Table13[[#This Row],[Earned Income - Subscriptions]]+Table13[[#This Row],[Earned Income - Syndication]]+Table13[[#This Row],[Earned Income - Other]]</f>
        <v>27556</v>
      </c>
      <c r="L187" s="56">
        <v>592566</v>
      </c>
      <c r="M187" s="56">
        <v>171805</v>
      </c>
      <c r="N187" s="71">
        <f>SUM(Table13[[#This Row],[Cont. Income - Small Donors]:[Cont. Income - Major Donors]])</f>
        <v>957820</v>
      </c>
      <c r="O187" s="56">
        <v>0</v>
      </c>
      <c r="P187" s="56">
        <v>60399</v>
      </c>
      <c r="Q187" s="56">
        <v>897421</v>
      </c>
      <c r="R187" s="56">
        <v>10000</v>
      </c>
      <c r="S187" s="55" t="s">
        <v>557</v>
      </c>
      <c r="T187" s="56">
        <v>12316</v>
      </c>
      <c r="U187" s="56">
        <v>1500</v>
      </c>
      <c r="V187" s="56">
        <v>5311</v>
      </c>
      <c r="W187" s="56">
        <v>0</v>
      </c>
      <c r="X187" s="56">
        <v>1204</v>
      </c>
      <c r="Y187" s="56">
        <v>7225</v>
      </c>
      <c r="Z187" s="54" t="s">
        <v>558</v>
      </c>
      <c r="AA187" s="55">
        <f>Table13[[#This Row],[Expenses - Editorial]]+Table13[[#This Row],[Expenses - Revenue Generation]]+Table13[[#This Row],[Expenses - Tech]]+Table13[[#This Row],[Expenses - Admin]]</f>
        <v>1985847</v>
      </c>
      <c r="AB187" s="56">
        <v>1206876</v>
      </c>
      <c r="AC187" s="71">
        <f>SUM(Table13[[#This Row],[Expenses - Revenue Generation]:[Expenses - Admin]])</f>
        <v>778971</v>
      </c>
      <c r="AD187" s="56">
        <v>221630</v>
      </c>
      <c r="AE187" s="56">
        <v>119381</v>
      </c>
      <c r="AF187" s="56">
        <v>437960</v>
      </c>
      <c r="AG187" s="59">
        <f>Table13[[#This Row],[Total FTE - Editorial]]+Table13[[#This Row],[Total FTE - Non-Editorial]]</f>
        <v>19.5</v>
      </c>
      <c r="AH187" s="59">
        <f>Table13[[#This Row],[FTE Salaried - Editorial]]+Table13[[#This Row],[FTE Contractors - Editorial]]</f>
        <v>12.5</v>
      </c>
      <c r="AI187" s="57">
        <v>12.5</v>
      </c>
      <c r="AJ187" s="57">
        <v>0</v>
      </c>
      <c r="AK187" s="60">
        <f>Table13[[#This Row],[FTE Salaried - Non-Editorial]]+Table13[[#This Row],[FTE Contractors - Non-Editorial]]</f>
        <v>7</v>
      </c>
      <c r="AL187" s="57">
        <v>7</v>
      </c>
      <c r="AM187" s="57">
        <v>0</v>
      </c>
      <c r="AN187" s="54" t="s">
        <v>351</v>
      </c>
      <c r="AO187" s="54" t="s">
        <v>359</v>
      </c>
      <c r="AQ187" s="57">
        <v>308307</v>
      </c>
      <c r="AR187" s="57">
        <v>30942</v>
      </c>
      <c r="AS187" s="57">
        <v>0</v>
      </c>
      <c r="AT187" s="57">
        <v>0</v>
      </c>
      <c r="AU187" s="57">
        <v>0</v>
      </c>
      <c r="AV187" s="57">
        <v>0</v>
      </c>
      <c r="AW187" s="57">
        <v>0</v>
      </c>
      <c r="AX187" s="57"/>
      <c r="AY187" s="57">
        <v>5000</v>
      </c>
    </row>
    <row r="188" spans="1:51" x14ac:dyDescent="0.2">
      <c r="A188" s="54">
        <v>424</v>
      </c>
      <c r="B188" s="54">
        <v>2012</v>
      </c>
      <c r="C188" s="91" t="s">
        <v>82</v>
      </c>
      <c r="D188" s="54" t="s">
        <v>83</v>
      </c>
      <c r="E188" s="54" t="s">
        <v>78</v>
      </c>
      <c r="F188" s="54" t="str">
        <f>_xlfn.CONCAT(Table13[[#This Row],[Geographic Scope]],": ",Table13[[#This Row],[Sub-Type/Focus]])</f>
        <v>State: Multiple Related Topics</v>
      </c>
      <c r="G188" s="54" t="str">
        <f>_xlfn.CONCAT(Table13[[#This Row],[Geographic Scope]],": ",Table13[[#This Row],[Sub-Type/Focus]],": ",Table13[[#This Row],[Content Type]])</f>
        <v>State: Multiple Related Topics: Current News &amp; Events</v>
      </c>
      <c r="H188" s="54" t="str">
        <f>_xlfn.CONCAT(Table13[[#This Row],[Geographic Scope]],": ",Table13[[#This Row],[Content Type]])</f>
        <v>State: Current News &amp; Events</v>
      </c>
      <c r="I188" s="55">
        <f>Table13[[#This Row],[Total Contributed Income]]+Table13[[#This Row],[Total Earned Income]]</f>
        <v>565000</v>
      </c>
      <c r="J188" s="55">
        <f>Table13[[#This Row],[Cont. Income - Foundation]]+Table13[[#This Row],[Cont. Income - Membership]]+Table13[[#This Row],[Cont. Income - Small Donors]]+Table13[[#This Row],[Cont. Income - Med. Donors]]+Table13[[#This Row],[Cont. Income - Major Donors]]+Table13[[#This Row],[Cont. Income - Other]]</f>
        <v>474000</v>
      </c>
      <c r="K188" s="55">
        <f>Table13[[#This Row],[Earned Income - Advertising]]+Table13[[#This Row],[Earned Income - Sponsorships/Underwriting]]+Table13[[#This Row],[Earned Income - Events]]+Table13[[#This Row],[Earned Income - Subscriptions]]+Table13[[#This Row],[Earned Income - Syndication]]+Table13[[#This Row],[Earned Income - Other]]</f>
        <v>91000</v>
      </c>
      <c r="L188" s="56">
        <v>451000</v>
      </c>
      <c r="M188" s="56">
        <v>0</v>
      </c>
      <c r="N188" s="71">
        <f>SUM(Table13[[#This Row],[Cont. Income - Small Donors]:[Cont. Income - Major Donors]])</f>
        <v>23000</v>
      </c>
      <c r="O188" s="56">
        <v>21500</v>
      </c>
      <c r="P188" s="56">
        <v>1500</v>
      </c>
      <c r="Q188" s="56">
        <v>0</v>
      </c>
      <c r="R188" s="56">
        <v>0</v>
      </c>
      <c r="T188" s="56">
        <v>0</v>
      </c>
      <c r="U188" s="56">
        <v>12000</v>
      </c>
      <c r="V188" s="56">
        <v>0</v>
      </c>
      <c r="W188" s="56">
        <v>0</v>
      </c>
      <c r="X188" s="56">
        <v>0</v>
      </c>
      <c r="Y188" s="56">
        <v>79000</v>
      </c>
      <c r="Z188" s="54" t="s">
        <v>559</v>
      </c>
      <c r="AA188" s="55">
        <f>Table13[[#This Row],[Expenses - Editorial]]+Table13[[#This Row],[Expenses - Revenue Generation]]+Table13[[#This Row],[Expenses - Tech]]+Table13[[#This Row],[Expenses - Admin]]</f>
        <v>429000</v>
      </c>
      <c r="AB188" s="56">
        <v>328000</v>
      </c>
      <c r="AC188" s="71">
        <f>SUM(Table13[[#This Row],[Expenses - Revenue Generation]:[Expenses - Admin]])</f>
        <v>101000</v>
      </c>
      <c r="AD188" s="56">
        <v>35000</v>
      </c>
      <c r="AE188" s="56">
        <v>15000</v>
      </c>
      <c r="AF188" s="56">
        <v>51000</v>
      </c>
      <c r="AG188" s="59">
        <f>Table13[[#This Row],[Total FTE - Editorial]]+Table13[[#This Row],[Total FTE - Non-Editorial]]</f>
        <v>1</v>
      </c>
      <c r="AH188" s="59">
        <f>Table13[[#This Row],[FTE Salaried - Editorial]]+Table13[[#This Row],[FTE Contractors - Editorial]]</f>
        <v>1</v>
      </c>
      <c r="AI188" s="57">
        <v>1</v>
      </c>
      <c r="AJ188" s="57">
        <v>0</v>
      </c>
      <c r="AK188" s="60">
        <f>Table13[[#This Row],[FTE Salaried - Non-Editorial]]+Table13[[#This Row],[FTE Contractors - Non-Editorial]]</f>
        <v>0</v>
      </c>
      <c r="AL188" s="57">
        <v>0</v>
      </c>
      <c r="AM188" s="57">
        <v>0</v>
      </c>
      <c r="AN188" s="54" t="s">
        <v>347</v>
      </c>
      <c r="AO188" s="54" t="s">
        <v>363</v>
      </c>
      <c r="AQ188" s="57">
        <v>37719</v>
      </c>
      <c r="AR188" s="57">
        <v>8500</v>
      </c>
      <c r="AS188" s="57">
        <v>42000</v>
      </c>
      <c r="AT188" s="57">
        <v>1</v>
      </c>
      <c r="AU188" s="57">
        <v>0</v>
      </c>
      <c r="AV188" s="57">
        <v>0</v>
      </c>
      <c r="AW188" s="57">
        <v>0</v>
      </c>
      <c r="AX188" s="57"/>
      <c r="AY188" s="57">
        <v>0</v>
      </c>
    </row>
    <row r="189" spans="1:51" x14ac:dyDescent="0.2">
      <c r="A189" s="54">
        <v>441</v>
      </c>
      <c r="B189" s="54">
        <v>2010</v>
      </c>
      <c r="C189" s="91" t="s">
        <v>82</v>
      </c>
      <c r="D189" s="54" t="s">
        <v>83</v>
      </c>
      <c r="E189" s="54" t="s">
        <v>78</v>
      </c>
      <c r="F189" s="54" t="str">
        <f>_xlfn.CONCAT(Table13[[#This Row],[Geographic Scope]],": ",Table13[[#This Row],[Sub-Type/Focus]])</f>
        <v>State: Multiple Related Topics</v>
      </c>
      <c r="G189" s="54" t="str">
        <f>_xlfn.CONCAT(Table13[[#This Row],[Geographic Scope]],": ",Table13[[#This Row],[Sub-Type/Focus]],": ",Table13[[#This Row],[Content Type]])</f>
        <v>State: Multiple Related Topics: Current News &amp; Events</v>
      </c>
      <c r="H189" s="54" t="str">
        <f>_xlfn.CONCAT(Table13[[#This Row],[Geographic Scope]],": ",Table13[[#This Row],[Content Type]])</f>
        <v>State: Current News &amp; Events</v>
      </c>
      <c r="I189" s="55">
        <f>Table13[[#This Row],[Total Contributed Income]]+Table13[[#This Row],[Total Earned Income]]</f>
        <v>511026</v>
      </c>
      <c r="J189" s="55">
        <f>Table13[[#This Row],[Cont. Income - Foundation]]+Table13[[#This Row],[Cont. Income - Membership]]+Table13[[#This Row],[Cont. Income - Small Donors]]+Table13[[#This Row],[Cont. Income - Med. Donors]]+Table13[[#This Row],[Cont. Income - Major Donors]]+Table13[[#This Row],[Cont. Income - Other]]</f>
        <v>511026</v>
      </c>
      <c r="K189" s="55">
        <f>Table13[[#This Row],[Earned Income - Advertising]]+Table13[[#This Row],[Earned Income - Sponsorships/Underwriting]]+Table13[[#This Row],[Earned Income - Events]]+Table13[[#This Row],[Earned Income - Subscriptions]]+Table13[[#This Row],[Earned Income - Syndication]]+Table13[[#This Row],[Earned Income - Other]]</f>
        <v>0</v>
      </c>
      <c r="L189" s="56">
        <v>341000</v>
      </c>
      <c r="M189" s="56">
        <v>0</v>
      </c>
      <c r="N189" s="71">
        <f>SUM(Table13[[#This Row],[Cont. Income - Small Donors]:[Cont. Income - Major Donors]])</f>
        <v>170026</v>
      </c>
      <c r="O189" s="56">
        <v>94776</v>
      </c>
      <c r="P189" s="56">
        <v>4000</v>
      </c>
      <c r="Q189" s="56">
        <v>71250</v>
      </c>
      <c r="R189" s="56">
        <v>0</v>
      </c>
      <c r="T189" s="56">
        <v>0</v>
      </c>
      <c r="U189" s="56">
        <v>0</v>
      </c>
      <c r="V189" s="56">
        <v>0</v>
      </c>
      <c r="W189" s="56">
        <v>0</v>
      </c>
      <c r="X189" s="56">
        <v>0</v>
      </c>
      <c r="Y189" s="56">
        <v>0</v>
      </c>
      <c r="AA189" s="55">
        <f>Table13[[#This Row],[Expenses - Editorial]]+Table13[[#This Row],[Expenses - Revenue Generation]]+Table13[[#This Row],[Expenses - Tech]]+Table13[[#This Row],[Expenses - Admin]]</f>
        <v>402596</v>
      </c>
      <c r="AB189" s="56">
        <v>280709</v>
      </c>
      <c r="AC189" s="71">
        <f>SUM(Table13[[#This Row],[Expenses - Revenue Generation]:[Expenses - Admin]])</f>
        <v>121887</v>
      </c>
      <c r="AD189" s="56">
        <v>56438</v>
      </c>
      <c r="AE189" s="56">
        <v>16013</v>
      </c>
      <c r="AF189" s="56">
        <v>49436</v>
      </c>
      <c r="AG189" s="59">
        <f>Table13[[#This Row],[Total FTE - Editorial]]+Table13[[#This Row],[Total FTE - Non-Editorial]]</f>
        <v>5</v>
      </c>
      <c r="AH189" s="59">
        <f>Table13[[#This Row],[FTE Salaried - Editorial]]+Table13[[#This Row],[FTE Contractors - Editorial]]</f>
        <v>5</v>
      </c>
      <c r="AI189" s="57">
        <v>4.5</v>
      </c>
      <c r="AJ189" s="57">
        <v>0.5</v>
      </c>
      <c r="AK189" s="60">
        <f>Table13[[#This Row],[FTE Salaried - Non-Editorial]]+Table13[[#This Row],[FTE Contractors - Non-Editorial]]</f>
        <v>0</v>
      </c>
      <c r="AL189" s="57">
        <v>0</v>
      </c>
      <c r="AM189" s="57">
        <v>0</v>
      </c>
      <c r="AN189" s="54" t="s">
        <v>352</v>
      </c>
      <c r="AO189" s="54" t="s">
        <v>429</v>
      </c>
      <c r="AQ189" s="57">
        <v>18750</v>
      </c>
      <c r="AR189" s="57">
        <v>4800</v>
      </c>
      <c r="AS189" s="57">
        <v>0</v>
      </c>
      <c r="AT189" s="57">
        <v>0</v>
      </c>
      <c r="AU189" s="57">
        <v>0</v>
      </c>
      <c r="AV189" s="57">
        <v>0</v>
      </c>
      <c r="AW189" s="57">
        <v>0</v>
      </c>
      <c r="AX189" s="57"/>
      <c r="AY189" s="57">
        <v>0</v>
      </c>
    </row>
    <row r="190" spans="1:51" x14ac:dyDescent="0.2">
      <c r="A190" s="54">
        <v>2914</v>
      </c>
      <c r="B190" s="54">
        <v>2019</v>
      </c>
      <c r="C190" s="91" t="s">
        <v>82</v>
      </c>
      <c r="D190" s="54" t="s">
        <v>83</v>
      </c>
      <c r="E190" s="54" t="s">
        <v>78</v>
      </c>
      <c r="F190" s="54" t="str">
        <f>_xlfn.CONCAT(Table13[[#This Row],[Geographic Scope]],": ",Table13[[#This Row],[Sub-Type/Focus]])</f>
        <v>State: Multiple Related Topics</v>
      </c>
      <c r="G190" s="54" t="str">
        <f>_xlfn.CONCAT(Table13[[#This Row],[Geographic Scope]],": ",Table13[[#This Row],[Sub-Type/Focus]],": ",Table13[[#This Row],[Content Type]])</f>
        <v>State: Multiple Related Topics: Current News &amp; Events</v>
      </c>
      <c r="H190" s="54" t="str">
        <f>_xlfn.CONCAT(Table13[[#This Row],[Geographic Scope]],": ",Table13[[#This Row],[Content Type]])</f>
        <v>State: Current News &amp; Events</v>
      </c>
      <c r="I190" s="55">
        <f>Table13[[#This Row],[Total Contributed Income]]+Table13[[#This Row],[Total Earned Income]]</f>
        <v>221903.5</v>
      </c>
      <c r="J190" s="55">
        <f>Table13[[#This Row],[Cont. Income - Foundation]]+Table13[[#This Row],[Cont. Income - Membership]]+Table13[[#This Row],[Cont. Income - Small Donors]]+Table13[[#This Row],[Cont. Income - Med. Donors]]+Table13[[#This Row],[Cont. Income - Major Donors]]+Table13[[#This Row],[Cont. Income - Other]]</f>
        <v>221903.5</v>
      </c>
      <c r="K190" s="55">
        <f>Table13[[#This Row],[Earned Income - Advertising]]+Table13[[#This Row],[Earned Income - Sponsorships/Underwriting]]+Table13[[#This Row],[Earned Income - Events]]+Table13[[#This Row],[Earned Income - Subscriptions]]+Table13[[#This Row],[Earned Income - Syndication]]+Table13[[#This Row],[Earned Income - Other]]</f>
        <v>0</v>
      </c>
      <c r="L190" s="56">
        <v>123297.5</v>
      </c>
      <c r="M190" s="56">
        <v>0</v>
      </c>
      <c r="N190" s="71">
        <f>SUM(Table13[[#This Row],[Cont. Income - Small Donors]:[Cont. Income - Major Donors]])</f>
        <v>98606</v>
      </c>
      <c r="O190" s="56">
        <v>21606</v>
      </c>
      <c r="P190" s="56">
        <v>12000</v>
      </c>
      <c r="Q190" s="56">
        <v>65000</v>
      </c>
      <c r="R190" s="56">
        <v>0</v>
      </c>
      <c r="T190" s="56">
        <v>0</v>
      </c>
      <c r="U190" s="56">
        <v>0</v>
      </c>
      <c r="V190" s="56">
        <v>0</v>
      </c>
      <c r="W190" s="56">
        <v>0</v>
      </c>
      <c r="X190" s="56">
        <v>0</v>
      </c>
      <c r="Y190" s="56">
        <v>0</v>
      </c>
      <c r="AA190" s="55">
        <f>Table13[[#This Row],[Expenses - Editorial]]+Table13[[#This Row],[Expenses - Revenue Generation]]+Table13[[#This Row],[Expenses - Tech]]+Table13[[#This Row],[Expenses - Admin]]</f>
        <v>231820</v>
      </c>
      <c r="AB190" s="56">
        <v>188020</v>
      </c>
      <c r="AC190" s="71">
        <f>SUM(Table13[[#This Row],[Expenses - Revenue Generation]:[Expenses - Admin]])</f>
        <v>43800</v>
      </c>
      <c r="AD190" s="56">
        <v>9000</v>
      </c>
      <c r="AE190" s="56">
        <v>16000</v>
      </c>
      <c r="AF190" s="56">
        <v>18800</v>
      </c>
      <c r="AG190" s="59">
        <f>Table13[[#This Row],[Total FTE - Editorial]]+Table13[[#This Row],[Total FTE - Non-Editorial]]</f>
        <v>3</v>
      </c>
      <c r="AH190" s="59">
        <f>Table13[[#This Row],[FTE Salaried - Editorial]]+Table13[[#This Row],[FTE Contractors - Editorial]]</f>
        <v>2</v>
      </c>
      <c r="AI190" s="57">
        <v>2</v>
      </c>
      <c r="AJ190" s="57">
        <v>0</v>
      </c>
      <c r="AK190" s="60">
        <f>Table13[[#This Row],[FTE Salaried - Non-Editorial]]+Table13[[#This Row],[FTE Contractors - Non-Editorial]]</f>
        <v>1</v>
      </c>
      <c r="AL190" s="57">
        <v>1</v>
      </c>
      <c r="AM190" s="57">
        <v>0</v>
      </c>
      <c r="AN190" s="54" t="s">
        <v>347</v>
      </c>
      <c r="AO190" s="54" t="s">
        <v>363</v>
      </c>
      <c r="AQ190" s="57">
        <v>11220</v>
      </c>
      <c r="AR190" s="57">
        <v>1400</v>
      </c>
      <c r="AS190" s="57">
        <v>0</v>
      </c>
      <c r="AT190" s="57">
        <v>0</v>
      </c>
      <c r="AU190" s="57">
        <v>0</v>
      </c>
      <c r="AV190" s="57">
        <v>0</v>
      </c>
      <c r="AW190" s="57">
        <v>0</v>
      </c>
      <c r="AX190" s="57"/>
      <c r="AY190" s="57">
        <v>0</v>
      </c>
    </row>
    <row r="191" spans="1:51" x14ac:dyDescent="0.2">
      <c r="A191" s="54">
        <v>6827</v>
      </c>
      <c r="B191" s="54">
        <v>2020</v>
      </c>
      <c r="C191" s="91" t="s">
        <v>82</v>
      </c>
      <c r="D191" s="54" t="s">
        <v>83</v>
      </c>
      <c r="E191" s="54" t="s">
        <v>78</v>
      </c>
      <c r="F191" s="54" t="str">
        <f>_xlfn.CONCAT(Table13[[#This Row],[Geographic Scope]],": ",Table13[[#This Row],[Sub-Type/Focus]])</f>
        <v>State: Multiple Related Topics</v>
      </c>
      <c r="G191" s="54" t="str">
        <f>_xlfn.CONCAT(Table13[[#This Row],[Geographic Scope]],": ",Table13[[#This Row],[Sub-Type/Focus]],": ",Table13[[#This Row],[Content Type]])</f>
        <v>State: Multiple Related Topics: Current News &amp; Events</v>
      </c>
      <c r="H191" s="54" t="str">
        <f>_xlfn.CONCAT(Table13[[#This Row],[Geographic Scope]],": ",Table13[[#This Row],[Content Type]])</f>
        <v>State: Current News &amp; Events</v>
      </c>
      <c r="I191" s="55">
        <f>Table13[[#This Row],[Total Contributed Income]]+Table13[[#This Row],[Total Earned Income]]</f>
        <v>0</v>
      </c>
      <c r="J191" s="55">
        <f>Table13[[#This Row],[Cont. Income - Foundation]]+Table13[[#This Row],[Cont. Income - Membership]]+Table13[[#This Row],[Cont. Income - Small Donors]]+Table13[[#This Row],[Cont. Income - Med. Donors]]+Table13[[#This Row],[Cont. Income - Major Donors]]+Table13[[#This Row],[Cont. Income - Other]]</f>
        <v>0</v>
      </c>
      <c r="K191" s="55">
        <f>Table13[[#This Row],[Earned Income - Advertising]]+Table13[[#This Row],[Earned Income - Sponsorships/Underwriting]]+Table13[[#This Row],[Earned Income - Events]]+Table13[[#This Row],[Earned Income - Subscriptions]]+Table13[[#This Row],[Earned Income - Syndication]]+Table13[[#This Row],[Earned Income - Other]]</f>
        <v>0</v>
      </c>
      <c r="L191" s="56"/>
      <c r="M191" s="56"/>
      <c r="N191" s="71">
        <f>SUM(Table13[[#This Row],[Cont. Income - Small Donors]:[Cont. Income - Major Donors]])</f>
        <v>0</v>
      </c>
      <c r="O191" s="56"/>
      <c r="P191" s="56"/>
      <c r="Q191" s="56"/>
      <c r="R191" s="56"/>
      <c r="T191" s="56"/>
      <c r="U191" s="56"/>
      <c r="V191" s="56"/>
      <c r="W191" s="56"/>
      <c r="X191" s="56"/>
      <c r="Y191" s="56"/>
      <c r="AA191" s="55">
        <f>Table13[[#This Row],[Expenses - Editorial]]+Table13[[#This Row],[Expenses - Revenue Generation]]+Table13[[#This Row],[Expenses - Tech]]+Table13[[#This Row],[Expenses - Admin]]</f>
        <v>0</v>
      </c>
      <c r="AB191" s="57"/>
      <c r="AC191" s="71">
        <f>SUM(Table13[[#This Row],[Expenses - Revenue Generation]:[Expenses - Admin]])</f>
        <v>0</v>
      </c>
      <c r="AD191" s="57"/>
      <c r="AE191" s="57"/>
      <c r="AF191" s="57"/>
      <c r="AG191" s="59">
        <f>Table13[[#This Row],[Total FTE - Editorial]]+Table13[[#This Row],[Total FTE - Non-Editorial]]</f>
        <v>6</v>
      </c>
      <c r="AH191" s="59">
        <f>Table13[[#This Row],[FTE Salaried - Editorial]]+Table13[[#This Row],[FTE Contractors - Editorial]]</f>
        <v>6</v>
      </c>
      <c r="AI191" s="57">
        <v>2</v>
      </c>
      <c r="AJ191" s="57">
        <v>4</v>
      </c>
      <c r="AK191" s="60">
        <f>Table13[[#This Row],[FTE Salaried - Non-Editorial]]+Table13[[#This Row],[FTE Contractors - Non-Editorial]]</f>
        <v>0</v>
      </c>
      <c r="AL191" s="57">
        <v>0</v>
      </c>
      <c r="AM191" s="57">
        <v>0</v>
      </c>
      <c r="AN191" s="54" t="s">
        <v>351</v>
      </c>
      <c r="AO191" s="54" t="s">
        <v>356</v>
      </c>
      <c r="AP191" s="54" t="s">
        <v>560</v>
      </c>
      <c r="AQ191" s="57">
        <v>15000</v>
      </c>
      <c r="AR191" s="57">
        <v>3000</v>
      </c>
      <c r="AS191" s="57">
        <v>0</v>
      </c>
      <c r="AT191" s="57">
        <v>0</v>
      </c>
      <c r="AU191" s="57">
        <v>0</v>
      </c>
      <c r="AV191" s="57">
        <v>0</v>
      </c>
      <c r="AW191" s="57">
        <v>0</v>
      </c>
      <c r="AX191" s="57"/>
      <c r="AY191" s="57">
        <v>0</v>
      </c>
    </row>
    <row r="192" spans="1:51" x14ac:dyDescent="0.2">
      <c r="A192" s="54">
        <v>2497</v>
      </c>
      <c r="B192" s="54">
        <v>2019</v>
      </c>
      <c r="C192" s="91" t="s">
        <v>82</v>
      </c>
      <c r="D192" s="54" t="s">
        <v>83</v>
      </c>
      <c r="E192" s="54" t="s">
        <v>79</v>
      </c>
      <c r="F192" s="54" t="str">
        <f>_xlfn.CONCAT(Table13[[#This Row],[Geographic Scope]],": ",Table13[[#This Row],[Sub-Type/Focus]])</f>
        <v>State: Single-Topic</v>
      </c>
      <c r="G192" s="54" t="str">
        <f>_xlfn.CONCAT(Table13[[#This Row],[Geographic Scope]],": ",Table13[[#This Row],[Sub-Type/Focus]],": ",Table13[[#This Row],[Content Type]])</f>
        <v>State: Single-Topic: Current News &amp; Events</v>
      </c>
      <c r="H192" s="54" t="str">
        <f>_xlfn.CONCAT(Table13[[#This Row],[Geographic Scope]],": ",Table13[[#This Row],[Content Type]])</f>
        <v>State: Current News &amp; Events</v>
      </c>
      <c r="I192" s="55">
        <f>Table13[[#This Row],[Total Contributed Income]]+Table13[[#This Row],[Total Earned Income]]</f>
        <v>36260</v>
      </c>
      <c r="J192" s="55">
        <f>Table13[[#This Row],[Cont. Income - Foundation]]+Table13[[#This Row],[Cont. Income - Membership]]+Table13[[#This Row],[Cont. Income - Small Donors]]+Table13[[#This Row],[Cont. Income - Med. Donors]]+Table13[[#This Row],[Cont. Income - Major Donors]]+Table13[[#This Row],[Cont. Income - Other]]</f>
        <v>35660</v>
      </c>
      <c r="K192" s="55">
        <f>Table13[[#This Row],[Earned Income - Advertising]]+Table13[[#This Row],[Earned Income - Sponsorships/Underwriting]]+Table13[[#This Row],[Earned Income - Events]]+Table13[[#This Row],[Earned Income - Subscriptions]]+Table13[[#This Row],[Earned Income - Syndication]]+Table13[[#This Row],[Earned Income - Other]]</f>
        <v>600</v>
      </c>
      <c r="L192" s="56">
        <v>0</v>
      </c>
      <c r="M192" s="56">
        <v>0</v>
      </c>
      <c r="N192" s="71">
        <f>SUM(Table13[[#This Row],[Cont. Income - Small Donors]:[Cont. Income - Major Donors]])</f>
        <v>35660</v>
      </c>
      <c r="O192" s="56">
        <v>31660</v>
      </c>
      <c r="P192" s="56">
        <v>4000</v>
      </c>
      <c r="Q192" s="56">
        <v>0</v>
      </c>
      <c r="R192" s="56">
        <v>0</v>
      </c>
      <c r="T192" s="56">
        <v>600</v>
      </c>
      <c r="U192" s="56">
        <v>0</v>
      </c>
      <c r="V192" s="56">
        <v>0</v>
      </c>
      <c r="W192" s="56">
        <v>0</v>
      </c>
      <c r="X192" s="56">
        <v>0</v>
      </c>
      <c r="Y192" s="56">
        <v>0</v>
      </c>
      <c r="AA192" s="55">
        <f>Table13[[#This Row],[Expenses - Editorial]]+Table13[[#This Row],[Expenses - Revenue Generation]]+Table13[[#This Row],[Expenses - Tech]]+Table13[[#This Row],[Expenses - Admin]]</f>
        <v>18180</v>
      </c>
      <c r="AB192" s="56">
        <v>7000</v>
      </c>
      <c r="AC192" s="71">
        <f>SUM(Table13[[#This Row],[Expenses - Revenue Generation]:[Expenses - Admin]])</f>
        <v>11180</v>
      </c>
      <c r="AD192" s="56">
        <v>110</v>
      </c>
      <c r="AE192" s="56">
        <v>4200</v>
      </c>
      <c r="AF192" s="56">
        <v>6870</v>
      </c>
      <c r="AG192" s="59">
        <f>Table13[[#This Row],[Total FTE - Editorial]]+Table13[[#This Row],[Total FTE - Non-Editorial]]</f>
        <v>0.1</v>
      </c>
      <c r="AH192" s="59">
        <f>Table13[[#This Row],[FTE Salaried - Editorial]]+Table13[[#This Row],[FTE Contractors - Editorial]]</f>
        <v>0.1</v>
      </c>
      <c r="AI192" s="57">
        <v>0</v>
      </c>
      <c r="AJ192" s="57">
        <v>0.1</v>
      </c>
      <c r="AK192" s="60">
        <f>Table13[[#This Row],[FTE Salaried - Non-Editorial]]+Table13[[#This Row],[FTE Contractors - Non-Editorial]]</f>
        <v>0</v>
      </c>
      <c r="AL192" s="57">
        <v>0</v>
      </c>
      <c r="AM192" s="57">
        <v>0</v>
      </c>
      <c r="AN192" s="54" t="s">
        <v>352</v>
      </c>
      <c r="AO192" s="54" t="s">
        <v>495</v>
      </c>
      <c r="AQ192" s="57">
        <v>3171</v>
      </c>
      <c r="AR192" s="57">
        <v>5000</v>
      </c>
      <c r="AS192" s="57">
        <v>0</v>
      </c>
      <c r="AT192" s="57">
        <v>0</v>
      </c>
      <c r="AU192" s="57">
        <v>0</v>
      </c>
      <c r="AV192" s="57">
        <v>0</v>
      </c>
      <c r="AW192" s="57">
        <v>0</v>
      </c>
      <c r="AX192" s="57"/>
      <c r="AY192" s="57">
        <v>0</v>
      </c>
    </row>
    <row r="193" spans="1:51" x14ac:dyDescent="0.2">
      <c r="A193" s="54">
        <v>340</v>
      </c>
      <c r="B193" s="54">
        <v>2011</v>
      </c>
      <c r="C193" s="91" t="s">
        <v>80</v>
      </c>
      <c r="D193" s="54" t="s">
        <v>83</v>
      </c>
      <c r="E193" s="54" t="s">
        <v>77</v>
      </c>
      <c r="F193" s="54" t="str">
        <f>_xlfn.CONCAT(Table13[[#This Row],[Geographic Scope]],": ",Table13[[#This Row],[Sub-Type/Focus]])</f>
        <v>State: General</v>
      </c>
      <c r="G193" s="54" t="str">
        <f>_xlfn.CONCAT(Table13[[#This Row],[Geographic Scope]],": ",Table13[[#This Row],[Sub-Type/Focus]],": ",Table13[[#This Row],[Content Type]])</f>
        <v>State: General: Explanatory &amp; Analysis</v>
      </c>
      <c r="H193" s="54" t="str">
        <f>_xlfn.CONCAT(Table13[[#This Row],[Geographic Scope]],": ",Table13[[#This Row],[Content Type]])</f>
        <v>State: Explanatory &amp; Analysis</v>
      </c>
      <c r="I193" s="55">
        <f>Table13[[#This Row],[Total Contributed Income]]+Table13[[#This Row],[Total Earned Income]]</f>
        <v>2906155</v>
      </c>
      <c r="J193" s="55">
        <f>Table13[[#This Row],[Cont. Income - Foundation]]+Table13[[#This Row],[Cont. Income - Membership]]+Table13[[#This Row],[Cont. Income - Small Donors]]+Table13[[#This Row],[Cont. Income - Med. Donors]]+Table13[[#This Row],[Cont. Income - Major Donors]]+Table13[[#This Row],[Cont. Income - Other]]</f>
        <v>2658705</v>
      </c>
      <c r="K193" s="55">
        <f>Table13[[#This Row],[Earned Income - Advertising]]+Table13[[#This Row],[Earned Income - Sponsorships/Underwriting]]+Table13[[#This Row],[Earned Income - Events]]+Table13[[#This Row],[Earned Income - Subscriptions]]+Table13[[#This Row],[Earned Income - Syndication]]+Table13[[#This Row],[Earned Income - Other]]</f>
        <v>247450</v>
      </c>
      <c r="L193" s="56">
        <v>788000</v>
      </c>
      <c r="M193" s="56">
        <v>766705</v>
      </c>
      <c r="N193" s="71">
        <f>SUM(Table13[[#This Row],[Cont. Income - Small Donors]:[Cont. Income - Major Donors]])</f>
        <v>1104000</v>
      </c>
      <c r="O193" s="56">
        <v>0</v>
      </c>
      <c r="P193" s="56">
        <v>0</v>
      </c>
      <c r="Q193" s="56">
        <v>1104000</v>
      </c>
      <c r="R193" s="56">
        <v>0</v>
      </c>
      <c r="T193" s="56">
        <v>0</v>
      </c>
      <c r="U193" s="56">
        <v>97500</v>
      </c>
      <c r="V193" s="56">
        <v>0</v>
      </c>
      <c r="W193" s="56">
        <v>0</v>
      </c>
      <c r="X193" s="56">
        <v>132600</v>
      </c>
      <c r="Y193" s="56">
        <v>17350</v>
      </c>
      <c r="Z193" s="54" t="s">
        <v>561</v>
      </c>
      <c r="AA193" s="55">
        <f>Table13[[#This Row],[Expenses - Editorial]]+Table13[[#This Row],[Expenses - Revenue Generation]]+Table13[[#This Row],[Expenses - Tech]]+Table13[[#This Row],[Expenses - Admin]]</f>
        <v>2511400</v>
      </c>
      <c r="AB193" s="56">
        <v>1689000</v>
      </c>
      <c r="AC193" s="71">
        <f>SUM(Table13[[#This Row],[Expenses - Revenue Generation]:[Expenses - Admin]])</f>
        <v>822400</v>
      </c>
      <c r="AD193" s="56">
        <v>296400</v>
      </c>
      <c r="AE193" s="56">
        <v>29000</v>
      </c>
      <c r="AF193" s="56">
        <v>497000</v>
      </c>
      <c r="AG193" s="59">
        <f>Table13[[#This Row],[Total FTE - Editorial]]+Table13[[#This Row],[Total FTE - Non-Editorial]]</f>
        <v>18</v>
      </c>
      <c r="AH193" s="59">
        <f>Table13[[#This Row],[FTE Salaried - Editorial]]+Table13[[#This Row],[FTE Contractors - Editorial]]</f>
        <v>12</v>
      </c>
      <c r="AI193" s="57">
        <v>10</v>
      </c>
      <c r="AJ193" s="57">
        <v>2</v>
      </c>
      <c r="AK193" s="60">
        <f>Table13[[#This Row],[FTE Salaried - Non-Editorial]]+Table13[[#This Row],[FTE Contractors - Non-Editorial]]</f>
        <v>6</v>
      </c>
      <c r="AL193" s="57">
        <v>5</v>
      </c>
      <c r="AM193" s="57">
        <v>1</v>
      </c>
      <c r="AN193" s="54" t="s">
        <v>351</v>
      </c>
      <c r="AQ193" s="57">
        <v>1478712</v>
      </c>
      <c r="AR193" s="57">
        <v>90513</v>
      </c>
      <c r="AS193" s="57">
        <v>0</v>
      </c>
      <c r="AT193" s="57">
        <v>0</v>
      </c>
      <c r="AU193" s="57">
        <v>0</v>
      </c>
      <c r="AV193" s="57">
        <v>0</v>
      </c>
      <c r="AW193" s="57">
        <v>0</v>
      </c>
      <c r="AX193" s="57"/>
      <c r="AY193" s="57">
        <v>0</v>
      </c>
    </row>
    <row r="194" spans="1:51" x14ac:dyDescent="0.2">
      <c r="A194" s="54">
        <v>431</v>
      </c>
      <c r="B194" s="54">
        <v>2015</v>
      </c>
      <c r="C194" s="91" t="s">
        <v>80</v>
      </c>
      <c r="D194" s="54" t="s">
        <v>83</v>
      </c>
      <c r="E194" s="54" t="s">
        <v>77</v>
      </c>
      <c r="F194" s="54" t="str">
        <f>_xlfn.CONCAT(Table13[[#This Row],[Geographic Scope]],": ",Table13[[#This Row],[Sub-Type/Focus]])</f>
        <v>State: General</v>
      </c>
      <c r="G194" s="54" t="str">
        <f>_xlfn.CONCAT(Table13[[#This Row],[Geographic Scope]],": ",Table13[[#This Row],[Sub-Type/Focus]],": ",Table13[[#This Row],[Content Type]])</f>
        <v>State: General: Explanatory &amp; Analysis</v>
      </c>
      <c r="H194" s="54" t="str">
        <f>_xlfn.CONCAT(Table13[[#This Row],[Geographic Scope]],": ",Table13[[#This Row],[Content Type]])</f>
        <v>State: Explanatory &amp; Analysis</v>
      </c>
      <c r="I194" s="55">
        <f>Table13[[#This Row],[Total Contributed Income]]+Table13[[#This Row],[Total Earned Income]]</f>
        <v>288328.63</v>
      </c>
      <c r="J194" s="55">
        <f>Table13[[#This Row],[Cont. Income - Foundation]]+Table13[[#This Row],[Cont. Income - Membership]]+Table13[[#This Row],[Cont. Income - Small Donors]]+Table13[[#This Row],[Cont. Income - Med. Donors]]+Table13[[#This Row],[Cont. Income - Major Donors]]+Table13[[#This Row],[Cont. Income - Other]]</f>
        <v>111285.82</v>
      </c>
      <c r="K194" s="55">
        <f>Table13[[#This Row],[Earned Income - Advertising]]+Table13[[#This Row],[Earned Income - Sponsorships/Underwriting]]+Table13[[#This Row],[Earned Income - Events]]+Table13[[#This Row],[Earned Income - Subscriptions]]+Table13[[#This Row],[Earned Income - Syndication]]+Table13[[#This Row],[Earned Income - Other]]</f>
        <v>177042.81</v>
      </c>
      <c r="L194" s="56">
        <v>87850</v>
      </c>
      <c r="M194" s="56">
        <v>0</v>
      </c>
      <c r="N194" s="71">
        <f>SUM(Table13[[#This Row],[Cont. Income - Small Donors]:[Cont. Income - Major Donors]])</f>
        <v>23435.82</v>
      </c>
      <c r="O194" s="56">
        <v>12435.82</v>
      </c>
      <c r="P194" s="56">
        <v>1000</v>
      </c>
      <c r="Q194" s="56">
        <v>10000</v>
      </c>
      <c r="R194" s="56">
        <v>0</v>
      </c>
      <c r="T194" s="56">
        <v>0</v>
      </c>
      <c r="U194" s="56">
        <v>149975.04000000001</v>
      </c>
      <c r="V194" s="56">
        <v>27067.77</v>
      </c>
      <c r="W194" s="56">
        <v>0</v>
      </c>
      <c r="X194" s="56">
        <v>0</v>
      </c>
      <c r="Y194" s="56">
        <v>0</v>
      </c>
      <c r="AA194" s="55">
        <f>Table13[[#This Row],[Expenses - Editorial]]+Table13[[#This Row],[Expenses - Revenue Generation]]+Table13[[#This Row],[Expenses - Tech]]+Table13[[#This Row],[Expenses - Admin]]</f>
        <v>300173.11</v>
      </c>
      <c r="AB194" s="56">
        <v>256038.22</v>
      </c>
      <c r="AC194" s="71">
        <f>SUM(Table13[[#This Row],[Expenses - Revenue Generation]:[Expenses - Admin]])</f>
        <v>44134.89</v>
      </c>
      <c r="AD194" s="56">
        <v>1404.25</v>
      </c>
      <c r="AE194" s="56">
        <v>12469.5</v>
      </c>
      <c r="AF194" s="56">
        <v>30261.14</v>
      </c>
      <c r="AG194" s="59">
        <f>Table13[[#This Row],[Total FTE - Editorial]]+Table13[[#This Row],[Total FTE - Non-Editorial]]</f>
        <v>3</v>
      </c>
      <c r="AH194" s="59">
        <f>Table13[[#This Row],[FTE Salaried - Editorial]]+Table13[[#This Row],[FTE Contractors - Editorial]]</f>
        <v>3</v>
      </c>
      <c r="AI194" s="57">
        <v>3</v>
      </c>
      <c r="AJ194" s="57">
        <v>0</v>
      </c>
      <c r="AK194" s="60">
        <f>Table13[[#This Row],[FTE Salaried - Non-Editorial]]+Table13[[#This Row],[FTE Contractors - Non-Editorial]]</f>
        <v>0</v>
      </c>
      <c r="AL194" s="57">
        <v>0</v>
      </c>
      <c r="AM194" s="57">
        <v>0</v>
      </c>
      <c r="AN194" s="54" t="s">
        <v>347</v>
      </c>
      <c r="AO194" s="54" t="s">
        <v>363</v>
      </c>
      <c r="AQ194" s="57">
        <v>168043</v>
      </c>
      <c r="AR194" s="57">
        <v>5438</v>
      </c>
      <c r="AS194" s="57">
        <v>0</v>
      </c>
      <c r="AT194" s="57">
        <v>0</v>
      </c>
      <c r="AU194" s="57">
        <v>0</v>
      </c>
      <c r="AV194" s="57">
        <v>0</v>
      </c>
      <c r="AW194" s="57">
        <v>0</v>
      </c>
      <c r="AX194" s="57"/>
      <c r="AY194" s="57">
        <v>0</v>
      </c>
    </row>
    <row r="195" spans="1:51" x14ac:dyDescent="0.2">
      <c r="A195" s="54">
        <v>461</v>
      </c>
      <c r="B195" s="54">
        <v>2018</v>
      </c>
      <c r="C195" s="91" t="s">
        <v>80</v>
      </c>
      <c r="D195" s="54" t="s">
        <v>83</v>
      </c>
      <c r="E195" s="54" t="s">
        <v>77</v>
      </c>
      <c r="F195" s="54" t="str">
        <f>_xlfn.CONCAT(Table13[[#This Row],[Geographic Scope]],": ",Table13[[#This Row],[Sub-Type/Focus]])</f>
        <v>State: General</v>
      </c>
      <c r="G195" s="54" t="str">
        <f>_xlfn.CONCAT(Table13[[#This Row],[Geographic Scope]],": ",Table13[[#This Row],[Sub-Type/Focus]],": ",Table13[[#This Row],[Content Type]])</f>
        <v>State: General: Explanatory &amp; Analysis</v>
      </c>
      <c r="H195" s="54" t="str">
        <f>_xlfn.CONCAT(Table13[[#This Row],[Geographic Scope]],": ",Table13[[#This Row],[Content Type]])</f>
        <v>State: Explanatory &amp; Analysis</v>
      </c>
      <c r="I195" s="55">
        <f>Table13[[#This Row],[Total Contributed Income]]+Table13[[#This Row],[Total Earned Income]]</f>
        <v>308271.23</v>
      </c>
      <c r="J195" s="55">
        <f>Table13[[#This Row],[Cont. Income - Foundation]]+Table13[[#This Row],[Cont. Income - Membership]]+Table13[[#This Row],[Cont. Income - Small Donors]]+Table13[[#This Row],[Cont. Income - Med. Donors]]+Table13[[#This Row],[Cont. Income - Major Donors]]+Table13[[#This Row],[Cont. Income - Other]]</f>
        <v>308271.23</v>
      </c>
      <c r="K195" s="55">
        <f>Table13[[#This Row],[Earned Income - Advertising]]+Table13[[#This Row],[Earned Income - Sponsorships/Underwriting]]+Table13[[#This Row],[Earned Income - Events]]+Table13[[#This Row],[Earned Income - Subscriptions]]+Table13[[#This Row],[Earned Income - Syndication]]+Table13[[#This Row],[Earned Income - Other]]</f>
        <v>0</v>
      </c>
      <c r="L195" s="56">
        <v>75500</v>
      </c>
      <c r="M195" s="56">
        <v>0</v>
      </c>
      <c r="N195" s="71">
        <f>SUM(Table13[[#This Row],[Cont. Income - Small Donors]:[Cont. Income - Major Donors]])</f>
        <v>232771.23</v>
      </c>
      <c r="O195" s="56">
        <v>44546.23</v>
      </c>
      <c r="P195" s="56">
        <v>55325</v>
      </c>
      <c r="Q195" s="56">
        <v>132900</v>
      </c>
      <c r="R195" s="56">
        <v>0</v>
      </c>
      <c r="T195" s="56">
        <v>0</v>
      </c>
      <c r="U195" s="56">
        <v>0</v>
      </c>
      <c r="V195" s="56">
        <v>0</v>
      </c>
      <c r="W195" s="56">
        <v>0</v>
      </c>
      <c r="X195" s="56">
        <v>0</v>
      </c>
      <c r="Y195" s="56">
        <v>0</v>
      </c>
      <c r="AA195" s="55">
        <f>Table13[[#This Row],[Expenses - Editorial]]+Table13[[#This Row],[Expenses - Revenue Generation]]+Table13[[#This Row],[Expenses - Tech]]+Table13[[#This Row],[Expenses - Admin]]</f>
        <v>266391.42</v>
      </c>
      <c r="AB195" s="56">
        <v>0</v>
      </c>
      <c r="AC195" s="71">
        <f>SUM(Table13[[#This Row],[Expenses - Revenue Generation]:[Expenses - Admin]])</f>
        <v>266391.42</v>
      </c>
      <c r="AD195" s="56">
        <v>20903.21</v>
      </c>
      <c r="AE195" s="56">
        <v>600</v>
      </c>
      <c r="AF195" s="56">
        <v>244888.21</v>
      </c>
      <c r="AG195" s="59">
        <f>Table13[[#This Row],[Total FTE - Editorial]]+Table13[[#This Row],[Total FTE - Non-Editorial]]</f>
        <v>3</v>
      </c>
      <c r="AH195" s="59">
        <f>Table13[[#This Row],[FTE Salaried - Editorial]]+Table13[[#This Row],[FTE Contractors - Editorial]]</f>
        <v>2</v>
      </c>
      <c r="AI195" s="57">
        <v>2</v>
      </c>
      <c r="AJ195" s="57">
        <v>0</v>
      </c>
      <c r="AK195" s="60">
        <f>Table13[[#This Row],[FTE Salaried - Non-Editorial]]+Table13[[#This Row],[FTE Contractors - Non-Editorial]]</f>
        <v>1</v>
      </c>
      <c r="AL195" s="57">
        <v>1</v>
      </c>
      <c r="AM195" s="57">
        <v>0</v>
      </c>
      <c r="AN195" s="54" t="s">
        <v>352</v>
      </c>
      <c r="AO195" s="54" t="s">
        <v>495</v>
      </c>
      <c r="AQ195" s="57">
        <v>0</v>
      </c>
      <c r="AR195" s="57">
        <v>1200</v>
      </c>
      <c r="AS195" s="57">
        <v>0</v>
      </c>
      <c r="AT195" s="57">
        <v>0</v>
      </c>
      <c r="AU195" s="57">
        <v>0</v>
      </c>
      <c r="AV195" s="57">
        <v>0</v>
      </c>
      <c r="AW195" s="57">
        <v>0</v>
      </c>
      <c r="AX195" s="57"/>
      <c r="AY195" s="57">
        <v>0</v>
      </c>
    </row>
    <row r="196" spans="1:51" x14ac:dyDescent="0.2">
      <c r="A196" s="54">
        <v>485</v>
      </c>
      <c r="B196" s="54">
        <v>2009</v>
      </c>
      <c r="C196" s="91" t="s">
        <v>80</v>
      </c>
      <c r="D196" s="54" t="s">
        <v>83</v>
      </c>
      <c r="E196" s="54" t="s">
        <v>77</v>
      </c>
      <c r="F196" s="54" t="str">
        <f>_xlfn.CONCAT(Table13[[#This Row],[Geographic Scope]],": ",Table13[[#This Row],[Sub-Type/Focus]])</f>
        <v>State: General</v>
      </c>
      <c r="G196" s="54" t="str">
        <f>_xlfn.CONCAT(Table13[[#This Row],[Geographic Scope]],": ",Table13[[#This Row],[Sub-Type/Focus]],": ",Table13[[#This Row],[Content Type]])</f>
        <v>State: General: Explanatory &amp; Analysis</v>
      </c>
      <c r="H196" s="54" t="str">
        <f>_xlfn.CONCAT(Table13[[#This Row],[Geographic Scope]],": ",Table13[[#This Row],[Content Type]])</f>
        <v>State: Explanatory &amp; Analysis</v>
      </c>
      <c r="I196" s="55">
        <f>Table13[[#This Row],[Total Contributed Income]]+Table13[[#This Row],[Total Earned Income]]</f>
        <v>118945</v>
      </c>
      <c r="J196" s="55">
        <f>Table13[[#This Row],[Cont. Income - Foundation]]+Table13[[#This Row],[Cont. Income - Membership]]+Table13[[#This Row],[Cont. Income - Small Donors]]+Table13[[#This Row],[Cont. Income - Med. Donors]]+Table13[[#This Row],[Cont. Income - Major Donors]]+Table13[[#This Row],[Cont. Income - Other]]</f>
        <v>118945</v>
      </c>
      <c r="K196" s="55">
        <f>Table13[[#This Row],[Earned Income - Advertising]]+Table13[[#This Row],[Earned Income - Sponsorships/Underwriting]]+Table13[[#This Row],[Earned Income - Events]]+Table13[[#This Row],[Earned Income - Subscriptions]]+Table13[[#This Row],[Earned Income - Syndication]]+Table13[[#This Row],[Earned Income - Other]]</f>
        <v>0</v>
      </c>
      <c r="L196" s="56">
        <v>21385</v>
      </c>
      <c r="M196" s="56">
        <v>0</v>
      </c>
      <c r="N196" s="71">
        <f>SUM(Table13[[#This Row],[Cont. Income - Small Donors]:[Cont. Income - Major Donors]])</f>
        <v>97560</v>
      </c>
      <c r="O196" s="56">
        <v>17560</v>
      </c>
      <c r="P196" s="56">
        <v>12500</v>
      </c>
      <c r="Q196" s="56">
        <v>67500</v>
      </c>
      <c r="R196" s="56">
        <v>0</v>
      </c>
      <c r="T196" s="56">
        <v>0</v>
      </c>
      <c r="U196" s="56">
        <v>0</v>
      </c>
      <c r="V196" s="56">
        <v>0</v>
      </c>
      <c r="W196" s="56">
        <v>0</v>
      </c>
      <c r="X196" s="56">
        <v>0</v>
      </c>
      <c r="Y196" s="56">
        <v>0</v>
      </c>
      <c r="AA196" s="55">
        <f>Table13[[#This Row],[Expenses - Editorial]]+Table13[[#This Row],[Expenses - Revenue Generation]]+Table13[[#This Row],[Expenses - Tech]]+Table13[[#This Row],[Expenses - Admin]]</f>
        <v>101263</v>
      </c>
      <c r="AB196" s="56">
        <v>28500</v>
      </c>
      <c r="AC196" s="71">
        <f>SUM(Table13[[#This Row],[Expenses - Revenue Generation]:[Expenses - Admin]])</f>
        <v>72763</v>
      </c>
      <c r="AD196" s="56">
        <v>9250</v>
      </c>
      <c r="AE196" s="56">
        <v>40875</v>
      </c>
      <c r="AF196" s="56">
        <v>22638</v>
      </c>
      <c r="AG196" s="59">
        <f>Table13[[#This Row],[Total FTE - Editorial]]+Table13[[#This Row],[Total FTE - Non-Editorial]]</f>
        <v>0</v>
      </c>
      <c r="AH196" s="59">
        <f>Table13[[#This Row],[FTE Salaried - Editorial]]+Table13[[#This Row],[FTE Contractors - Editorial]]</f>
        <v>0</v>
      </c>
      <c r="AI196" s="57">
        <v>0</v>
      </c>
      <c r="AJ196" s="57">
        <v>0</v>
      </c>
      <c r="AK196" s="60">
        <f>Table13[[#This Row],[FTE Salaried - Non-Editorial]]+Table13[[#This Row],[FTE Contractors - Non-Editorial]]</f>
        <v>0</v>
      </c>
      <c r="AL196" s="57">
        <v>0</v>
      </c>
      <c r="AM196" s="57">
        <v>0</v>
      </c>
      <c r="AN196" s="54" t="s">
        <v>352</v>
      </c>
      <c r="AO196" s="54" t="s">
        <v>562</v>
      </c>
      <c r="AQ196" s="57">
        <v>1000</v>
      </c>
      <c r="AR196" s="57">
        <v>700</v>
      </c>
      <c r="AS196" s="57">
        <v>89000</v>
      </c>
      <c r="AT196" s="57">
        <v>24</v>
      </c>
      <c r="AU196" s="57">
        <v>10000</v>
      </c>
      <c r="AV196" s="57" t="s">
        <v>563</v>
      </c>
      <c r="AW196" s="57">
        <v>50000</v>
      </c>
      <c r="AX196" s="57" t="s">
        <v>564</v>
      </c>
      <c r="AY196" s="57">
        <v>0</v>
      </c>
    </row>
    <row r="197" spans="1:51" x14ac:dyDescent="0.2">
      <c r="A197" s="54">
        <v>505</v>
      </c>
      <c r="B197" s="54">
        <v>2010</v>
      </c>
      <c r="C197" s="91" t="s">
        <v>80</v>
      </c>
      <c r="D197" s="54" t="s">
        <v>83</v>
      </c>
      <c r="E197" s="54" t="s">
        <v>77</v>
      </c>
      <c r="F197" s="54" t="str">
        <f>_xlfn.CONCAT(Table13[[#This Row],[Geographic Scope]],": ",Table13[[#This Row],[Sub-Type/Focus]])</f>
        <v>State: General</v>
      </c>
      <c r="G197" s="54" t="str">
        <f>_xlfn.CONCAT(Table13[[#This Row],[Geographic Scope]],": ",Table13[[#This Row],[Sub-Type/Focus]],": ",Table13[[#This Row],[Content Type]])</f>
        <v>State: General: Explanatory &amp; Analysis</v>
      </c>
      <c r="H197" s="54" t="str">
        <f>_xlfn.CONCAT(Table13[[#This Row],[Geographic Scope]],": ",Table13[[#This Row],[Content Type]])</f>
        <v>State: Explanatory &amp; Analysis</v>
      </c>
      <c r="I197" s="55">
        <f>Table13[[#This Row],[Total Contributed Income]]+Table13[[#This Row],[Total Earned Income]]</f>
        <v>3349210</v>
      </c>
      <c r="J197" s="55">
        <f>Table13[[#This Row],[Cont. Income - Foundation]]+Table13[[#This Row],[Cont. Income - Membership]]+Table13[[#This Row],[Cont. Income - Small Donors]]+Table13[[#This Row],[Cont. Income - Med. Donors]]+Table13[[#This Row],[Cont. Income - Major Donors]]+Table13[[#This Row],[Cont. Income - Other]]</f>
        <v>2650907</v>
      </c>
      <c r="K197" s="55">
        <f>Table13[[#This Row],[Earned Income - Advertising]]+Table13[[#This Row],[Earned Income - Sponsorships/Underwriting]]+Table13[[#This Row],[Earned Income - Events]]+Table13[[#This Row],[Earned Income - Subscriptions]]+Table13[[#This Row],[Earned Income - Syndication]]+Table13[[#This Row],[Earned Income - Other]]</f>
        <v>698303</v>
      </c>
      <c r="L197" s="56">
        <v>700583</v>
      </c>
      <c r="M197" s="56">
        <v>901143</v>
      </c>
      <c r="N197" s="71">
        <f>SUM(Table13[[#This Row],[Cont. Income - Small Donors]:[Cont. Income - Major Donors]])</f>
        <v>1049181</v>
      </c>
      <c r="O197" s="56">
        <v>0</v>
      </c>
      <c r="P197" s="56">
        <v>124938</v>
      </c>
      <c r="Q197" s="56">
        <v>924243</v>
      </c>
      <c r="R197" s="56">
        <v>0</v>
      </c>
      <c r="T197" s="56">
        <v>0</v>
      </c>
      <c r="U197" s="56">
        <v>406614</v>
      </c>
      <c r="V197" s="56">
        <v>7384</v>
      </c>
      <c r="W197" s="56">
        <v>0</v>
      </c>
      <c r="X197" s="56">
        <v>272640</v>
      </c>
      <c r="Y197" s="56">
        <v>11665</v>
      </c>
      <c r="Z197" s="54" t="s">
        <v>565</v>
      </c>
      <c r="AA197" s="55">
        <f>Table13[[#This Row],[Expenses - Editorial]]+Table13[[#This Row],[Expenses - Revenue Generation]]+Table13[[#This Row],[Expenses - Tech]]+Table13[[#This Row],[Expenses - Admin]]</f>
        <v>2051536</v>
      </c>
      <c r="AB197" s="56">
        <v>1345910</v>
      </c>
      <c r="AC197" s="71">
        <f>SUM(Table13[[#This Row],[Expenses - Revenue Generation]:[Expenses - Admin]])</f>
        <v>705626</v>
      </c>
      <c r="AD197" s="56">
        <v>282292</v>
      </c>
      <c r="AE197" s="56">
        <v>221864</v>
      </c>
      <c r="AF197" s="56">
        <v>201470</v>
      </c>
      <c r="AG197" s="59">
        <f>Table13[[#This Row],[Total FTE - Editorial]]+Table13[[#This Row],[Total FTE - Non-Editorial]]</f>
        <v>25</v>
      </c>
      <c r="AH197" s="59">
        <f>Table13[[#This Row],[FTE Salaried - Editorial]]+Table13[[#This Row],[FTE Contractors - Editorial]]</f>
        <v>19.5</v>
      </c>
      <c r="AI197" s="57">
        <v>18</v>
      </c>
      <c r="AJ197" s="57">
        <v>1.5</v>
      </c>
      <c r="AK197" s="60">
        <f>Table13[[#This Row],[FTE Salaried - Non-Editorial]]+Table13[[#This Row],[FTE Contractors - Non-Editorial]]</f>
        <v>5.5</v>
      </c>
      <c r="AL197" s="57">
        <v>4</v>
      </c>
      <c r="AM197" s="57">
        <v>1.5</v>
      </c>
      <c r="AN197" s="54" t="s">
        <v>351</v>
      </c>
      <c r="AO197" s="54" t="s">
        <v>359</v>
      </c>
      <c r="AQ197" s="57">
        <v>773000</v>
      </c>
      <c r="AR197" s="57">
        <v>44000</v>
      </c>
      <c r="AS197" s="57">
        <v>0</v>
      </c>
      <c r="AT197" s="57">
        <v>0</v>
      </c>
      <c r="AU197" s="57">
        <v>0</v>
      </c>
      <c r="AV197" s="57" t="s">
        <v>566</v>
      </c>
      <c r="AW197" s="57">
        <v>0</v>
      </c>
      <c r="AX197" s="57"/>
      <c r="AY197" s="57">
        <v>39400</v>
      </c>
    </row>
    <row r="198" spans="1:51" x14ac:dyDescent="0.2">
      <c r="A198" s="54">
        <v>2546</v>
      </c>
      <c r="B198" s="54">
        <v>2015</v>
      </c>
      <c r="C198" s="91" t="s">
        <v>80</v>
      </c>
      <c r="D198" s="54" t="s">
        <v>83</v>
      </c>
      <c r="E198" s="54" t="s">
        <v>77</v>
      </c>
      <c r="F198" s="54" t="str">
        <f>_xlfn.CONCAT(Table13[[#This Row],[Geographic Scope]],": ",Table13[[#This Row],[Sub-Type/Focus]])</f>
        <v>State: General</v>
      </c>
      <c r="G198" s="54" t="str">
        <f>_xlfn.CONCAT(Table13[[#This Row],[Geographic Scope]],": ",Table13[[#This Row],[Sub-Type/Focus]],": ",Table13[[#This Row],[Content Type]])</f>
        <v>State: General: Explanatory &amp; Analysis</v>
      </c>
      <c r="H198" s="54" t="str">
        <f>_xlfn.CONCAT(Table13[[#This Row],[Geographic Scope]],": ",Table13[[#This Row],[Content Type]])</f>
        <v>State: Explanatory &amp; Analysis</v>
      </c>
      <c r="I198" s="55">
        <f>Table13[[#This Row],[Total Contributed Income]]+Table13[[#This Row],[Total Earned Income]]</f>
        <v>128458</v>
      </c>
      <c r="J198" s="55">
        <f>Table13[[#This Row],[Cont. Income - Foundation]]+Table13[[#This Row],[Cont. Income - Membership]]+Table13[[#This Row],[Cont. Income - Small Donors]]+Table13[[#This Row],[Cont. Income - Med. Donors]]+Table13[[#This Row],[Cont. Income - Major Donors]]+Table13[[#This Row],[Cont. Income - Other]]</f>
        <v>97425</v>
      </c>
      <c r="K198" s="55">
        <f>Table13[[#This Row],[Earned Income - Advertising]]+Table13[[#This Row],[Earned Income - Sponsorships/Underwriting]]+Table13[[#This Row],[Earned Income - Events]]+Table13[[#This Row],[Earned Income - Subscriptions]]+Table13[[#This Row],[Earned Income - Syndication]]+Table13[[#This Row],[Earned Income - Other]]</f>
        <v>31033</v>
      </c>
      <c r="L198" s="56">
        <v>27000</v>
      </c>
      <c r="M198" s="56">
        <v>0</v>
      </c>
      <c r="N198" s="71">
        <f>SUM(Table13[[#This Row],[Cont. Income - Small Donors]:[Cont. Income - Major Donors]])</f>
        <v>70425</v>
      </c>
      <c r="O198" s="56">
        <v>60425</v>
      </c>
      <c r="P198" s="56">
        <v>10000</v>
      </c>
      <c r="Q198" s="56">
        <v>0</v>
      </c>
      <c r="R198" s="56">
        <v>0</v>
      </c>
      <c r="T198" s="56">
        <v>0</v>
      </c>
      <c r="U198" s="56">
        <v>6000</v>
      </c>
      <c r="V198" s="56">
        <v>0</v>
      </c>
      <c r="W198" s="56">
        <v>0</v>
      </c>
      <c r="X198" s="56">
        <v>25033</v>
      </c>
      <c r="Y198" s="56">
        <v>0</v>
      </c>
      <c r="AA198" s="55">
        <f>Table13[[#This Row],[Expenses - Editorial]]+Table13[[#This Row],[Expenses - Revenue Generation]]+Table13[[#This Row],[Expenses - Tech]]+Table13[[#This Row],[Expenses - Admin]]</f>
        <v>115681</v>
      </c>
      <c r="AB198" s="56">
        <v>99130</v>
      </c>
      <c r="AC198" s="71">
        <f>SUM(Table13[[#This Row],[Expenses - Revenue Generation]:[Expenses - Admin]])</f>
        <v>16551</v>
      </c>
      <c r="AD198" s="56">
        <v>4502</v>
      </c>
      <c r="AE198" s="56">
        <v>6061</v>
      </c>
      <c r="AF198" s="56">
        <v>5988</v>
      </c>
      <c r="AG198" s="59">
        <f>Table13[[#This Row],[Total FTE - Editorial]]+Table13[[#This Row],[Total FTE - Non-Editorial]]</f>
        <v>3</v>
      </c>
      <c r="AH198" s="59">
        <f>Table13[[#This Row],[FTE Salaried - Editorial]]+Table13[[#This Row],[FTE Contractors - Editorial]]</f>
        <v>3</v>
      </c>
      <c r="AI198" s="57">
        <v>0</v>
      </c>
      <c r="AJ198" s="57">
        <v>3</v>
      </c>
      <c r="AK198" s="60">
        <f>Table13[[#This Row],[FTE Salaried - Non-Editorial]]+Table13[[#This Row],[FTE Contractors - Non-Editorial]]</f>
        <v>0</v>
      </c>
      <c r="AL198" s="57">
        <v>0</v>
      </c>
      <c r="AM198" s="57">
        <v>0</v>
      </c>
      <c r="AN198" s="54" t="s">
        <v>351</v>
      </c>
      <c r="AO198" s="54" t="s">
        <v>359</v>
      </c>
      <c r="AQ198" s="57">
        <v>99783</v>
      </c>
      <c r="AR198" s="57">
        <v>4689</v>
      </c>
      <c r="AS198" s="57">
        <v>0</v>
      </c>
      <c r="AT198" s="57">
        <v>0</v>
      </c>
      <c r="AU198" s="57">
        <v>0</v>
      </c>
      <c r="AV198" s="57">
        <v>0</v>
      </c>
      <c r="AW198" s="57">
        <v>0</v>
      </c>
      <c r="AX198" s="57"/>
      <c r="AY198" s="57">
        <v>0</v>
      </c>
    </row>
    <row r="199" spans="1:51" x14ac:dyDescent="0.2">
      <c r="A199" s="54">
        <v>6798</v>
      </c>
      <c r="B199" s="54">
        <v>2018</v>
      </c>
      <c r="C199" s="91" t="s">
        <v>80</v>
      </c>
      <c r="D199" s="54" t="s">
        <v>83</v>
      </c>
      <c r="E199" s="54" t="s">
        <v>77</v>
      </c>
      <c r="F199" s="54" t="str">
        <f>_xlfn.CONCAT(Table13[[#This Row],[Geographic Scope]],": ",Table13[[#This Row],[Sub-Type/Focus]])</f>
        <v>State: General</v>
      </c>
      <c r="G199" s="54" t="str">
        <f>_xlfn.CONCAT(Table13[[#This Row],[Geographic Scope]],": ",Table13[[#This Row],[Sub-Type/Focus]],": ",Table13[[#This Row],[Content Type]])</f>
        <v>State: General: Explanatory &amp; Analysis</v>
      </c>
      <c r="H199" s="54" t="str">
        <f>_xlfn.CONCAT(Table13[[#This Row],[Geographic Scope]],": ",Table13[[#This Row],[Content Type]])</f>
        <v>State: Explanatory &amp; Analysis</v>
      </c>
      <c r="I199" s="55">
        <f>Table13[[#This Row],[Total Contributed Income]]+Table13[[#This Row],[Total Earned Income]]</f>
        <v>158553</v>
      </c>
      <c r="J199" s="55">
        <f>Table13[[#This Row],[Cont. Income - Foundation]]+Table13[[#This Row],[Cont. Income - Membership]]+Table13[[#This Row],[Cont. Income - Small Donors]]+Table13[[#This Row],[Cont. Income - Med. Donors]]+Table13[[#This Row],[Cont. Income - Major Donors]]+Table13[[#This Row],[Cont. Income - Other]]</f>
        <v>78847</v>
      </c>
      <c r="K199" s="55">
        <f>Table13[[#This Row],[Earned Income - Advertising]]+Table13[[#This Row],[Earned Income - Sponsorships/Underwriting]]+Table13[[#This Row],[Earned Income - Events]]+Table13[[#This Row],[Earned Income - Subscriptions]]+Table13[[#This Row],[Earned Income - Syndication]]+Table13[[#This Row],[Earned Income - Other]]</f>
        <v>79706</v>
      </c>
      <c r="L199" s="56">
        <v>55615</v>
      </c>
      <c r="M199" s="56">
        <v>0</v>
      </c>
      <c r="N199" s="71">
        <f>SUM(Table13[[#This Row],[Cont. Income - Small Donors]:[Cont. Income - Major Donors]])</f>
        <v>23232</v>
      </c>
      <c r="O199" s="56">
        <v>4732</v>
      </c>
      <c r="P199" s="56">
        <v>3500</v>
      </c>
      <c r="Q199" s="56">
        <v>15000</v>
      </c>
      <c r="R199" s="56">
        <v>0</v>
      </c>
      <c r="T199" s="56">
        <v>79706</v>
      </c>
      <c r="U199" s="56">
        <v>0</v>
      </c>
      <c r="V199" s="56">
        <v>0</v>
      </c>
      <c r="W199" s="56">
        <v>0</v>
      </c>
      <c r="X199" s="56">
        <v>0</v>
      </c>
      <c r="Y199" s="56">
        <v>0</v>
      </c>
      <c r="AA199" s="55">
        <f>Table13[[#This Row],[Expenses - Editorial]]+Table13[[#This Row],[Expenses - Revenue Generation]]+Table13[[#This Row],[Expenses - Tech]]+Table13[[#This Row],[Expenses - Admin]]</f>
        <v>125450</v>
      </c>
      <c r="AB199" s="56">
        <v>119807</v>
      </c>
      <c r="AC199" s="71">
        <f>SUM(Table13[[#This Row],[Expenses - Revenue Generation]:[Expenses - Admin]])</f>
        <v>5643</v>
      </c>
      <c r="AD199" s="56">
        <v>0</v>
      </c>
      <c r="AE199" s="56">
        <v>0</v>
      </c>
      <c r="AF199" s="56">
        <v>5643</v>
      </c>
      <c r="AG199" s="59">
        <f>Table13[[#This Row],[Total FTE - Editorial]]+Table13[[#This Row],[Total FTE - Non-Editorial]]</f>
        <v>3</v>
      </c>
      <c r="AH199" s="59">
        <f>Table13[[#This Row],[FTE Salaried - Editorial]]+Table13[[#This Row],[FTE Contractors - Editorial]]</f>
        <v>3</v>
      </c>
      <c r="AI199" s="57">
        <v>1</v>
      </c>
      <c r="AJ199" s="57">
        <v>2</v>
      </c>
      <c r="AK199" s="60">
        <f>Table13[[#This Row],[FTE Salaried - Non-Editorial]]+Table13[[#This Row],[FTE Contractors - Non-Editorial]]</f>
        <v>0</v>
      </c>
      <c r="AL199" s="57">
        <v>0</v>
      </c>
      <c r="AM199" s="57">
        <v>0</v>
      </c>
      <c r="AN199" s="54" t="s">
        <v>347</v>
      </c>
      <c r="AO199" s="54" t="s">
        <v>348</v>
      </c>
      <c r="AP199" s="54" t="s">
        <v>567</v>
      </c>
      <c r="AQ199" s="57">
        <v>4000</v>
      </c>
      <c r="AR199" s="57">
        <v>835</v>
      </c>
      <c r="AS199" s="57">
        <v>15000</v>
      </c>
      <c r="AT199" s="57">
        <v>12</v>
      </c>
      <c r="AU199" s="57">
        <v>0</v>
      </c>
      <c r="AV199" s="57">
        <v>0</v>
      </c>
      <c r="AW199" s="57">
        <v>0</v>
      </c>
      <c r="AX199" s="57"/>
      <c r="AY199" s="57">
        <v>0</v>
      </c>
    </row>
    <row r="200" spans="1:51" x14ac:dyDescent="0.2">
      <c r="A200" s="54">
        <v>6823</v>
      </c>
      <c r="B200" s="54">
        <v>2020</v>
      </c>
      <c r="C200" s="91" t="s">
        <v>80</v>
      </c>
      <c r="D200" s="54" t="s">
        <v>83</v>
      </c>
      <c r="E200" s="54" t="s">
        <v>77</v>
      </c>
      <c r="F200" s="54" t="str">
        <f>_xlfn.CONCAT(Table13[[#This Row],[Geographic Scope]],": ",Table13[[#This Row],[Sub-Type/Focus]])</f>
        <v>State: General</v>
      </c>
      <c r="G200" s="54" t="str">
        <f>_xlfn.CONCAT(Table13[[#This Row],[Geographic Scope]],": ",Table13[[#This Row],[Sub-Type/Focus]],": ",Table13[[#This Row],[Content Type]])</f>
        <v>State: General: Explanatory &amp; Analysis</v>
      </c>
      <c r="H200" s="54" t="str">
        <f>_xlfn.CONCAT(Table13[[#This Row],[Geographic Scope]],": ",Table13[[#This Row],[Content Type]])</f>
        <v>State: Explanatory &amp; Analysis</v>
      </c>
      <c r="I200" s="55">
        <f>Table13[[#This Row],[Total Contributed Income]]+Table13[[#This Row],[Total Earned Income]]</f>
        <v>0</v>
      </c>
      <c r="J200" s="55">
        <f>Table13[[#This Row],[Cont. Income - Foundation]]+Table13[[#This Row],[Cont. Income - Membership]]+Table13[[#This Row],[Cont. Income - Small Donors]]+Table13[[#This Row],[Cont. Income - Med. Donors]]+Table13[[#This Row],[Cont. Income - Major Donors]]+Table13[[#This Row],[Cont. Income - Other]]</f>
        <v>0</v>
      </c>
      <c r="K200" s="55">
        <f>Table13[[#This Row],[Earned Income - Advertising]]+Table13[[#This Row],[Earned Income - Sponsorships/Underwriting]]+Table13[[#This Row],[Earned Income - Events]]+Table13[[#This Row],[Earned Income - Subscriptions]]+Table13[[#This Row],[Earned Income - Syndication]]+Table13[[#This Row],[Earned Income - Other]]</f>
        <v>0</v>
      </c>
      <c r="L200" s="56"/>
      <c r="M200" s="56"/>
      <c r="N200" s="71">
        <f>SUM(Table13[[#This Row],[Cont. Income - Small Donors]:[Cont. Income - Major Donors]])</f>
        <v>0</v>
      </c>
      <c r="O200" s="56"/>
      <c r="P200" s="56"/>
      <c r="Q200" s="56"/>
      <c r="R200" s="56"/>
      <c r="T200" s="56"/>
      <c r="U200" s="56"/>
      <c r="V200" s="56"/>
      <c r="W200" s="56"/>
      <c r="X200" s="56"/>
      <c r="Y200" s="56"/>
      <c r="AA200" s="55">
        <f>Table13[[#This Row],[Expenses - Editorial]]+Table13[[#This Row],[Expenses - Revenue Generation]]+Table13[[#This Row],[Expenses - Tech]]+Table13[[#This Row],[Expenses - Admin]]</f>
        <v>0</v>
      </c>
      <c r="AB200" s="57"/>
      <c r="AC200" s="71">
        <f>SUM(Table13[[#This Row],[Expenses - Revenue Generation]:[Expenses - Admin]])</f>
        <v>0</v>
      </c>
      <c r="AD200" s="57"/>
      <c r="AE200" s="57"/>
      <c r="AF200" s="57"/>
      <c r="AG200" s="59">
        <f>Table13[[#This Row],[Total FTE - Editorial]]+Table13[[#This Row],[Total FTE - Non-Editorial]]</f>
        <v>2</v>
      </c>
      <c r="AH200" s="59">
        <f>Table13[[#This Row],[FTE Salaried - Editorial]]+Table13[[#This Row],[FTE Contractors - Editorial]]</f>
        <v>2</v>
      </c>
      <c r="AI200" s="57">
        <v>2</v>
      </c>
      <c r="AJ200" s="57">
        <v>0</v>
      </c>
      <c r="AK200" s="60">
        <f>Table13[[#This Row],[FTE Salaried - Non-Editorial]]+Table13[[#This Row],[FTE Contractors - Non-Editorial]]</f>
        <v>0</v>
      </c>
      <c r="AL200" s="57">
        <v>0</v>
      </c>
      <c r="AM200" s="57">
        <v>0</v>
      </c>
      <c r="AN200" s="54" t="s">
        <v>352</v>
      </c>
      <c r="AO200" s="54" t="s">
        <v>568</v>
      </c>
      <c r="AP200" s="54" t="s">
        <v>569</v>
      </c>
      <c r="AQ200" s="57">
        <v>74074</v>
      </c>
      <c r="AR200" s="57">
        <v>9313</v>
      </c>
      <c r="AS200" s="57">
        <v>0</v>
      </c>
      <c r="AT200" s="57">
        <v>0</v>
      </c>
      <c r="AU200" s="57">
        <v>0</v>
      </c>
      <c r="AV200" s="57">
        <v>0</v>
      </c>
      <c r="AW200" s="57">
        <v>0</v>
      </c>
      <c r="AX200" s="57"/>
      <c r="AY200" s="57">
        <v>0</v>
      </c>
    </row>
    <row r="201" spans="1:51" x14ac:dyDescent="0.2">
      <c r="A201" s="54">
        <v>342</v>
      </c>
      <c r="B201" s="54">
        <v>2015</v>
      </c>
      <c r="C201" s="91" t="s">
        <v>80</v>
      </c>
      <c r="D201" s="54" t="s">
        <v>83</v>
      </c>
      <c r="E201" s="54" t="s">
        <v>78</v>
      </c>
      <c r="F201" s="54" t="str">
        <f>_xlfn.CONCAT(Table13[[#This Row],[Geographic Scope]],": ",Table13[[#This Row],[Sub-Type/Focus]])</f>
        <v>State: Multiple Related Topics</v>
      </c>
      <c r="G201" s="54" t="str">
        <f>_xlfn.CONCAT(Table13[[#This Row],[Geographic Scope]],": ",Table13[[#This Row],[Sub-Type/Focus]],": ",Table13[[#This Row],[Content Type]])</f>
        <v>State: Multiple Related Topics: Explanatory &amp; Analysis</v>
      </c>
      <c r="H201" s="54" t="str">
        <f>_xlfn.CONCAT(Table13[[#This Row],[Geographic Scope]],": ",Table13[[#This Row],[Content Type]])</f>
        <v>State: Explanatory &amp; Analysis</v>
      </c>
      <c r="I201" s="55">
        <f>Table13[[#This Row],[Total Contributed Income]]+Table13[[#This Row],[Total Earned Income]]</f>
        <v>7346491</v>
      </c>
      <c r="J201" s="55">
        <f>Table13[[#This Row],[Cont. Income - Foundation]]+Table13[[#This Row],[Cont. Income - Membership]]+Table13[[#This Row],[Cont. Income - Small Donors]]+Table13[[#This Row],[Cont. Income - Med. Donors]]+Table13[[#This Row],[Cont. Income - Major Donors]]+Table13[[#This Row],[Cont. Income - Other]]</f>
        <v>7085345</v>
      </c>
      <c r="K201" s="55">
        <f>Table13[[#This Row],[Earned Income - Advertising]]+Table13[[#This Row],[Earned Income - Sponsorships/Underwriting]]+Table13[[#This Row],[Earned Income - Events]]+Table13[[#This Row],[Earned Income - Subscriptions]]+Table13[[#This Row],[Earned Income - Syndication]]+Table13[[#This Row],[Earned Income - Other]]</f>
        <v>261146</v>
      </c>
      <c r="L201" s="56">
        <v>3642182</v>
      </c>
      <c r="M201" s="56">
        <v>0</v>
      </c>
      <c r="N201" s="71">
        <f>SUM(Table13[[#This Row],[Cont. Income - Small Donors]:[Cont. Income - Major Donors]])</f>
        <v>3443163</v>
      </c>
      <c r="O201" s="56">
        <v>222875</v>
      </c>
      <c r="P201" s="56">
        <v>118955</v>
      </c>
      <c r="Q201" s="56">
        <v>3101333</v>
      </c>
      <c r="R201" s="56">
        <v>0</v>
      </c>
      <c r="T201" s="56">
        <v>0</v>
      </c>
      <c r="U201" s="56">
        <v>196491</v>
      </c>
      <c r="V201" s="56">
        <v>30000</v>
      </c>
      <c r="W201" s="56">
        <v>0</v>
      </c>
      <c r="X201" s="56">
        <v>0</v>
      </c>
      <c r="Y201" s="56">
        <v>34655</v>
      </c>
      <c r="Z201" s="54" t="s">
        <v>570</v>
      </c>
      <c r="AA201" s="55">
        <f>Table13[[#This Row],[Expenses - Editorial]]+Table13[[#This Row],[Expenses - Revenue Generation]]+Table13[[#This Row],[Expenses - Tech]]+Table13[[#This Row],[Expenses - Admin]]</f>
        <v>6327424.7299999995</v>
      </c>
      <c r="AB201" s="56">
        <v>694042.54</v>
      </c>
      <c r="AC201" s="71">
        <f>SUM(Table13[[#This Row],[Expenses - Revenue Generation]:[Expenses - Admin]])</f>
        <v>5633382.1899999995</v>
      </c>
      <c r="AD201" s="56">
        <v>129791</v>
      </c>
      <c r="AE201" s="56">
        <v>107876.64</v>
      </c>
      <c r="AF201" s="56">
        <v>5395714.5499999998</v>
      </c>
      <c r="AG201" s="59">
        <f>Table13[[#This Row],[Total FTE - Editorial]]+Table13[[#This Row],[Total FTE - Non-Editorial]]</f>
        <v>42</v>
      </c>
      <c r="AH201" s="59">
        <f>Table13[[#This Row],[FTE Salaried - Editorial]]+Table13[[#This Row],[FTE Contractors - Editorial]]</f>
        <v>27</v>
      </c>
      <c r="AI201" s="57">
        <v>27</v>
      </c>
      <c r="AJ201" s="57">
        <v>0</v>
      </c>
      <c r="AK201" s="60">
        <f>Table13[[#This Row],[FTE Salaried - Non-Editorial]]+Table13[[#This Row],[FTE Contractors - Non-Editorial]]</f>
        <v>15</v>
      </c>
      <c r="AL201" s="57">
        <v>15</v>
      </c>
      <c r="AM201" s="57">
        <v>0</v>
      </c>
      <c r="AN201" s="54" t="s">
        <v>352</v>
      </c>
      <c r="AO201" s="54" t="s">
        <v>366</v>
      </c>
      <c r="AP201" s="54" t="s">
        <v>571</v>
      </c>
      <c r="AQ201" s="57">
        <v>793000</v>
      </c>
      <c r="AR201" s="57">
        <v>138771</v>
      </c>
      <c r="AS201" s="57">
        <v>0</v>
      </c>
      <c r="AT201" s="57">
        <v>0</v>
      </c>
      <c r="AU201" s="57">
        <v>0</v>
      </c>
      <c r="AV201" s="57">
        <v>0</v>
      </c>
      <c r="AW201" s="57">
        <v>0</v>
      </c>
      <c r="AX201" s="57"/>
      <c r="AY201" s="57">
        <v>400000</v>
      </c>
    </row>
    <row r="202" spans="1:51" x14ac:dyDescent="0.2">
      <c r="A202" s="54">
        <v>353</v>
      </c>
      <c r="B202" s="54">
        <v>2009</v>
      </c>
      <c r="C202" s="91" t="s">
        <v>80</v>
      </c>
      <c r="D202" s="54" t="s">
        <v>83</v>
      </c>
      <c r="E202" s="54" t="s">
        <v>78</v>
      </c>
      <c r="F202" s="54" t="str">
        <f>_xlfn.CONCAT(Table13[[#This Row],[Geographic Scope]],": ",Table13[[#This Row],[Sub-Type/Focus]])</f>
        <v>State: Multiple Related Topics</v>
      </c>
      <c r="G202" s="54" t="str">
        <f>_xlfn.CONCAT(Table13[[#This Row],[Geographic Scope]],": ",Table13[[#This Row],[Sub-Type/Focus]],": ",Table13[[#This Row],[Content Type]])</f>
        <v>State: Multiple Related Topics: Explanatory &amp; Analysis</v>
      </c>
      <c r="H202" s="54" t="str">
        <f>_xlfn.CONCAT(Table13[[#This Row],[Geographic Scope]],": ",Table13[[#This Row],[Content Type]])</f>
        <v>State: Explanatory &amp; Analysis</v>
      </c>
      <c r="I202" s="55">
        <f>Table13[[#This Row],[Total Contributed Income]]+Table13[[#This Row],[Total Earned Income]]</f>
        <v>92817</v>
      </c>
      <c r="J202" s="55">
        <f>Table13[[#This Row],[Cont. Income - Foundation]]+Table13[[#This Row],[Cont. Income - Membership]]+Table13[[#This Row],[Cont. Income - Small Donors]]+Table13[[#This Row],[Cont. Income - Med. Donors]]+Table13[[#This Row],[Cont. Income - Major Donors]]+Table13[[#This Row],[Cont. Income - Other]]</f>
        <v>88817</v>
      </c>
      <c r="K202" s="55">
        <f>Table13[[#This Row],[Earned Income - Advertising]]+Table13[[#This Row],[Earned Income - Sponsorships/Underwriting]]+Table13[[#This Row],[Earned Income - Events]]+Table13[[#This Row],[Earned Income - Subscriptions]]+Table13[[#This Row],[Earned Income - Syndication]]+Table13[[#This Row],[Earned Income - Other]]</f>
        <v>4000</v>
      </c>
      <c r="L202" s="56">
        <v>40243</v>
      </c>
      <c r="M202" s="56">
        <v>0</v>
      </c>
      <c r="N202" s="71">
        <f>SUM(Table13[[#This Row],[Cont. Income - Small Donors]:[Cont. Income - Major Donors]])</f>
        <v>48574</v>
      </c>
      <c r="O202" s="56">
        <v>12574</v>
      </c>
      <c r="P202" s="56">
        <v>21000</v>
      </c>
      <c r="Q202" s="56">
        <v>15000</v>
      </c>
      <c r="R202" s="56">
        <v>0</v>
      </c>
      <c r="T202" s="56">
        <v>0</v>
      </c>
      <c r="U202" s="56">
        <v>4000</v>
      </c>
      <c r="V202" s="56">
        <v>0</v>
      </c>
      <c r="W202" s="56">
        <v>0</v>
      </c>
      <c r="X202" s="56">
        <v>0</v>
      </c>
      <c r="Y202" s="56">
        <v>0</v>
      </c>
      <c r="AA202" s="55">
        <f>Table13[[#This Row],[Expenses - Editorial]]+Table13[[#This Row],[Expenses - Revenue Generation]]+Table13[[#This Row],[Expenses - Tech]]+Table13[[#This Row],[Expenses - Admin]]</f>
        <v>89481</v>
      </c>
      <c r="AB202" s="56">
        <v>51031</v>
      </c>
      <c r="AC202" s="71">
        <f>SUM(Table13[[#This Row],[Expenses - Revenue Generation]:[Expenses - Admin]])</f>
        <v>38450</v>
      </c>
      <c r="AD202" s="56">
        <v>14962</v>
      </c>
      <c r="AE202" s="56">
        <v>7129</v>
      </c>
      <c r="AF202" s="56">
        <v>16359</v>
      </c>
      <c r="AG202" s="59">
        <f>Table13[[#This Row],[Total FTE - Editorial]]+Table13[[#This Row],[Total FTE - Non-Editorial]]</f>
        <v>1.53</v>
      </c>
      <c r="AH202" s="59">
        <f>Table13[[#This Row],[FTE Salaried - Editorial]]+Table13[[#This Row],[FTE Contractors - Editorial]]</f>
        <v>0.33</v>
      </c>
      <c r="AI202" s="57">
        <v>0</v>
      </c>
      <c r="AJ202" s="57">
        <v>0.33</v>
      </c>
      <c r="AK202" s="60">
        <f>Table13[[#This Row],[FTE Salaried - Non-Editorial]]+Table13[[#This Row],[FTE Contractors - Non-Editorial]]</f>
        <v>1.2</v>
      </c>
      <c r="AL202" s="57">
        <v>0.5</v>
      </c>
      <c r="AM202" s="57">
        <v>0.7</v>
      </c>
      <c r="AN202" s="54" t="s">
        <v>351</v>
      </c>
      <c r="AQ202" s="57">
        <v>1066</v>
      </c>
      <c r="AR202" s="57">
        <v>13706</v>
      </c>
      <c r="AS202" s="57">
        <v>0</v>
      </c>
      <c r="AT202" s="57">
        <v>0</v>
      </c>
      <c r="AU202" s="57">
        <v>0</v>
      </c>
      <c r="AV202" s="57">
        <v>0</v>
      </c>
      <c r="AW202" s="57">
        <v>0</v>
      </c>
      <c r="AX202" s="57"/>
      <c r="AY202" s="57">
        <v>0</v>
      </c>
    </row>
    <row r="203" spans="1:51" x14ac:dyDescent="0.2">
      <c r="A203" s="54">
        <v>383</v>
      </c>
      <c r="B203" s="54">
        <v>2010</v>
      </c>
      <c r="C203" s="91" t="s">
        <v>80</v>
      </c>
      <c r="D203" s="54" t="s">
        <v>83</v>
      </c>
      <c r="E203" s="54" t="s">
        <v>78</v>
      </c>
      <c r="F203" s="54" t="str">
        <f>_xlfn.CONCAT(Table13[[#This Row],[Geographic Scope]],": ",Table13[[#This Row],[Sub-Type/Focus]])</f>
        <v>State: Multiple Related Topics</v>
      </c>
      <c r="G203" s="54" t="str">
        <f>_xlfn.CONCAT(Table13[[#This Row],[Geographic Scope]],": ",Table13[[#This Row],[Sub-Type/Focus]],": ",Table13[[#This Row],[Content Type]])</f>
        <v>State: Multiple Related Topics: Explanatory &amp; Analysis</v>
      </c>
      <c r="H203" s="54" t="str">
        <f>_xlfn.CONCAT(Table13[[#This Row],[Geographic Scope]],": ",Table13[[#This Row],[Content Type]])</f>
        <v>State: Explanatory &amp; Analysis</v>
      </c>
      <c r="I203" s="55">
        <f>Table13[[#This Row],[Total Contributed Income]]+Table13[[#This Row],[Total Earned Income]]</f>
        <v>4415227</v>
      </c>
      <c r="J203" s="55">
        <f>Table13[[#This Row],[Cont. Income - Foundation]]+Table13[[#This Row],[Cont. Income - Membership]]+Table13[[#This Row],[Cont. Income - Small Donors]]+Table13[[#This Row],[Cont. Income - Med. Donors]]+Table13[[#This Row],[Cont. Income - Major Donors]]+Table13[[#This Row],[Cont. Income - Other]]</f>
        <v>4412257</v>
      </c>
      <c r="K203" s="55">
        <f>Table13[[#This Row],[Earned Income - Advertising]]+Table13[[#This Row],[Earned Income - Sponsorships/Underwriting]]+Table13[[#This Row],[Earned Income - Events]]+Table13[[#This Row],[Earned Income - Subscriptions]]+Table13[[#This Row],[Earned Income - Syndication]]+Table13[[#This Row],[Earned Income - Other]]</f>
        <v>2970</v>
      </c>
      <c r="L203" s="56">
        <v>469844</v>
      </c>
      <c r="M203" s="56">
        <v>0</v>
      </c>
      <c r="N203" s="71">
        <f>SUM(Table13[[#This Row],[Cont. Income - Small Donors]:[Cont. Income - Major Donors]])</f>
        <v>3942413</v>
      </c>
      <c r="O203" s="56">
        <v>3784638</v>
      </c>
      <c r="P203" s="56">
        <v>77662</v>
      </c>
      <c r="Q203" s="56">
        <v>80113</v>
      </c>
      <c r="R203" s="56">
        <v>0</v>
      </c>
      <c r="S203" s="55" t="s">
        <v>572</v>
      </c>
      <c r="T203" s="56">
        <v>0</v>
      </c>
      <c r="U203" s="56">
        <v>0</v>
      </c>
      <c r="V203" s="56">
        <v>2970</v>
      </c>
      <c r="W203" s="56">
        <v>0</v>
      </c>
      <c r="X203" s="56">
        <v>0</v>
      </c>
      <c r="Y203" s="56">
        <v>0</v>
      </c>
      <c r="AA203" s="55">
        <f>Table13[[#This Row],[Expenses - Editorial]]+Table13[[#This Row],[Expenses - Revenue Generation]]+Table13[[#This Row],[Expenses - Tech]]+Table13[[#This Row],[Expenses - Admin]]</f>
        <v>3814795</v>
      </c>
      <c r="AB203" s="56">
        <v>2369056</v>
      </c>
      <c r="AC203" s="71">
        <f>SUM(Table13[[#This Row],[Expenses - Revenue Generation]:[Expenses - Admin]])</f>
        <v>1445739</v>
      </c>
      <c r="AD203" s="56">
        <v>182449</v>
      </c>
      <c r="AE203" s="56">
        <v>217901</v>
      </c>
      <c r="AF203" s="56">
        <v>1045389</v>
      </c>
      <c r="AG203" s="59">
        <f>Table13[[#This Row],[Total FTE - Editorial]]+Table13[[#This Row],[Total FTE - Non-Editorial]]</f>
        <v>30</v>
      </c>
      <c r="AH203" s="59">
        <f>Table13[[#This Row],[FTE Salaried - Editorial]]+Table13[[#This Row],[FTE Contractors - Editorial]]</f>
        <v>24.5</v>
      </c>
      <c r="AI203" s="57">
        <v>23.5</v>
      </c>
      <c r="AJ203" s="57">
        <v>1</v>
      </c>
      <c r="AK203" s="60">
        <f>Table13[[#This Row],[FTE Salaried - Non-Editorial]]+Table13[[#This Row],[FTE Contractors - Non-Editorial]]</f>
        <v>5.5</v>
      </c>
      <c r="AL203" s="57">
        <v>5</v>
      </c>
      <c r="AM203" s="57">
        <v>0.5</v>
      </c>
      <c r="AN203" s="54" t="s">
        <v>351</v>
      </c>
      <c r="AO203" s="54" t="s">
        <v>359</v>
      </c>
      <c r="AQ203" s="57">
        <v>680000</v>
      </c>
      <c r="AR203" s="57">
        <v>45000</v>
      </c>
      <c r="AS203" s="57">
        <v>0</v>
      </c>
      <c r="AT203" s="57">
        <v>0</v>
      </c>
      <c r="AU203" s="57">
        <v>0</v>
      </c>
      <c r="AV203" s="57">
        <v>0</v>
      </c>
      <c r="AW203" s="57">
        <v>0</v>
      </c>
      <c r="AX203" s="57"/>
      <c r="AY203" s="57">
        <v>30858</v>
      </c>
    </row>
    <row r="204" spans="1:51" x14ac:dyDescent="0.2">
      <c r="A204" s="54">
        <v>427</v>
      </c>
      <c r="B204" s="54">
        <v>2010</v>
      </c>
      <c r="C204" s="91" t="s">
        <v>80</v>
      </c>
      <c r="D204" s="54" t="s">
        <v>83</v>
      </c>
      <c r="E204" s="54" t="s">
        <v>78</v>
      </c>
      <c r="F204" s="54" t="str">
        <f>_xlfn.CONCAT(Table13[[#This Row],[Geographic Scope]],": ",Table13[[#This Row],[Sub-Type/Focus]])</f>
        <v>State: Multiple Related Topics</v>
      </c>
      <c r="G204" s="54" t="str">
        <f>_xlfn.CONCAT(Table13[[#This Row],[Geographic Scope]],": ",Table13[[#This Row],[Sub-Type/Focus]],": ",Table13[[#This Row],[Content Type]])</f>
        <v>State: Multiple Related Topics: Explanatory &amp; Analysis</v>
      </c>
      <c r="H204" s="54" t="str">
        <f>_xlfn.CONCAT(Table13[[#This Row],[Geographic Scope]],": ",Table13[[#This Row],[Content Type]])</f>
        <v>State: Explanatory &amp; Analysis</v>
      </c>
      <c r="I204" s="55">
        <f>Table13[[#This Row],[Total Contributed Income]]+Table13[[#This Row],[Total Earned Income]]</f>
        <v>1073367</v>
      </c>
      <c r="J204" s="55">
        <f>Table13[[#This Row],[Cont. Income - Foundation]]+Table13[[#This Row],[Cont. Income - Membership]]+Table13[[#This Row],[Cont. Income - Small Donors]]+Table13[[#This Row],[Cont. Income - Med. Donors]]+Table13[[#This Row],[Cont. Income - Major Donors]]+Table13[[#This Row],[Cont. Income - Other]]</f>
        <v>770977</v>
      </c>
      <c r="K204" s="55">
        <f>Table13[[#This Row],[Earned Income - Advertising]]+Table13[[#This Row],[Earned Income - Sponsorships/Underwriting]]+Table13[[#This Row],[Earned Income - Events]]+Table13[[#This Row],[Earned Income - Subscriptions]]+Table13[[#This Row],[Earned Income - Syndication]]+Table13[[#This Row],[Earned Income - Other]]</f>
        <v>302390</v>
      </c>
      <c r="L204" s="56">
        <v>660000</v>
      </c>
      <c r="M204" s="56">
        <v>0</v>
      </c>
      <c r="N204" s="71">
        <f>SUM(Table13[[#This Row],[Cont. Income - Small Donors]:[Cont. Income - Major Donors]])</f>
        <v>110977</v>
      </c>
      <c r="O204" s="56">
        <v>95977</v>
      </c>
      <c r="P204" s="56">
        <v>5000</v>
      </c>
      <c r="Q204" s="56">
        <v>10000</v>
      </c>
      <c r="R204" s="56">
        <v>0</v>
      </c>
      <c r="T204" s="56">
        <v>74610</v>
      </c>
      <c r="U204" s="56">
        <v>37080</v>
      </c>
      <c r="V204" s="56">
        <v>190700</v>
      </c>
      <c r="W204" s="56">
        <v>0</v>
      </c>
      <c r="X204" s="56">
        <v>0</v>
      </c>
      <c r="Y204" s="56">
        <v>0</v>
      </c>
      <c r="AA204" s="55">
        <f>Table13[[#This Row],[Expenses - Editorial]]+Table13[[#This Row],[Expenses - Revenue Generation]]+Table13[[#This Row],[Expenses - Tech]]+Table13[[#This Row],[Expenses - Admin]]</f>
        <v>1264409</v>
      </c>
      <c r="AB204" s="56">
        <v>960254</v>
      </c>
      <c r="AC204" s="71">
        <f>SUM(Table13[[#This Row],[Expenses - Revenue Generation]:[Expenses - Admin]])</f>
        <v>304155</v>
      </c>
      <c r="AD204" s="56">
        <v>209114</v>
      </c>
      <c r="AE204" s="56">
        <v>62814</v>
      </c>
      <c r="AF204" s="56">
        <v>32227</v>
      </c>
      <c r="AG204" s="59">
        <f>Table13[[#This Row],[Total FTE - Editorial]]+Table13[[#This Row],[Total FTE - Non-Editorial]]</f>
        <v>12</v>
      </c>
      <c r="AH204" s="59">
        <f>Table13[[#This Row],[FTE Salaried - Editorial]]+Table13[[#This Row],[FTE Contractors - Editorial]]</f>
        <v>10.5</v>
      </c>
      <c r="AI204" s="57">
        <v>8.5</v>
      </c>
      <c r="AJ204" s="57">
        <v>2</v>
      </c>
      <c r="AK204" s="60">
        <f>Table13[[#This Row],[FTE Salaried - Non-Editorial]]+Table13[[#This Row],[FTE Contractors - Non-Editorial]]</f>
        <v>1.5</v>
      </c>
      <c r="AL204" s="57">
        <v>1.5</v>
      </c>
      <c r="AM204" s="57">
        <v>0</v>
      </c>
      <c r="AN204" s="54" t="s">
        <v>351</v>
      </c>
      <c r="AO204" s="54" t="s">
        <v>573</v>
      </c>
      <c r="AQ204" s="57">
        <v>296000</v>
      </c>
      <c r="AR204" s="57">
        <v>25500</v>
      </c>
      <c r="AS204" s="57">
        <v>0</v>
      </c>
      <c r="AT204" s="57">
        <v>0</v>
      </c>
      <c r="AU204" s="57">
        <v>0</v>
      </c>
      <c r="AV204" s="57">
        <v>0</v>
      </c>
      <c r="AW204" s="57">
        <v>0</v>
      </c>
      <c r="AX204" s="57"/>
      <c r="AY204" s="57">
        <v>0</v>
      </c>
    </row>
    <row r="205" spans="1:51" x14ac:dyDescent="0.2">
      <c r="A205" s="54">
        <v>457</v>
      </c>
      <c r="B205" s="54">
        <v>2017</v>
      </c>
      <c r="C205" s="91" t="s">
        <v>80</v>
      </c>
      <c r="D205" s="54" t="s">
        <v>83</v>
      </c>
      <c r="E205" s="54" t="s">
        <v>78</v>
      </c>
      <c r="F205" s="54" t="str">
        <f>_xlfn.CONCAT(Table13[[#This Row],[Geographic Scope]],": ",Table13[[#This Row],[Sub-Type/Focus]])</f>
        <v>State: Multiple Related Topics</v>
      </c>
      <c r="G205" s="54" t="str">
        <f>_xlfn.CONCAT(Table13[[#This Row],[Geographic Scope]],": ",Table13[[#This Row],[Sub-Type/Focus]],": ",Table13[[#This Row],[Content Type]])</f>
        <v>State: Multiple Related Topics: Explanatory &amp; Analysis</v>
      </c>
      <c r="H205" s="54" t="str">
        <f>_xlfn.CONCAT(Table13[[#This Row],[Geographic Scope]],": ",Table13[[#This Row],[Content Type]])</f>
        <v>State: Explanatory &amp; Analysis</v>
      </c>
      <c r="I205" s="55">
        <f>Table13[[#This Row],[Total Contributed Income]]+Table13[[#This Row],[Total Earned Income]]</f>
        <v>806824</v>
      </c>
      <c r="J205" s="55">
        <f>Table13[[#This Row],[Cont. Income - Foundation]]+Table13[[#This Row],[Cont. Income - Membership]]+Table13[[#This Row],[Cont. Income - Small Donors]]+Table13[[#This Row],[Cont. Income - Med. Donors]]+Table13[[#This Row],[Cont. Income - Major Donors]]+Table13[[#This Row],[Cont. Income - Other]]</f>
        <v>806669</v>
      </c>
      <c r="K205" s="55">
        <f>Table13[[#This Row],[Earned Income - Advertising]]+Table13[[#This Row],[Earned Income - Sponsorships/Underwriting]]+Table13[[#This Row],[Earned Income - Events]]+Table13[[#This Row],[Earned Income - Subscriptions]]+Table13[[#This Row],[Earned Income - Syndication]]+Table13[[#This Row],[Earned Income - Other]]</f>
        <v>155</v>
      </c>
      <c r="L205" s="56">
        <v>625000</v>
      </c>
      <c r="M205" s="56">
        <v>0</v>
      </c>
      <c r="N205" s="71">
        <f>SUM(Table13[[#This Row],[Cont. Income - Small Donors]:[Cont. Income - Major Donors]])</f>
        <v>181669</v>
      </c>
      <c r="O205" s="56">
        <v>114669</v>
      </c>
      <c r="P205" s="56">
        <v>12000</v>
      </c>
      <c r="Q205" s="56">
        <v>55000</v>
      </c>
      <c r="R205" s="56">
        <v>0</v>
      </c>
      <c r="T205" s="56">
        <v>0</v>
      </c>
      <c r="U205" s="56">
        <v>0</v>
      </c>
      <c r="V205" s="56">
        <v>0</v>
      </c>
      <c r="W205" s="56">
        <v>0</v>
      </c>
      <c r="X205" s="56">
        <v>0</v>
      </c>
      <c r="Y205" s="56">
        <v>155</v>
      </c>
      <c r="AA205" s="55">
        <f>Table13[[#This Row],[Expenses - Editorial]]+Table13[[#This Row],[Expenses - Revenue Generation]]+Table13[[#This Row],[Expenses - Tech]]+Table13[[#This Row],[Expenses - Admin]]</f>
        <v>719718</v>
      </c>
      <c r="AB205" s="56">
        <v>579329</v>
      </c>
      <c r="AC205" s="71">
        <f>SUM(Table13[[#This Row],[Expenses - Revenue Generation]:[Expenses - Admin]])</f>
        <v>140389</v>
      </c>
      <c r="AD205" s="56">
        <v>16329</v>
      </c>
      <c r="AE205" s="56">
        <v>0</v>
      </c>
      <c r="AF205" s="56">
        <v>124060</v>
      </c>
      <c r="AG205" s="59">
        <f>Table13[[#This Row],[Total FTE - Editorial]]+Table13[[#This Row],[Total FTE - Non-Editorial]]</f>
        <v>9</v>
      </c>
      <c r="AH205" s="59">
        <f>Table13[[#This Row],[FTE Salaried - Editorial]]+Table13[[#This Row],[FTE Contractors - Editorial]]</f>
        <v>8</v>
      </c>
      <c r="AI205" s="57">
        <v>7</v>
      </c>
      <c r="AJ205" s="57">
        <v>1</v>
      </c>
      <c r="AK205" s="60">
        <f>Table13[[#This Row],[FTE Salaried - Non-Editorial]]+Table13[[#This Row],[FTE Contractors - Non-Editorial]]</f>
        <v>1</v>
      </c>
      <c r="AL205" s="57">
        <v>1</v>
      </c>
      <c r="AM205" s="57">
        <v>0</v>
      </c>
      <c r="AN205" s="54" t="s">
        <v>347</v>
      </c>
      <c r="AO205" s="54" t="s">
        <v>363</v>
      </c>
      <c r="AQ205" s="57">
        <v>15000</v>
      </c>
      <c r="AR205" s="57">
        <v>3000</v>
      </c>
      <c r="AS205" s="57">
        <v>0</v>
      </c>
      <c r="AT205" s="57">
        <v>1</v>
      </c>
      <c r="AU205" s="57">
        <v>0</v>
      </c>
      <c r="AV205" s="57">
        <v>0</v>
      </c>
      <c r="AW205" s="57">
        <v>0</v>
      </c>
      <c r="AX205" s="57"/>
      <c r="AY205" s="57">
        <v>0</v>
      </c>
    </row>
    <row r="206" spans="1:51" x14ac:dyDescent="0.2">
      <c r="A206" s="54">
        <v>478</v>
      </c>
      <c r="B206" s="54">
        <v>2010</v>
      </c>
      <c r="C206" s="91" t="s">
        <v>80</v>
      </c>
      <c r="D206" s="54" t="s">
        <v>83</v>
      </c>
      <c r="E206" s="54" t="s">
        <v>78</v>
      </c>
      <c r="F206" s="54" t="str">
        <f>_xlfn.CONCAT(Table13[[#This Row],[Geographic Scope]],": ",Table13[[#This Row],[Sub-Type/Focus]])</f>
        <v>State: Multiple Related Topics</v>
      </c>
      <c r="G206" s="54" t="str">
        <f>_xlfn.CONCAT(Table13[[#This Row],[Geographic Scope]],": ",Table13[[#This Row],[Sub-Type/Focus]],": ",Table13[[#This Row],[Content Type]])</f>
        <v>State: Multiple Related Topics: Explanatory &amp; Analysis</v>
      </c>
      <c r="H206" s="54" t="str">
        <f>_xlfn.CONCAT(Table13[[#This Row],[Geographic Scope]],": ",Table13[[#This Row],[Content Type]])</f>
        <v>State: Explanatory &amp; Analysis</v>
      </c>
      <c r="I206" s="55">
        <f>Table13[[#This Row],[Total Contributed Income]]+Table13[[#This Row],[Total Earned Income]]</f>
        <v>1845434</v>
      </c>
      <c r="J206" s="55">
        <f>Table13[[#This Row],[Cont. Income - Foundation]]+Table13[[#This Row],[Cont. Income - Membership]]+Table13[[#This Row],[Cont. Income - Small Donors]]+Table13[[#This Row],[Cont. Income - Med. Donors]]+Table13[[#This Row],[Cont. Income - Major Donors]]+Table13[[#This Row],[Cont. Income - Other]]</f>
        <v>1639335</v>
      </c>
      <c r="K206" s="55">
        <f>Table13[[#This Row],[Earned Income - Advertising]]+Table13[[#This Row],[Earned Income - Sponsorships/Underwriting]]+Table13[[#This Row],[Earned Income - Events]]+Table13[[#This Row],[Earned Income - Subscriptions]]+Table13[[#This Row],[Earned Income - Syndication]]+Table13[[#This Row],[Earned Income - Other]]</f>
        <v>206099</v>
      </c>
      <c r="L206" s="56">
        <v>813105</v>
      </c>
      <c r="M206" s="56">
        <v>46704</v>
      </c>
      <c r="N206" s="71">
        <f>SUM(Table13[[#This Row],[Cont. Income - Small Donors]:[Cont. Income - Major Donors]])</f>
        <v>772776</v>
      </c>
      <c r="O206" s="56">
        <v>99084</v>
      </c>
      <c r="P206" s="56">
        <v>26762</v>
      </c>
      <c r="Q206" s="56">
        <v>646930</v>
      </c>
      <c r="R206" s="56">
        <v>6750</v>
      </c>
      <c r="S206" s="55" t="s">
        <v>574</v>
      </c>
      <c r="T206" s="56">
        <v>103380</v>
      </c>
      <c r="U206" s="56">
        <v>0</v>
      </c>
      <c r="V206" s="56">
        <v>45251</v>
      </c>
      <c r="W206" s="56">
        <v>0</v>
      </c>
      <c r="X206" s="56">
        <v>55818</v>
      </c>
      <c r="Y206" s="56">
        <v>1650</v>
      </c>
      <c r="Z206" s="54" t="s">
        <v>575</v>
      </c>
      <c r="AA206" s="55">
        <f>Table13[[#This Row],[Expenses - Editorial]]+Table13[[#This Row],[Expenses - Revenue Generation]]+Table13[[#This Row],[Expenses - Tech]]+Table13[[#This Row],[Expenses - Admin]]</f>
        <v>1348750</v>
      </c>
      <c r="AB206" s="56">
        <v>1028597</v>
      </c>
      <c r="AC206" s="71">
        <f>SUM(Table13[[#This Row],[Expenses - Revenue Generation]:[Expenses - Admin]])</f>
        <v>320153</v>
      </c>
      <c r="AD206" s="56">
        <v>172754</v>
      </c>
      <c r="AE206" s="56">
        <v>63819</v>
      </c>
      <c r="AF206" s="56">
        <v>83580</v>
      </c>
      <c r="AG206" s="59">
        <f>Table13[[#This Row],[Total FTE - Editorial]]+Table13[[#This Row],[Total FTE - Non-Editorial]]</f>
        <v>15.55</v>
      </c>
      <c r="AH206" s="59">
        <f>Table13[[#This Row],[FTE Salaried - Editorial]]+Table13[[#This Row],[FTE Contractors - Editorial]]</f>
        <v>12.25</v>
      </c>
      <c r="AI206" s="57">
        <v>11.6</v>
      </c>
      <c r="AJ206" s="57">
        <v>0.65</v>
      </c>
      <c r="AK206" s="60">
        <f>Table13[[#This Row],[FTE Salaried - Non-Editorial]]+Table13[[#This Row],[FTE Contractors - Non-Editorial]]</f>
        <v>3.3</v>
      </c>
      <c r="AL206" s="57">
        <v>3.3</v>
      </c>
      <c r="AM206" s="57">
        <v>0</v>
      </c>
      <c r="AN206" s="54" t="s">
        <v>352</v>
      </c>
      <c r="AO206" s="54" t="s">
        <v>410</v>
      </c>
      <c r="AP206" s="54" t="s">
        <v>576</v>
      </c>
      <c r="AQ206" s="57">
        <v>616847</v>
      </c>
      <c r="AR206" s="57">
        <v>13364</v>
      </c>
      <c r="AS206" s="57">
        <v>0</v>
      </c>
      <c r="AT206" s="57">
        <v>0</v>
      </c>
      <c r="AU206" s="57">
        <v>0</v>
      </c>
      <c r="AV206" s="57">
        <v>0</v>
      </c>
      <c r="AW206" s="57">
        <v>0</v>
      </c>
      <c r="AX206" s="57"/>
      <c r="AY206" s="57">
        <v>2600</v>
      </c>
    </row>
    <row r="207" spans="1:51" x14ac:dyDescent="0.2">
      <c r="A207" s="54">
        <v>2936</v>
      </c>
      <c r="B207" s="54">
        <v>2019</v>
      </c>
      <c r="C207" s="91" t="s">
        <v>80</v>
      </c>
      <c r="D207" s="54" t="s">
        <v>83</v>
      </c>
      <c r="E207" s="54" t="s">
        <v>78</v>
      </c>
      <c r="F207" s="54" t="str">
        <f>_xlfn.CONCAT(Table13[[#This Row],[Geographic Scope]],": ",Table13[[#This Row],[Sub-Type/Focus]])</f>
        <v>State: Multiple Related Topics</v>
      </c>
      <c r="G207" s="54" t="str">
        <f>_xlfn.CONCAT(Table13[[#This Row],[Geographic Scope]],": ",Table13[[#This Row],[Sub-Type/Focus]],": ",Table13[[#This Row],[Content Type]])</f>
        <v>State: Multiple Related Topics: Explanatory &amp; Analysis</v>
      </c>
      <c r="H207" s="54" t="str">
        <f>_xlfn.CONCAT(Table13[[#This Row],[Geographic Scope]],": ",Table13[[#This Row],[Content Type]])</f>
        <v>State: Explanatory &amp; Analysis</v>
      </c>
      <c r="I207" s="55">
        <f>Table13[[#This Row],[Total Contributed Income]]+Table13[[#This Row],[Total Earned Income]]</f>
        <v>1387999</v>
      </c>
      <c r="J207" s="55">
        <f>Table13[[#This Row],[Cont. Income - Foundation]]+Table13[[#This Row],[Cont. Income - Membership]]+Table13[[#This Row],[Cont. Income - Small Donors]]+Table13[[#This Row],[Cont. Income - Med. Donors]]+Table13[[#This Row],[Cont. Income - Major Donors]]+Table13[[#This Row],[Cont. Income - Other]]</f>
        <v>1387999</v>
      </c>
      <c r="K207" s="55">
        <f>Table13[[#This Row],[Earned Income - Advertising]]+Table13[[#This Row],[Earned Income - Sponsorships/Underwriting]]+Table13[[#This Row],[Earned Income - Events]]+Table13[[#This Row],[Earned Income - Subscriptions]]+Table13[[#This Row],[Earned Income - Syndication]]+Table13[[#This Row],[Earned Income - Other]]</f>
        <v>0</v>
      </c>
      <c r="L207" s="56">
        <v>862893</v>
      </c>
      <c r="M207" s="56">
        <v>0</v>
      </c>
      <c r="N207" s="71">
        <f>SUM(Table13[[#This Row],[Cont. Income - Small Donors]:[Cont. Income - Major Donors]])</f>
        <v>485106</v>
      </c>
      <c r="O207" s="56">
        <v>125606</v>
      </c>
      <c r="P207" s="56">
        <v>9500</v>
      </c>
      <c r="Q207" s="56">
        <v>350000</v>
      </c>
      <c r="R207" s="56">
        <v>40000</v>
      </c>
      <c r="S207" s="55" t="s">
        <v>577</v>
      </c>
      <c r="T207" s="56">
        <v>0</v>
      </c>
      <c r="U207" s="56">
        <v>0</v>
      </c>
      <c r="V207" s="56">
        <v>0</v>
      </c>
      <c r="W207" s="56">
        <v>0</v>
      </c>
      <c r="X207" s="56">
        <v>0</v>
      </c>
      <c r="Y207" s="56">
        <v>0</v>
      </c>
      <c r="AA207" s="55">
        <f>Table13[[#This Row],[Expenses - Editorial]]+Table13[[#This Row],[Expenses - Revenue Generation]]+Table13[[#This Row],[Expenses - Tech]]+Table13[[#This Row],[Expenses - Admin]]</f>
        <v>1130300</v>
      </c>
      <c r="AB207" s="56">
        <v>885100</v>
      </c>
      <c r="AC207" s="71">
        <f>SUM(Table13[[#This Row],[Expenses - Revenue Generation]:[Expenses - Admin]])</f>
        <v>245200</v>
      </c>
      <c r="AD207" s="56">
        <v>90000</v>
      </c>
      <c r="AE207" s="56">
        <v>19700</v>
      </c>
      <c r="AF207" s="56">
        <v>135500</v>
      </c>
      <c r="AG207" s="59">
        <f>Table13[[#This Row],[Total FTE - Editorial]]+Table13[[#This Row],[Total FTE - Non-Editorial]]</f>
        <v>17</v>
      </c>
      <c r="AH207" s="59">
        <f>Table13[[#This Row],[FTE Salaried - Editorial]]+Table13[[#This Row],[FTE Contractors - Editorial]]</f>
        <v>17</v>
      </c>
      <c r="AI207" s="57">
        <v>14</v>
      </c>
      <c r="AJ207" s="57">
        <v>3</v>
      </c>
      <c r="AK207" s="60">
        <f>Table13[[#This Row],[FTE Salaried - Non-Editorial]]+Table13[[#This Row],[FTE Contractors - Non-Editorial]]</f>
        <v>0</v>
      </c>
      <c r="AL207" s="57">
        <v>0</v>
      </c>
      <c r="AM207" s="57">
        <v>0</v>
      </c>
      <c r="AN207" s="54" t="s">
        <v>352</v>
      </c>
      <c r="AO207" s="54" t="s">
        <v>446</v>
      </c>
      <c r="AQ207" s="57">
        <v>166796</v>
      </c>
      <c r="AR207" s="57">
        <v>15174</v>
      </c>
      <c r="AS207" s="57">
        <v>0</v>
      </c>
      <c r="AT207" s="57">
        <v>0</v>
      </c>
      <c r="AU207" s="57">
        <v>0</v>
      </c>
      <c r="AV207" s="57">
        <v>0</v>
      </c>
      <c r="AW207" s="57">
        <v>0</v>
      </c>
      <c r="AX207" s="57"/>
      <c r="AY207" s="57">
        <v>0</v>
      </c>
    </row>
    <row r="208" spans="1:51" x14ac:dyDescent="0.2">
      <c r="A208" s="54">
        <v>2946</v>
      </c>
      <c r="B208" s="54">
        <v>2019</v>
      </c>
      <c r="C208" s="91" t="s">
        <v>80</v>
      </c>
      <c r="D208" s="54" t="s">
        <v>83</v>
      </c>
      <c r="E208" s="54" t="s">
        <v>78</v>
      </c>
      <c r="F208" s="54" t="str">
        <f>_xlfn.CONCAT(Table13[[#This Row],[Geographic Scope]],": ",Table13[[#This Row],[Sub-Type/Focus]])</f>
        <v>State: Multiple Related Topics</v>
      </c>
      <c r="G208" s="54" t="str">
        <f>_xlfn.CONCAT(Table13[[#This Row],[Geographic Scope]],": ",Table13[[#This Row],[Sub-Type/Focus]],": ",Table13[[#This Row],[Content Type]])</f>
        <v>State: Multiple Related Topics: Explanatory &amp; Analysis</v>
      </c>
      <c r="H208" s="54" t="str">
        <f>_xlfn.CONCAT(Table13[[#This Row],[Geographic Scope]],": ",Table13[[#This Row],[Content Type]])</f>
        <v>State: Explanatory &amp; Analysis</v>
      </c>
      <c r="I208" s="55">
        <f>Table13[[#This Row],[Total Contributed Income]]+Table13[[#This Row],[Total Earned Income]]</f>
        <v>40000</v>
      </c>
      <c r="J208" s="55">
        <f>Table13[[#This Row],[Cont. Income - Foundation]]+Table13[[#This Row],[Cont. Income - Membership]]+Table13[[#This Row],[Cont. Income - Small Donors]]+Table13[[#This Row],[Cont. Income - Med. Donors]]+Table13[[#This Row],[Cont. Income - Major Donors]]+Table13[[#This Row],[Cont. Income - Other]]</f>
        <v>40000</v>
      </c>
      <c r="K208" s="55">
        <f>Table13[[#This Row],[Earned Income - Advertising]]+Table13[[#This Row],[Earned Income - Sponsorships/Underwriting]]+Table13[[#This Row],[Earned Income - Events]]+Table13[[#This Row],[Earned Income - Subscriptions]]+Table13[[#This Row],[Earned Income - Syndication]]+Table13[[#This Row],[Earned Income - Other]]</f>
        <v>0</v>
      </c>
      <c r="L208" s="56">
        <v>15000</v>
      </c>
      <c r="M208" s="56">
        <v>0</v>
      </c>
      <c r="N208" s="71">
        <f>SUM(Table13[[#This Row],[Cont. Income - Small Donors]:[Cont. Income - Major Donors]])</f>
        <v>25000</v>
      </c>
      <c r="O208" s="56">
        <v>17000</v>
      </c>
      <c r="P208" s="56">
        <v>3000</v>
      </c>
      <c r="Q208" s="56">
        <v>5000</v>
      </c>
      <c r="R208" s="56">
        <v>0</v>
      </c>
      <c r="T208" s="56">
        <v>0</v>
      </c>
      <c r="U208" s="56">
        <v>0</v>
      </c>
      <c r="V208" s="56">
        <v>0</v>
      </c>
      <c r="W208" s="56">
        <v>0</v>
      </c>
      <c r="X208" s="56">
        <v>0</v>
      </c>
      <c r="Y208" s="56">
        <v>0</v>
      </c>
      <c r="AA208" s="55">
        <f>Table13[[#This Row],[Expenses - Editorial]]+Table13[[#This Row],[Expenses - Revenue Generation]]+Table13[[#This Row],[Expenses - Tech]]+Table13[[#This Row],[Expenses - Admin]]</f>
        <v>6710</v>
      </c>
      <c r="AB208" s="56">
        <v>5900</v>
      </c>
      <c r="AC208" s="71">
        <f>SUM(Table13[[#This Row],[Expenses - Revenue Generation]:[Expenses - Admin]])</f>
        <v>810</v>
      </c>
      <c r="AD208" s="56">
        <v>0</v>
      </c>
      <c r="AE208" s="56">
        <v>410</v>
      </c>
      <c r="AF208" s="56">
        <v>400</v>
      </c>
      <c r="AG208" s="59">
        <f>Table13[[#This Row],[Total FTE - Editorial]]+Table13[[#This Row],[Total FTE - Non-Editorial]]</f>
        <v>2</v>
      </c>
      <c r="AH208" s="59">
        <f>Table13[[#This Row],[FTE Salaried - Editorial]]+Table13[[#This Row],[FTE Contractors - Editorial]]</f>
        <v>2</v>
      </c>
      <c r="AI208" s="57">
        <v>0</v>
      </c>
      <c r="AJ208" s="57">
        <v>2</v>
      </c>
      <c r="AK208" s="60">
        <f>Table13[[#This Row],[FTE Salaried - Non-Editorial]]+Table13[[#This Row],[FTE Contractors - Non-Editorial]]</f>
        <v>0</v>
      </c>
      <c r="AL208" s="57">
        <v>0</v>
      </c>
      <c r="AM208" s="57">
        <v>0</v>
      </c>
      <c r="AN208" s="54" t="s">
        <v>352</v>
      </c>
      <c r="AO208" s="54" t="s">
        <v>495</v>
      </c>
      <c r="AQ208" s="57">
        <v>5059</v>
      </c>
      <c r="AR208" s="57">
        <v>487</v>
      </c>
      <c r="AS208" s="57">
        <v>0</v>
      </c>
      <c r="AT208" s="57">
        <v>0</v>
      </c>
      <c r="AU208" s="57">
        <v>3000000</v>
      </c>
      <c r="AV208" s="57">
        <v>0</v>
      </c>
      <c r="AW208" s="57">
        <v>0</v>
      </c>
      <c r="AX208" s="57"/>
      <c r="AY208" s="57">
        <v>0</v>
      </c>
    </row>
    <row r="209" spans="1:51" x14ac:dyDescent="0.2">
      <c r="A209" s="54">
        <v>365</v>
      </c>
      <c r="B209" s="54">
        <v>1977</v>
      </c>
      <c r="C209" s="91" t="s">
        <v>80</v>
      </c>
      <c r="D209" s="54" t="s">
        <v>83</v>
      </c>
      <c r="E209" s="54" t="s">
        <v>79</v>
      </c>
      <c r="F209" s="54" t="str">
        <f>_xlfn.CONCAT(Table13[[#This Row],[Geographic Scope]],": ",Table13[[#This Row],[Sub-Type/Focus]])</f>
        <v>State: Single-Topic</v>
      </c>
      <c r="G209" s="54" t="str">
        <f>_xlfn.CONCAT(Table13[[#This Row],[Geographic Scope]],": ",Table13[[#This Row],[Sub-Type/Focus]],": ",Table13[[#This Row],[Content Type]])</f>
        <v>State: Single-Topic: Explanatory &amp; Analysis</v>
      </c>
      <c r="H209" s="54" t="str">
        <f>_xlfn.CONCAT(Table13[[#This Row],[Geographic Scope]],": ",Table13[[#This Row],[Content Type]])</f>
        <v>State: Explanatory &amp; Analysis</v>
      </c>
      <c r="I209" s="55">
        <f>Table13[[#This Row],[Total Contributed Income]]+Table13[[#This Row],[Total Earned Income]]</f>
        <v>3734739.69</v>
      </c>
      <c r="J209" s="55">
        <f>Table13[[#This Row],[Cont. Income - Foundation]]+Table13[[#This Row],[Cont. Income - Membership]]+Table13[[#This Row],[Cont. Income - Small Donors]]+Table13[[#This Row],[Cont. Income - Med. Donors]]+Table13[[#This Row],[Cont. Income - Major Donors]]+Table13[[#This Row],[Cont. Income - Other]]</f>
        <v>3618991.43</v>
      </c>
      <c r="K209" s="55">
        <f>Table13[[#This Row],[Earned Income - Advertising]]+Table13[[#This Row],[Earned Income - Sponsorships/Underwriting]]+Table13[[#This Row],[Earned Income - Events]]+Table13[[#This Row],[Earned Income - Subscriptions]]+Table13[[#This Row],[Earned Income - Syndication]]+Table13[[#This Row],[Earned Income - Other]]</f>
        <v>115748.26</v>
      </c>
      <c r="L209" s="56">
        <v>3528657</v>
      </c>
      <c r="M209" s="56">
        <v>0</v>
      </c>
      <c r="N209" s="71">
        <f>SUM(Table13[[#This Row],[Cont. Income - Small Donors]:[Cont. Income - Major Donors]])</f>
        <v>90334.43</v>
      </c>
      <c r="O209" s="56">
        <v>38248.93</v>
      </c>
      <c r="P209" s="56">
        <v>24585.5</v>
      </c>
      <c r="Q209" s="56">
        <v>27500</v>
      </c>
      <c r="R209" s="56">
        <v>0</v>
      </c>
      <c r="T209" s="56">
        <v>0</v>
      </c>
      <c r="U209" s="56">
        <v>0</v>
      </c>
      <c r="V209" s="56">
        <v>0</v>
      </c>
      <c r="W209" s="56">
        <v>0</v>
      </c>
      <c r="X209" s="56">
        <v>0</v>
      </c>
      <c r="Y209" s="56">
        <v>115748.26</v>
      </c>
      <c r="Z209" s="54" t="s">
        <v>578</v>
      </c>
      <c r="AA209" s="55">
        <f>Table13[[#This Row],[Expenses - Editorial]]+Table13[[#This Row],[Expenses - Revenue Generation]]+Table13[[#This Row],[Expenses - Tech]]+Table13[[#This Row],[Expenses - Admin]]</f>
        <v>3555226</v>
      </c>
      <c r="AB209" s="56">
        <v>2727204</v>
      </c>
      <c r="AC209" s="71">
        <f>SUM(Table13[[#This Row],[Expenses - Revenue Generation]:[Expenses - Admin]])</f>
        <v>828022</v>
      </c>
      <c r="AD209" s="56">
        <v>131447</v>
      </c>
      <c r="AE209" s="56">
        <v>258988</v>
      </c>
      <c r="AF209" s="56">
        <v>437587</v>
      </c>
      <c r="AG209" s="59">
        <f>Table13[[#This Row],[Total FTE - Editorial]]+Table13[[#This Row],[Total FTE - Non-Editorial]]</f>
        <v>26</v>
      </c>
      <c r="AH209" s="59">
        <f>Table13[[#This Row],[FTE Salaried - Editorial]]+Table13[[#This Row],[FTE Contractors - Editorial]]</f>
        <v>18</v>
      </c>
      <c r="AI209" s="57">
        <v>17</v>
      </c>
      <c r="AJ209" s="57">
        <v>1</v>
      </c>
      <c r="AK209" s="60">
        <f>Table13[[#This Row],[FTE Salaried - Non-Editorial]]+Table13[[#This Row],[FTE Contractors - Non-Editorial]]</f>
        <v>8</v>
      </c>
      <c r="AL209" s="57">
        <v>7</v>
      </c>
      <c r="AM209" s="57">
        <v>1</v>
      </c>
      <c r="AN209" s="54" t="s">
        <v>352</v>
      </c>
      <c r="AO209" s="54" t="s">
        <v>579</v>
      </c>
      <c r="AP209" s="54" t="s">
        <v>580</v>
      </c>
      <c r="AQ209" s="57">
        <v>705543</v>
      </c>
      <c r="AR209" s="57">
        <v>36660</v>
      </c>
      <c r="AS209" s="57">
        <v>0</v>
      </c>
      <c r="AT209" s="57">
        <v>0</v>
      </c>
      <c r="AU209" s="57">
        <v>0</v>
      </c>
      <c r="AV209" s="57">
        <v>0</v>
      </c>
      <c r="AW209" s="57">
        <v>0</v>
      </c>
      <c r="AX209" s="57"/>
      <c r="AY209" s="57">
        <v>6801</v>
      </c>
    </row>
    <row r="210" spans="1:51" x14ac:dyDescent="0.2">
      <c r="A210" s="54">
        <v>376</v>
      </c>
      <c r="B210" s="54">
        <v>2010</v>
      </c>
      <c r="C210" s="91" t="s">
        <v>80</v>
      </c>
      <c r="D210" s="54" t="s">
        <v>83</v>
      </c>
      <c r="E210" s="54" t="s">
        <v>79</v>
      </c>
      <c r="F210" s="54" t="str">
        <f>_xlfn.CONCAT(Table13[[#This Row],[Geographic Scope]],": ",Table13[[#This Row],[Sub-Type/Focus]])</f>
        <v>State: Single-Topic</v>
      </c>
      <c r="G210" s="54" t="str">
        <f>_xlfn.CONCAT(Table13[[#This Row],[Geographic Scope]],": ",Table13[[#This Row],[Sub-Type/Focus]],": ",Table13[[#This Row],[Content Type]])</f>
        <v>State: Single-Topic: Explanatory &amp; Analysis</v>
      </c>
      <c r="H210" s="54" t="str">
        <f>_xlfn.CONCAT(Table13[[#This Row],[Geographic Scope]],": ",Table13[[#This Row],[Content Type]])</f>
        <v>State: Explanatory &amp; Analysis</v>
      </c>
      <c r="I210" s="55">
        <f>Table13[[#This Row],[Total Contributed Income]]+Table13[[#This Row],[Total Earned Income]]</f>
        <v>101014</v>
      </c>
      <c r="J210" s="55">
        <f>Table13[[#This Row],[Cont. Income - Foundation]]+Table13[[#This Row],[Cont. Income - Membership]]+Table13[[#This Row],[Cont. Income - Small Donors]]+Table13[[#This Row],[Cont. Income - Med. Donors]]+Table13[[#This Row],[Cont. Income - Major Donors]]+Table13[[#This Row],[Cont. Income - Other]]</f>
        <v>86514</v>
      </c>
      <c r="K210" s="55">
        <f>Table13[[#This Row],[Earned Income - Advertising]]+Table13[[#This Row],[Earned Income - Sponsorships/Underwriting]]+Table13[[#This Row],[Earned Income - Events]]+Table13[[#This Row],[Earned Income - Subscriptions]]+Table13[[#This Row],[Earned Income - Syndication]]+Table13[[#This Row],[Earned Income - Other]]</f>
        <v>14500</v>
      </c>
      <c r="L210" s="56">
        <v>75000</v>
      </c>
      <c r="M210" s="56">
        <v>0</v>
      </c>
      <c r="N210" s="71">
        <f>SUM(Table13[[#This Row],[Cont. Income - Small Donors]:[Cont. Income - Major Donors]])</f>
        <v>11514</v>
      </c>
      <c r="O210" s="56">
        <v>9514</v>
      </c>
      <c r="P210" s="56">
        <v>2000</v>
      </c>
      <c r="Q210" s="56">
        <v>0</v>
      </c>
      <c r="R210" s="56">
        <v>0</v>
      </c>
      <c r="T210" s="56">
        <v>500</v>
      </c>
      <c r="U210" s="56">
        <v>14000</v>
      </c>
      <c r="V210" s="56">
        <v>0</v>
      </c>
      <c r="W210" s="56">
        <v>0</v>
      </c>
      <c r="X210" s="56">
        <v>0</v>
      </c>
      <c r="Y210" s="56">
        <v>0</v>
      </c>
      <c r="AA210" s="55">
        <f>Table13[[#This Row],[Expenses - Editorial]]+Table13[[#This Row],[Expenses - Revenue Generation]]+Table13[[#This Row],[Expenses - Tech]]+Table13[[#This Row],[Expenses - Admin]]</f>
        <v>63200</v>
      </c>
      <c r="AB210" s="56">
        <v>60700</v>
      </c>
      <c r="AC210" s="71">
        <f>SUM(Table13[[#This Row],[Expenses - Revenue Generation]:[Expenses - Admin]])</f>
        <v>2500</v>
      </c>
      <c r="AD210" s="56">
        <v>1000</v>
      </c>
      <c r="AE210" s="56">
        <v>1500</v>
      </c>
      <c r="AF210" s="56">
        <v>0</v>
      </c>
      <c r="AG210" s="59">
        <f>Table13[[#This Row],[Total FTE - Editorial]]+Table13[[#This Row],[Total FTE - Non-Editorial]]</f>
        <v>1</v>
      </c>
      <c r="AH210" s="59">
        <f>Table13[[#This Row],[FTE Salaried - Editorial]]+Table13[[#This Row],[FTE Contractors - Editorial]]</f>
        <v>1</v>
      </c>
      <c r="AI210" s="57">
        <v>1</v>
      </c>
      <c r="AJ210" s="57">
        <v>0</v>
      </c>
      <c r="AK210" s="60">
        <f>Table13[[#This Row],[FTE Salaried - Non-Editorial]]+Table13[[#This Row],[FTE Contractors - Non-Editorial]]</f>
        <v>0</v>
      </c>
      <c r="AL210" s="57">
        <v>0</v>
      </c>
      <c r="AM210" s="57">
        <v>0</v>
      </c>
      <c r="AN210" s="54" t="s">
        <v>352</v>
      </c>
      <c r="AO210" s="54" t="s">
        <v>495</v>
      </c>
      <c r="AQ210" s="57">
        <v>30000</v>
      </c>
      <c r="AR210" s="57">
        <v>0</v>
      </c>
      <c r="AS210" s="57">
        <v>0</v>
      </c>
      <c r="AT210" s="57">
        <v>0</v>
      </c>
      <c r="AU210" s="57">
        <v>0</v>
      </c>
      <c r="AV210" s="57" t="s">
        <v>581</v>
      </c>
      <c r="AW210" s="57">
        <v>0</v>
      </c>
      <c r="AX210" s="57"/>
      <c r="AY210" s="57">
        <v>0</v>
      </c>
    </row>
    <row r="211" spans="1:51" x14ac:dyDescent="0.2">
      <c r="A211" s="54">
        <v>429</v>
      </c>
      <c r="B211" s="54">
        <v>2011</v>
      </c>
      <c r="C211" s="91" t="s">
        <v>80</v>
      </c>
      <c r="D211" s="54" t="s">
        <v>83</v>
      </c>
      <c r="E211" s="54" t="s">
        <v>79</v>
      </c>
      <c r="F211" s="54" t="str">
        <f>_xlfn.CONCAT(Table13[[#This Row],[Geographic Scope]],": ",Table13[[#This Row],[Sub-Type/Focus]])</f>
        <v>State: Single-Topic</v>
      </c>
      <c r="G211" s="54" t="str">
        <f>_xlfn.CONCAT(Table13[[#This Row],[Geographic Scope]],": ",Table13[[#This Row],[Sub-Type/Focus]],": ",Table13[[#This Row],[Content Type]])</f>
        <v>State: Single-Topic: Explanatory &amp; Analysis</v>
      </c>
      <c r="H211" s="54" t="str">
        <f>_xlfn.CONCAT(Table13[[#This Row],[Geographic Scope]],": ",Table13[[#This Row],[Content Type]])</f>
        <v>State: Explanatory &amp; Analysis</v>
      </c>
      <c r="I211" s="55">
        <f>Table13[[#This Row],[Total Contributed Income]]+Table13[[#This Row],[Total Earned Income]]</f>
        <v>393199</v>
      </c>
      <c r="J211" s="55">
        <f>Table13[[#This Row],[Cont. Income - Foundation]]+Table13[[#This Row],[Cont. Income - Membership]]+Table13[[#This Row],[Cont. Income - Small Donors]]+Table13[[#This Row],[Cont. Income - Med. Donors]]+Table13[[#This Row],[Cont. Income - Major Donors]]+Table13[[#This Row],[Cont. Income - Other]]</f>
        <v>355959</v>
      </c>
      <c r="K211" s="55">
        <f>Table13[[#This Row],[Earned Income - Advertising]]+Table13[[#This Row],[Earned Income - Sponsorships/Underwriting]]+Table13[[#This Row],[Earned Income - Events]]+Table13[[#This Row],[Earned Income - Subscriptions]]+Table13[[#This Row],[Earned Income - Syndication]]+Table13[[#This Row],[Earned Income - Other]]</f>
        <v>37240</v>
      </c>
      <c r="L211" s="56">
        <v>293900</v>
      </c>
      <c r="M211" s="56">
        <v>0</v>
      </c>
      <c r="N211" s="71">
        <f>SUM(Table13[[#This Row],[Cont. Income - Small Donors]:[Cont. Income - Major Donors]])</f>
        <v>62059</v>
      </c>
      <c r="O211" s="56">
        <v>52991</v>
      </c>
      <c r="P211" s="56">
        <v>9068</v>
      </c>
      <c r="Q211" s="56">
        <v>0</v>
      </c>
      <c r="R211" s="56">
        <v>0</v>
      </c>
      <c r="T211" s="56">
        <v>0</v>
      </c>
      <c r="U211" s="56">
        <v>31540</v>
      </c>
      <c r="V211" s="56">
        <v>0</v>
      </c>
      <c r="W211" s="56">
        <v>0</v>
      </c>
      <c r="X211" s="56">
        <v>0</v>
      </c>
      <c r="Y211" s="56">
        <v>5700</v>
      </c>
      <c r="Z211" s="54" t="s">
        <v>582</v>
      </c>
      <c r="AA211" s="55">
        <f>Table13[[#This Row],[Expenses - Editorial]]+Table13[[#This Row],[Expenses - Revenue Generation]]+Table13[[#This Row],[Expenses - Tech]]+Table13[[#This Row],[Expenses - Admin]]</f>
        <v>376037</v>
      </c>
      <c r="AB211" s="56">
        <v>273073</v>
      </c>
      <c r="AC211" s="71">
        <f>SUM(Table13[[#This Row],[Expenses - Revenue Generation]:[Expenses - Admin]])</f>
        <v>102964</v>
      </c>
      <c r="AD211" s="56">
        <v>75782</v>
      </c>
      <c r="AE211" s="56">
        <v>13559</v>
      </c>
      <c r="AF211" s="56">
        <v>13623</v>
      </c>
      <c r="AG211" s="59">
        <f>Table13[[#This Row],[Total FTE - Editorial]]+Table13[[#This Row],[Total FTE - Non-Editorial]]</f>
        <v>6.5</v>
      </c>
      <c r="AH211" s="59">
        <f>Table13[[#This Row],[FTE Salaried - Editorial]]+Table13[[#This Row],[FTE Contractors - Editorial]]</f>
        <v>5</v>
      </c>
      <c r="AI211" s="57">
        <v>2.5</v>
      </c>
      <c r="AJ211" s="57">
        <v>2.5</v>
      </c>
      <c r="AK211" s="60">
        <f>Table13[[#This Row],[FTE Salaried - Non-Editorial]]+Table13[[#This Row],[FTE Contractors - Non-Editorial]]</f>
        <v>1.5</v>
      </c>
      <c r="AL211" s="57">
        <v>1.5</v>
      </c>
      <c r="AM211" s="57">
        <v>0</v>
      </c>
      <c r="AN211" s="54" t="s">
        <v>352</v>
      </c>
      <c r="AO211" s="54" t="s">
        <v>495</v>
      </c>
      <c r="AQ211" s="57">
        <v>130129</v>
      </c>
      <c r="AR211" s="57">
        <v>13383</v>
      </c>
      <c r="AS211" s="57">
        <v>0</v>
      </c>
      <c r="AT211" s="57">
        <v>0</v>
      </c>
      <c r="AU211" s="57">
        <v>0</v>
      </c>
      <c r="AV211" s="57">
        <v>0</v>
      </c>
      <c r="AW211" s="57">
        <v>0</v>
      </c>
      <c r="AX211" s="57"/>
      <c r="AY211" s="57">
        <v>0</v>
      </c>
    </row>
    <row r="212" spans="1:51" x14ac:dyDescent="0.2">
      <c r="A212" s="54">
        <v>6845</v>
      </c>
      <c r="B212" s="54">
        <v>2018</v>
      </c>
      <c r="C212" s="91" t="s">
        <v>80</v>
      </c>
      <c r="D212" s="54" t="s">
        <v>83</v>
      </c>
      <c r="E212" s="54" t="s">
        <v>79</v>
      </c>
      <c r="F212" s="54" t="str">
        <f>_xlfn.CONCAT(Table13[[#This Row],[Geographic Scope]],": ",Table13[[#This Row],[Sub-Type/Focus]])</f>
        <v>State: Single-Topic</v>
      </c>
      <c r="G212" s="54" t="str">
        <f>_xlfn.CONCAT(Table13[[#This Row],[Geographic Scope]],": ",Table13[[#This Row],[Sub-Type/Focus]],": ",Table13[[#This Row],[Content Type]])</f>
        <v>State: Single-Topic: Explanatory &amp; Analysis</v>
      </c>
      <c r="H212" s="54" t="str">
        <f>_xlfn.CONCAT(Table13[[#This Row],[Geographic Scope]],": ",Table13[[#This Row],[Content Type]])</f>
        <v>State: Explanatory &amp; Analysis</v>
      </c>
      <c r="I212" s="55">
        <f>Table13[[#This Row],[Total Contributed Income]]+Table13[[#This Row],[Total Earned Income]]</f>
        <v>17641</v>
      </c>
      <c r="J212" s="55">
        <f>Table13[[#This Row],[Cont. Income - Foundation]]+Table13[[#This Row],[Cont. Income - Membership]]+Table13[[#This Row],[Cont. Income - Small Donors]]+Table13[[#This Row],[Cont. Income - Med. Donors]]+Table13[[#This Row],[Cont. Income - Major Donors]]+Table13[[#This Row],[Cont. Income - Other]]</f>
        <v>17641</v>
      </c>
      <c r="K212" s="55">
        <f>Table13[[#This Row],[Earned Income - Advertising]]+Table13[[#This Row],[Earned Income - Sponsorships/Underwriting]]+Table13[[#This Row],[Earned Income - Events]]+Table13[[#This Row],[Earned Income - Subscriptions]]+Table13[[#This Row],[Earned Income - Syndication]]+Table13[[#This Row],[Earned Income - Other]]</f>
        <v>0</v>
      </c>
      <c r="L212" s="56">
        <v>5000</v>
      </c>
      <c r="M212" s="56">
        <v>2220</v>
      </c>
      <c r="N212" s="71">
        <f>SUM(Table13[[#This Row],[Cont. Income - Small Donors]:[Cont. Income - Major Donors]])</f>
        <v>10421</v>
      </c>
      <c r="O212" s="56">
        <v>9421</v>
      </c>
      <c r="P212" s="56">
        <v>1000</v>
      </c>
      <c r="Q212" s="56">
        <v>0</v>
      </c>
      <c r="R212" s="56">
        <v>0</v>
      </c>
      <c r="T212" s="56">
        <v>0</v>
      </c>
      <c r="U212" s="56">
        <v>0</v>
      </c>
      <c r="V212" s="56">
        <v>0</v>
      </c>
      <c r="W212" s="56">
        <v>0</v>
      </c>
      <c r="X212" s="56">
        <v>0</v>
      </c>
      <c r="Y212" s="56">
        <v>0</v>
      </c>
      <c r="AA212" s="55">
        <f>Table13[[#This Row],[Expenses - Editorial]]+Table13[[#This Row],[Expenses - Revenue Generation]]+Table13[[#This Row],[Expenses - Tech]]+Table13[[#This Row],[Expenses - Admin]]</f>
        <v>5800</v>
      </c>
      <c r="AB212" s="56">
        <v>5000</v>
      </c>
      <c r="AC212" s="71">
        <f>SUM(Table13[[#This Row],[Expenses - Revenue Generation]:[Expenses - Admin]])</f>
        <v>800</v>
      </c>
      <c r="AD212" s="56">
        <v>0</v>
      </c>
      <c r="AE212" s="56">
        <v>300</v>
      </c>
      <c r="AF212" s="56">
        <v>500</v>
      </c>
      <c r="AG212" s="59">
        <f>Table13[[#This Row],[Total FTE - Editorial]]+Table13[[#This Row],[Total FTE - Non-Editorial]]</f>
        <v>0</v>
      </c>
      <c r="AH212" s="59">
        <f>Table13[[#This Row],[FTE Salaried - Editorial]]+Table13[[#This Row],[FTE Contractors - Editorial]]</f>
        <v>0</v>
      </c>
      <c r="AI212" s="57">
        <v>0</v>
      </c>
      <c r="AJ212" s="57">
        <v>0</v>
      </c>
      <c r="AK212" s="60">
        <f>Table13[[#This Row],[FTE Salaried - Non-Editorial]]+Table13[[#This Row],[FTE Contractors - Non-Editorial]]</f>
        <v>0</v>
      </c>
      <c r="AL212" s="57">
        <v>0</v>
      </c>
      <c r="AM212" s="57">
        <v>0</v>
      </c>
      <c r="AN212" s="54" t="s">
        <v>347</v>
      </c>
      <c r="AO212" s="54" t="s">
        <v>356</v>
      </c>
      <c r="AP212" s="54" t="s">
        <v>583</v>
      </c>
      <c r="AQ212" s="57">
        <v>2500</v>
      </c>
      <c r="AR212" s="57">
        <v>430</v>
      </c>
      <c r="AS212" s="57">
        <v>0</v>
      </c>
      <c r="AT212" s="57">
        <v>0</v>
      </c>
      <c r="AU212" s="57">
        <v>0</v>
      </c>
      <c r="AV212" s="57">
        <v>0</v>
      </c>
      <c r="AW212" s="57">
        <v>0</v>
      </c>
      <c r="AX212" s="57"/>
      <c r="AY212" s="57">
        <v>0</v>
      </c>
    </row>
    <row r="213" spans="1:51" x14ac:dyDescent="0.2">
      <c r="A213" s="54">
        <v>327</v>
      </c>
      <c r="B213" s="54">
        <v>2012</v>
      </c>
      <c r="C213" s="91" t="s">
        <v>81</v>
      </c>
      <c r="D213" s="54" t="s">
        <v>83</v>
      </c>
      <c r="E213" s="54" t="s">
        <v>77</v>
      </c>
      <c r="F213" s="54" t="str">
        <f>_xlfn.CONCAT(Table13[[#This Row],[Geographic Scope]],": ",Table13[[#This Row],[Sub-Type/Focus]])</f>
        <v>State: General</v>
      </c>
      <c r="G213" s="54" t="str">
        <f>_xlfn.CONCAT(Table13[[#This Row],[Geographic Scope]],": ",Table13[[#This Row],[Sub-Type/Focus]],": ",Table13[[#This Row],[Content Type]])</f>
        <v>State: General: Investigative</v>
      </c>
      <c r="H213" s="54" t="str">
        <f>_xlfn.CONCAT(Table13[[#This Row],[Geographic Scope]],": ",Table13[[#This Row],[Content Type]])</f>
        <v>State: Investigative</v>
      </c>
      <c r="I213" s="55">
        <f>Table13[[#This Row],[Total Contributed Income]]+Table13[[#This Row],[Total Earned Income]]</f>
        <v>75809</v>
      </c>
      <c r="J213" s="55">
        <f>Table13[[#This Row],[Cont. Income - Foundation]]+Table13[[#This Row],[Cont. Income - Membership]]+Table13[[#This Row],[Cont. Income - Small Donors]]+Table13[[#This Row],[Cont. Income - Med. Donors]]+Table13[[#This Row],[Cont. Income - Major Donors]]+Table13[[#This Row],[Cont. Income - Other]]</f>
        <v>75809</v>
      </c>
      <c r="K213" s="55">
        <f>Table13[[#This Row],[Earned Income - Advertising]]+Table13[[#This Row],[Earned Income - Sponsorships/Underwriting]]+Table13[[#This Row],[Earned Income - Events]]+Table13[[#This Row],[Earned Income - Subscriptions]]+Table13[[#This Row],[Earned Income - Syndication]]+Table13[[#This Row],[Earned Income - Other]]</f>
        <v>0</v>
      </c>
      <c r="L213" s="56">
        <v>30000</v>
      </c>
      <c r="M213" s="56">
        <v>0</v>
      </c>
      <c r="N213" s="71">
        <f>SUM(Table13[[#This Row],[Cont. Income - Small Donors]:[Cont. Income - Major Donors]])</f>
        <v>45809</v>
      </c>
      <c r="O213" s="56">
        <v>14124</v>
      </c>
      <c r="P213" s="56">
        <v>11685</v>
      </c>
      <c r="Q213" s="56">
        <v>20000</v>
      </c>
      <c r="R213" s="56">
        <v>0</v>
      </c>
      <c r="T213" s="56">
        <v>0</v>
      </c>
      <c r="U213" s="56">
        <v>0</v>
      </c>
      <c r="V213" s="56">
        <v>0</v>
      </c>
      <c r="W213" s="56">
        <v>0</v>
      </c>
      <c r="X213" s="56">
        <v>0</v>
      </c>
      <c r="Y213" s="56">
        <v>0</v>
      </c>
      <c r="AA213" s="55">
        <f>Table13[[#This Row],[Expenses - Editorial]]+Table13[[#This Row],[Expenses - Revenue Generation]]+Table13[[#This Row],[Expenses - Tech]]+Table13[[#This Row],[Expenses - Admin]]</f>
        <v>125000</v>
      </c>
      <c r="AB213" s="56">
        <v>110000</v>
      </c>
      <c r="AC213" s="71">
        <f>SUM(Table13[[#This Row],[Expenses - Revenue Generation]:[Expenses - Admin]])</f>
        <v>15000</v>
      </c>
      <c r="AD213" s="56">
        <v>2000</v>
      </c>
      <c r="AE213" s="56">
        <v>8000</v>
      </c>
      <c r="AF213" s="56">
        <v>5000</v>
      </c>
      <c r="AG213" s="59">
        <f>Table13[[#This Row],[Total FTE - Editorial]]+Table13[[#This Row],[Total FTE - Non-Editorial]]</f>
        <v>2</v>
      </c>
      <c r="AH213" s="59">
        <f>Table13[[#This Row],[FTE Salaried - Editorial]]+Table13[[#This Row],[FTE Contractors - Editorial]]</f>
        <v>2</v>
      </c>
      <c r="AI213" s="57">
        <v>2</v>
      </c>
      <c r="AJ213" s="57">
        <v>0</v>
      </c>
      <c r="AK213" s="60">
        <f>Table13[[#This Row],[FTE Salaried - Non-Editorial]]+Table13[[#This Row],[FTE Contractors - Non-Editorial]]</f>
        <v>0</v>
      </c>
      <c r="AL213" s="57">
        <v>0</v>
      </c>
      <c r="AM213" s="57">
        <v>0</v>
      </c>
      <c r="AN213" s="54" t="s">
        <v>352</v>
      </c>
      <c r="AO213" s="54" t="s">
        <v>503</v>
      </c>
      <c r="AQ213" s="57">
        <v>4000</v>
      </c>
      <c r="AR213" s="57">
        <v>1023</v>
      </c>
      <c r="AS213" s="57">
        <v>0</v>
      </c>
      <c r="AT213" s="57">
        <v>0</v>
      </c>
      <c r="AU213" s="57">
        <v>0</v>
      </c>
      <c r="AV213" s="57">
        <v>0</v>
      </c>
      <c r="AW213" s="57">
        <v>0</v>
      </c>
      <c r="AX213" s="57"/>
      <c r="AY213" s="57">
        <v>0</v>
      </c>
    </row>
    <row r="214" spans="1:51" x14ac:dyDescent="0.2">
      <c r="A214" s="54">
        <v>328</v>
      </c>
      <c r="B214" s="54">
        <v>2017</v>
      </c>
      <c r="C214" s="91" t="s">
        <v>81</v>
      </c>
      <c r="D214" s="54" t="s">
        <v>83</v>
      </c>
      <c r="E214" s="54" t="s">
        <v>77</v>
      </c>
      <c r="F214" s="54" t="str">
        <f>_xlfn.CONCAT(Table13[[#This Row],[Geographic Scope]],": ",Table13[[#This Row],[Sub-Type/Focus]])</f>
        <v>State: General</v>
      </c>
      <c r="G214" s="54" t="str">
        <f>_xlfn.CONCAT(Table13[[#This Row],[Geographic Scope]],": ",Table13[[#This Row],[Sub-Type/Focus]],": ",Table13[[#This Row],[Content Type]])</f>
        <v>State: General: Investigative</v>
      </c>
      <c r="H214" s="54" t="str">
        <f>_xlfn.CONCAT(Table13[[#This Row],[Geographic Scope]],": ",Table13[[#This Row],[Content Type]])</f>
        <v>State: Investigative</v>
      </c>
      <c r="I214" s="55">
        <f>Table13[[#This Row],[Total Contributed Income]]+Table13[[#This Row],[Total Earned Income]]</f>
        <v>25985.200000000001</v>
      </c>
      <c r="J214" s="55">
        <f>Table13[[#This Row],[Cont. Income - Foundation]]+Table13[[#This Row],[Cont. Income - Membership]]+Table13[[#This Row],[Cont. Income - Small Donors]]+Table13[[#This Row],[Cont. Income - Med. Donors]]+Table13[[#This Row],[Cont. Income - Major Donors]]+Table13[[#This Row],[Cont. Income - Other]]</f>
        <v>25985.200000000001</v>
      </c>
      <c r="K214" s="55">
        <f>Table13[[#This Row],[Earned Income - Advertising]]+Table13[[#This Row],[Earned Income - Sponsorships/Underwriting]]+Table13[[#This Row],[Earned Income - Events]]+Table13[[#This Row],[Earned Income - Subscriptions]]+Table13[[#This Row],[Earned Income - Syndication]]+Table13[[#This Row],[Earned Income - Other]]</f>
        <v>0</v>
      </c>
      <c r="L214" s="56">
        <v>10000</v>
      </c>
      <c r="M214" s="56">
        <v>0</v>
      </c>
      <c r="N214" s="71">
        <f>SUM(Table13[[#This Row],[Cont. Income - Small Donors]:[Cont. Income - Major Donors]])</f>
        <v>15985.2</v>
      </c>
      <c r="O214" s="56">
        <v>8984.2000000000007</v>
      </c>
      <c r="P214" s="56">
        <v>7001</v>
      </c>
      <c r="Q214" s="56">
        <v>0</v>
      </c>
      <c r="R214" s="56">
        <v>0</v>
      </c>
      <c r="T214" s="56">
        <v>0</v>
      </c>
      <c r="U214" s="56">
        <v>0</v>
      </c>
      <c r="V214" s="56">
        <v>0</v>
      </c>
      <c r="W214" s="56">
        <v>0</v>
      </c>
      <c r="X214" s="56">
        <v>0</v>
      </c>
      <c r="Y214" s="56">
        <v>0</v>
      </c>
      <c r="AA214" s="55">
        <f>Table13[[#This Row],[Expenses - Editorial]]+Table13[[#This Row],[Expenses - Revenue Generation]]+Table13[[#This Row],[Expenses - Tech]]+Table13[[#This Row],[Expenses - Admin]]</f>
        <v>34018</v>
      </c>
      <c r="AB214" s="56">
        <v>33818</v>
      </c>
      <c r="AC214" s="71">
        <f>SUM(Table13[[#This Row],[Expenses - Revenue Generation]:[Expenses - Admin]])</f>
        <v>200</v>
      </c>
      <c r="AD214" s="56">
        <v>0</v>
      </c>
      <c r="AE214" s="56">
        <v>0</v>
      </c>
      <c r="AF214" s="56">
        <v>200</v>
      </c>
      <c r="AG214" s="59">
        <f>Table13[[#This Row],[Total FTE - Editorial]]+Table13[[#This Row],[Total FTE - Non-Editorial]]</f>
        <v>1</v>
      </c>
      <c r="AH214" s="59">
        <f>Table13[[#This Row],[FTE Salaried - Editorial]]+Table13[[#This Row],[FTE Contractors - Editorial]]</f>
        <v>1</v>
      </c>
      <c r="AI214" s="57">
        <v>0</v>
      </c>
      <c r="AJ214" s="57">
        <v>1</v>
      </c>
      <c r="AK214" s="60">
        <f>Table13[[#This Row],[FTE Salaried - Non-Editorial]]+Table13[[#This Row],[FTE Contractors - Non-Editorial]]</f>
        <v>0</v>
      </c>
      <c r="AL214" s="57">
        <v>0</v>
      </c>
      <c r="AM214" s="57">
        <v>0</v>
      </c>
      <c r="AN214" s="54" t="s">
        <v>352</v>
      </c>
      <c r="AO214" s="54" t="s">
        <v>533</v>
      </c>
      <c r="AQ214" s="57">
        <v>0</v>
      </c>
      <c r="AR214" s="57">
        <v>0</v>
      </c>
      <c r="AS214" s="57">
        <v>0</v>
      </c>
      <c r="AT214" s="57">
        <v>0</v>
      </c>
      <c r="AU214" s="57">
        <v>0</v>
      </c>
      <c r="AV214" s="57">
        <v>0</v>
      </c>
      <c r="AW214" s="57">
        <v>0</v>
      </c>
      <c r="AX214" s="57"/>
      <c r="AY214" s="57">
        <v>0</v>
      </c>
    </row>
    <row r="215" spans="1:51" x14ac:dyDescent="0.2">
      <c r="A215" s="54">
        <v>343</v>
      </c>
      <c r="B215" s="54">
        <v>2011</v>
      </c>
      <c r="C215" s="91" t="s">
        <v>81</v>
      </c>
      <c r="D215" s="54" t="s">
        <v>83</v>
      </c>
      <c r="E215" s="54" t="s">
        <v>77</v>
      </c>
      <c r="F215" s="54" t="str">
        <f>_xlfn.CONCAT(Table13[[#This Row],[Geographic Scope]],": ",Table13[[#This Row],[Sub-Type/Focus]])</f>
        <v>State: General</v>
      </c>
      <c r="G215" s="54" t="str">
        <f>_xlfn.CONCAT(Table13[[#This Row],[Geographic Scope]],": ",Table13[[#This Row],[Sub-Type/Focus]],": ",Table13[[#This Row],[Content Type]])</f>
        <v>State: General: Investigative</v>
      </c>
      <c r="H215" s="54" t="str">
        <f>_xlfn.CONCAT(Table13[[#This Row],[Geographic Scope]],": ",Table13[[#This Row],[Content Type]])</f>
        <v>State: Investigative</v>
      </c>
      <c r="I215" s="55">
        <f>Table13[[#This Row],[Total Contributed Income]]+Table13[[#This Row],[Total Earned Income]]</f>
        <v>607293</v>
      </c>
      <c r="J215" s="55">
        <f>Table13[[#This Row],[Cont. Income - Foundation]]+Table13[[#This Row],[Cont. Income - Membership]]+Table13[[#This Row],[Cont. Income - Small Donors]]+Table13[[#This Row],[Cont. Income - Med. Donors]]+Table13[[#This Row],[Cont. Income - Major Donors]]+Table13[[#This Row],[Cont. Income - Other]]</f>
        <v>535793</v>
      </c>
      <c r="K215" s="55">
        <f>Table13[[#This Row],[Earned Income - Advertising]]+Table13[[#This Row],[Earned Income - Sponsorships/Underwriting]]+Table13[[#This Row],[Earned Income - Events]]+Table13[[#This Row],[Earned Income - Subscriptions]]+Table13[[#This Row],[Earned Income - Syndication]]+Table13[[#This Row],[Earned Income - Other]]</f>
        <v>71500</v>
      </c>
      <c r="L215" s="56">
        <v>352267</v>
      </c>
      <c r="M215" s="56">
        <v>0</v>
      </c>
      <c r="N215" s="71">
        <f>SUM(Table13[[#This Row],[Cont. Income - Small Donors]:[Cont. Income - Major Donors]])</f>
        <v>133026</v>
      </c>
      <c r="O215" s="56">
        <v>62016</v>
      </c>
      <c r="P215" s="56">
        <v>22510</v>
      </c>
      <c r="Q215" s="56">
        <v>48500</v>
      </c>
      <c r="R215" s="56">
        <v>50500</v>
      </c>
      <c r="S215" s="55" t="s">
        <v>584</v>
      </c>
      <c r="T215" s="56">
        <v>0</v>
      </c>
      <c r="U215" s="56">
        <v>50000</v>
      </c>
      <c r="V215" s="56">
        <v>0</v>
      </c>
      <c r="W215" s="56">
        <v>0</v>
      </c>
      <c r="X215" s="56">
        <v>0</v>
      </c>
      <c r="Y215" s="56">
        <v>21500</v>
      </c>
      <c r="Z215" s="54" t="s">
        <v>585</v>
      </c>
      <c r="AA215" s="55">
        <f>Table13[[#This Row],[Expenses - Editorial]]+Table13[[#This Row],[Expenses - Revenue Generation]]+Table13[[#This Row],[Expenses - Tech]]+Table13[[#This Row],[Expenses - Admin]]</f>
        <v>559338</v>
      </c>
      <c r="AB215" s="56">
        <v>251249</v>
      </c>
      <c r="AC215" s="71">
        <f>SUM(Table13[[#This Row],[Expenses - Revenue Generation]:[Expenses - Admin]])</f>
        <v>308089</v>
      </c>
      <c r="AD215" s="56">
        <v>150248</v>
      </c>
      <c r="AE215" s="56">
        <v>23180</v>
      </c>
      <c r="AF215" s="56">
        <v>134661</v>
      </c>
      <c r="AG215" s="59">
        <f>Table13[[#This Row],[Total FTE - Editorial]]+Table13[[#This Row],[Total FTE - Non-Editorial]]</f>
        <v>6</v>
      </c>
      <c r="AH215" s="59">
        <f>Table13[[#This Row],[FTE Salaried - Editorial]]+Table13[[#This Row],[FTE Contractors - Editorial]]</f>
        <v>4</v>
      </c>
      <c r="AI215" s="57">
        <v>4</v>
      </c>
      <c r="AJ215" s="57">
        <v>0</v>
      </c>
      <c r="AK215" s="60">
        <f>Table13[[#This Row],[FTE Salaried - Non-Editorial]]+Table13[[#This Row],[FTE Contractors - Non-Editorial]]</f>
        <v>2</v>
      </c>
      <c r="AL215" s="57">
        <v>2</v>
      </c>
      <c r="AM215" s="57">
        <v>0</v>
      </c>
      <c r="AN215" s="54" t="s">
        <v>352</v>
      </c>
      <c r="AO215" s="54" t="s">
        <v>586</v>
      </c>
      <c r="AP215" s="54" t="s">
        <v>587</v>
      </c>
      <c r="AQ215" s="57">
        <v>126520</v>
      </c>
      <c r="AR215" s="57">
        <v>15951</v>
      </c>
      <c r="AS215" s="57">
        <v>0</v>
      </c>
      <c r="AT215" s="57">
        <v>0</v>
      </c>
      <c r="AU215" s="57">
        <v>0</v>
      </c>
      <c r="AV215" s="57">
        <v>0</v>
      </c>
      <c r="AW215" s="57">
        <v>0</v>
      </c>
      <c r="AX215" s="57"/>
      <c r="AY215" s="57">
        <v>0</v>
      </c>
    </row>
    <row r="216" spans="1:51" x14ac:dyDescent="0.2">
      <c r="A216" s="54">
        <v>377</v>
      </c>
      <c r="B216" s="54">
        <v>2011</v>
      </c>
      <c r="C216" s="91" t="s">
        <v>81</v>
      </c>
      <c r="D216" s="54" t="s">
        <v>83</v>
      </c>
      <c r="E216" s="54" t="s">
        <v>77</v>
      </c>
      <c r="F216" s="54" t="str">
        <f>_xlfn.CONCAT(Table13[[#This Row],[Geographic Scope]],": ",Table13[[#This Row],[Sub-Type/Focus]])</f>
        <v>State: General</v>
      </c>
      <c r="G216" s="54" t="str">
        <f>_xlfn.CONCAT(Table13[[#This Row],[Geographic Scope]],": ",Table13[[#This Row],[Sub-Type/Focus]],": ",Table13[[#This Row],[Content Type]])</f>
        <v>State: General: Investigative</v>
      </c>
      <c r="H216" s="54" t="str">
        <f>_xlfn.CONCAT(Table13[[#This Row],[Geographic Scope]],": ",Table13[[#This Row],[Content Type]])</f>
        <v>State: Investigative</v>
      </c>
      <c r="I216" s="55">
        <f>Table13[[#This Row],[Total Contributed Income]]+Table13[[#This Row],[Total Earned Income]]</f>
        <v>0</v>
      </c>
      <c r="J216" s="55">
        <f>Table13[[#This Row],[Cont. Income - Foundation]]+Table13[[#This Row],[Cont. Income - Membership]]+Table13[[#This Row],[Cont. Income - Small Donors]]+Table13[[#This Row],[Cont. Income - Med. Donors]]+Table13[[#This Row],[Cont. Income - Major Donors]]+Table13[[#This Row],[Cont. Income - Other]]</f>
        <v>0</v>
      </c>
      <c r="K216" s="55">
        <f>Table13[[#This Row],[Earned Income - Advertising]]+Table13[[#This Row],[Earned Income - Sponsorships/Underwriting]]+Table13[[#This Row],[Earned Income - Events]]+Table13[[#This Row],[Earned Income - Subscriptions]]+Table13[[#This Row],[Earned Income - Syndication]]+Table13[[#This Row],[Earned Income - Other]]</f>
        <v>0</v>
      </c>
      <c r="L216" s="56"/>
      <c r="M216" s="56"/>
      <c r="N216" s="71">
        <f>SUM(Table13[[#This Row],[Cont. Income - Small Donors]:[Cont. Income - Major Donors]])</f>
        <v>0</v>
      </c>
      <c r="O216" s="56"/>
      <c r="P216" s="56"/>
      <c r="Q216" s="56"/>
      <c r="R216" s="56"/>
      <c r="T216" s="56"/>
      <c r="U216" s="56"/>
      <c r="V216" s="56"/>
      <c r="W216" s="56"/>
      <c r="X216" s="56"/>
      <c r="Y216" s="56"/>
      <c r="AA216" s="55">
        <f>Table13[[#This Row],[Expenses - Editorial]]+Table13[[#This Row],[Expenses - Revenue Generation]]+Table13[[#This Row],[Expenses - Tech]]+Table13[[#This Row],[Expenses - Admin]]</f>
        <v>0</v>
      </c>
      <c r="AB216" s="56"/>
      <c r="AC216" s="71">
        <f>SUM(Table13[[#This Row],[Expenses - Revenue Generation]:[Expenses - Admin]])</f>
        <v>0</v>
      </c>
      <c r="AD216" s="56"/>
      <c r="AE216" s="56"/>
      <c r="AF216" s="56"/>
      <c r="AG216" s="59">
        <f>Table13[[#This Row],[Total FTE - Editorial]]+Table13[[#This Row],[Total FTE - Non-Editorial]]</f>
        <v>2.5</v>
      </c>
      <c r="AH216" s="59">
        <f>Table13[[#This Row],[FTE Salaried - Editorial]]+Table13[[#This Row],[FTE Contractors - Editorial]]</f>
        <v>2.5</v>
      </c>
      <c r="AI216" s="57">
        <v>1</v>
      </c>
      <c r="AJ216" s="57">
        <v>1.5</v>
      </c>
      <c r="AK216" s="60">
        <f>Table13[[#This Row],[FTE Salaried - Non-Editorial]]+Table13[[#This Row],[FTE Contractors - Non-Editorial]]</f>
        <v>0</v>
      </c>
      <c r="AL216" s="57">
        <v>0</v>
      </c>
      <c r="AM216" s="57">
        <v>0</v>
      </c>
      <c r="AN216" s="54" t="s">
        <v>352</v>
      </c>
      <c r="AO216" s="54" t="s">
        <v>588</v>
      </c>
      <c r="AQ216" s="57">
        <v>0</v>
      </c>
      <c r="AR216" s="57">
        <v>0</v>
      </c>
      <c r="AS216" s="57">
        <v>0</v>
      </c>
      <c r="AT216" s="57">
        <v>0</v>
      </c>
      <c r="AU216" s="57">
        <v>0</v>
      </c>
      <c r="AV216" s="57">
        <v>0</v>
      </c>
      <c r="AW216" s="57">
        <v>0</v>
      </c>
      <c r="AX216" s="57" t="s">
        <v>589</v>
      </c>
      <c r="AY216" s="57">
        <v>0</v>
      </c>
    </row>
    <row r="217" spans="1:51" x14ac:dyDescent="0.2">
      <c r="A217" s="54">
        <v>398</v>
      </c>
      <c r="B217" s="54">
        <v>2013</v>
      </c>
      <c r="C217" s="91" t="s">
        <v>81</v>
      </c>
      <c r="D217" s="54" t="s">
        <v>83</v>
      </c>
      <c r="E217" s="54" t="s">
        <v>77</v>
      </c>
      <c r="F217" s="54" t="str">
        <f>_xlfn.CONCAT(Table13[[#This Row],[Geographic Scope]],": ",Table13[[#This Row],[Sub-Type/Focus]])</f>
        <v>State: General</v>
      </c>
      <c r="G217" s="54" t="str">
        <f>_xlfn.CONCAT(Table13[[#This Row],[Geographic Scope]],": ",Table13[[#This Row],[Sub-Type/Focus]],": ",Table13[[#This Row],[Content Type]])</f>
        <v>State: General: Investigative</v>
      </c>
      <c r="H217" s="54" t="str">
        <f>_xlfn.CONCAT(Table13[[#This Row],[Geographic Scope]],": ",Table13[[#This Row],[Content Type]])</f>
        <v>State: Investigative</v>
      </c>
      <c r="I217" s="55">
        <f>Table13[[#This Row],[Total Contributed Income]]+Table13[[#This Row],[Total Earned Income]]</f>
        <v>658609.92000000004</v>
      </c>
      <c r="J217" s="55">
        <f>Table13[[#This Row],[Cont. Income - Foundation]]+Table13[[#This Row],[Cont. Income - Membership]]+Table13[[#This Row],[Cont. Income - Small Donors]]+Table13[[#This Row],[Cont. Income - Med. Donors]]+Table13[[#This Row],[Cont. Income - Major Donors]]+Table13[[#This Row],[Cont. Income - Other]]</f>
        <v>605609.92000000004</v>
      </c>
      <c r="K217" s="55">
        <f>Table13[[#This Row],[Earned Income - Advertising]]+Table13[[#This Row],[Earned Income - Sponsorships/Underwriting]]+Table13[[#This Row],[Earned Income - Events]]+Table13[[#This Row],[Earned Income - Subscriptions]]+Table13[[#This Row],[Earned Income - Syndication]]+Table13[[#This Row],[Earned Income - Other]]</f>
        <v>53000</v>
      </c>
      <c r="L217" s="56">
        <v>188764.23</v>
      </c>
      <c r="M217" s="56">
        <v>0</v>
      </c>
      <c r="N217" s="71">
        <f>SUM(Table13[[#This Row],[Cont. Income - Small Donors]:[Cont. Income - Major Donors]])</f>
        <v>416845.69000000006</v>
      </c>
      <c r="O217" s="56">
        <v>222450.37</v>
      </c>
      <c r="P217" s="56">
        <v>48267.15</v>
      </c>
      <c r="Q217" s="56">
        <v>146128.17000000001</v>
      </c>
      <c r="R217" s="56">
        <v>0</v>
      </c>
      <c r="T217" s="56">
        <v>0</v>
      </c>
      <c r="U217" s="56">
        <v>0</v>
      </c>
      <c r="V217" s="56">
        <v>0</v>
      </c>
      <c r="W217" s="56">
        <v>0</v>
      </c>
      <c r="X217" s="56">
        <v>0</v>
      </c>
      <c r="Y217" s="56">
        <v>53000</v>
      </c>
      <c r="Z217" s="54" t="s">
        <v>590</v>
      </c>
      <c r="AA217" s="55">
        <f>Table13[[#This Row],[Expenses - Editorial]]+Table13[[#This Row],[Expenses - Revenue Generation]]+Table13[[#This Row],[Expenses - Tech]]+Table13[[#This Row],[Expenses - Admin]]</f>
        <v>545848</v>
      </c>
      <c r="AB217" s="56">
        <v>361703</v>
      </c>
      <c r="AC217" s="71">
        <f>SUM(Table13[[#This Row],[Expenses - Revenue Generation]:[Expenses - Admin]])</f>
        <v>184145</v>
      </c>
      <c r="AD217" s="56">
        <v>60000</v>
      </c>
      <c r="AE217" s="56">
        <v>20000</v>
      </c>
      <c r="AF217" s="56">
        <v>104145</v>
      </c>
      <c r="AG217" s="59">
        <f>Table13[[#This Row],[Total FTE - Editorial]]+Table13[[#This Row],[Total FTE - Non-Editorial]]</f>
        <v>6</v>
      </c>
      <c r="AH217" s="59">
        <f>Table13[[#This Row],[FTE Salaried - Editorial]]+Table13[[#This Row],[FTE Contractors - Editorial]]</f>
        <v>6</v>
      </c>
      <c r="AI217" s="57">
        <v>6</v>
      </c>
      <c r="AJ217" s="57">
        <v>0</v>
      </c>
      <c r="AK217" s="60">
        <f>Table13[[#This Row],[FTE Salaried - Non-Editorial]]+Table13[[#This Row],[FTE Contractors - Non-Editorial]]</f>
        <v>0</v>
      </c>
      <c r="AL217" s="57">
        <v>0</v>
      </c>
      <c r="AM217" s="57">
        <v>0</v>
      </c>
      <c r="AN217" s="54" t="s">
        <v>488</v>
      </c>
      <c r="AO217" s="54" t="s">
        <v>380</v>
      </c>
      <c r="AQ217" s="57">
        <v>29967</v>
      </c>
      <c r="AR217" s="57">
        <v>7233</v>
      </c>
      <c r="AS217" s="57">
        <v>0</v>
      </c>
      <c r="AT217" s="57">
        <v>0</v>
      </c>
      <c r="AU217" s="57">
        <v>100000</v>
      </c>
      <c r="AV217" s="57" t="s">
        <v>591</v>
      </c>
      <c r="AW217" s="57">
        <v>0</v>
      </c>
      <c r="AX217" s="57"/>
      <c r="AY217" s="57">
        <v>26198</v>
      </c>
    </row>
    <row r="218" spans="1:51" x14ac:dyDescent="0.2">
      <c r="A218" s="54">
        <v>415</v>
      </c>
      <c r="B218" s="54">
        <v>2016</v>
      </c>
      <c r="C218" s="91" t="s">
        <v>81</v>
      </c>
      <c r="D218" s="54" t="s">
        <v>83</v>
      </c>
      <c r="E218" s="54" t="s">
        <v>77</v>
      </c>
      <c r="F218" s="54" t="str">
        <f>_xlfn.CONCAT(Table13[[#This Row],[Geographic Scope]],": ",Table13[[#This Row],[Sub-Type/Focus]])</f>
        <v>State: General</v>
      </c>
      <c r="G218" s="54" t="str">
        <f>_xlfn.CONCAT(Table13[[#This Row],[Geographic Scope]],": ",Table13[[#This Row],[Sub-Type/Focus]],": ",Table13[[#This Row],[Content Type]])</f>
        <v>State: General: Investigative</v>
      </c>
      <c r="H218" s="54" t="str">
        <f>_xlfn.CONCAT(Table13[[#This Row],[Geographic Scope]],": ",Table13[[#This Row],[Content Type]])</f>
        <v>State: Investigative</v>
      </c>
      <c r="I218" s="55">
        <f>Table13[[#This Row],[Total Contributed Income]]+Table13[[#This Row],[Total Earned Income]]</f>
        <v>849253</v>
      </c>
      <c r="J218" s="55">
        <f>Table13[[#This Row],[Cont. Income - Foundation]]+Table13[[#This Row],[Cont. Income - Membership]]+Table13[[#This Row],[Cont. Income - Small Donors]]+Table13[[#This Row],[Cont. Income - Med. Donors]]+Table13[[#This Row],[Cont. Income - Major Donors]]+Table13[[#This Row],[Cont. Income - Other]]</f>
        <v>849253</v>
      </c>
      <c r="K218" s="55">
        <f>Table13[[#This Row],[Earned Income - Advertising]]+Table13[[#This Row],[Earned Income - Sponsorships/Underwriting]]+Table13[[#This Row],[Earned Income - Events]]+Table13[[#This Row],[Earned Income - Subscriptions]]+Table13[[#This Row],[Earned Income - Syndication]]+Table13[[#This Row],[Earned Income - Other]]</f>
        <v>0</v>
      </c>
      <c r="L218" s="56">
        <v>473424</v>
      </c>
      <c r="M218" s="56">
        <v>182830</v>
      </c>
      <c r="N218" s="71">
        <f>SUM(Table13[[#This Row],[Cont. Income - Small Donors]:[Cont. Income - Major Donors]])</f>
        <v>120587</v>
      </c>
      <c r="O218" s="56">
        <v>0</v>
      </c>
      <c r="P218" s="56">
        <v>20342</v>
      </c>
      <c r="Q218" s="56">
        <v>100245</v>
      </c>
      <c r="R218" s="56">
        <v>72412</v>
      </c>
      <c r="S218" s="55" t="s">
        <v>592</v>
      </c>
      <c r="T218" s="56">
        <v>0</v>
      </c>
      <c r="U218" s="56">
        <v>0</v>
      </c>
      <c r="V218" s="56">
        <v>0</v>
      </c>
      <c r="W218" s="56">
        <v>0</v>
      </c>
      <c r="X218" s="56">
        <v>0</v>
      </c>
      <c r="Y218" s="56">
        <v>0</v>
      </c>
      <c r="AA218" s="55">
        <f>Table13[[#This Row],[Expenses - Editorial]]+Table13[[#This Row],[Expenses - Revenue Generation]]+Table13[[#This Row],[Expenses - Tech]]+Table13[[#This Row],[Expenses - Admin]]</f>
        <v>547258</v>
      </c>
      <c r="AB218" s="56">
        <v>392423</v>
      </c>
      <c r="AC218" s="71">
        <f>SUM(Table13[[#This Row],[Expenses - Revenue Generation]:[Expenses - Admin]])</f>
        <v>154835</v>
      </c>
      <c r="AD218" s="56">
        <v>44250</v>
      </c>
      <c r="AE218" s="56">
        <v>0</v>
      </c>
      <c r="AF218" s="56">
        <v>110585</v>
      </c>
      <c r="AG218" s="59">
        <f>Table13[[#This Row],[Total FTE - Editorial]]+Table13[[#This Row],[Total FTE - Non-Editorial]]</f>
        <v>6</v>
      </c>
      <c r="AH218" s="59">
        <f>Table13[[#This Row],[FTE Salaried - Editorial]]+Table13[[#This Row],[FTE Contractors - Editorial]]</f>
        <v>4</v>
      </c>
      <c r="AI218" s="57">
        <v>4</v>
      </c>
      <c r="AJ218" s="57">
        <v>0</v>
      </c>
      <c r="AK218" s="60">
        <f>Table13[[#This Row],[FTE Salaried - Non-Editorial]]+Table13[[#This Row],[FTE Contractors - Non-Editorial]]</f>
        <v>2</v>
      </c>
      <c r="AL218" s="57">
        <v>0</v>
      </c>
      <c r="AM218" s="57">
        <v>2</v>
      </c>
      <c r="AN218" s="54" t="s">
        <v>351</v>
      </c>
      <c r="AO218" s="54" t="s">
        <v>366</v>
      </c>
      <c r="AP218" s="54" t="s">
        <v>593</v>
      </c>
      <c r="AQ218" s="57">
        <v>61116</v>
      </c>
      <c r="AR218" s="57">
        <v>8048</v>
      </c>
      <c r="AS218" s="57">
        <v>0</v>
      </c>
      <c r="AT218" s="57">
        <v>0</v>
      </c>
      <c r="AU218" s="57">
        <v>0</v>
      </c>
      <c r="AV218" s="57">
        <v>0</v>
      </c>
      <c r="AW218" s="57">
        <v>0</v>
      </c>
      <c r="AX218" s="57"/>
      <c r="AY218" s="57">
        <v>6500</v>
      </c>
    </row>
    <row r="219" spans="1:51" x14ac:dyDescent="0.2">
      <c r="A219" s="54">
        <v>434</v>
      </c>
      <c r="B219" s="54">
        <v>2011</v>
      </c>
      <c r="C219" s="91" t="s">
        <v>81</v>
      </c>
      <c r="D219" s="54" t="s">
        <v>83</v>
      </c>
      <c r="E219" s="54" t="s">
        <v>77</v>
      </c>
      <c r="F219" s="54" t="str">
        <f>_xlfn.CONCAT(Table13[[#This Row],[Geographic Scope]],": ",Table13[[#This Row],[Sub-Type/Focus]])</f>
        <v>State: General</v>
      </c>
      <c r="G219" s="54" t="str">
        <f>_xlfn.CONCAT(Table13[[#This Row],[Geographic Scope]],": ",Table13[[#This Row],[Sub-Type/Focus]],": ",Table13[[#This Row],[Content Type]])</f>
        <v>State: General: Investigative</v>
      </c>
      <c r="H219" s="54" t="str">
        <f>_xlfn.CONCAT(Table13[[#This Row],[Geographic Scope]],": ",Table13[[#This Row],[Content Type]])</f>
        <v>State: Investigative</v>
      </c>
      <c r="I219" s="55">
        <f>Table13[[#This Row],[Total Contributed Income]]+Table13[[#This Row],[Total Earned Income]]</f>
        <v>638976</v>
      </c>
      <c r="J219" s="55">
        <f>Table13[[#This Row],[Cont. Income - Foundation]]+Table13[[#This Row],[Cont. Income - Membership]]+Table13[[#This Row],[Cont. Income - Small Donors]]+Table13[[#This Row],[Cont. Income - Med. Donors]]+Table13[[#This Row],[Cont. Income - Major Donors]]+Table13[[#This Row],[Cont. Income - Other]]</f>
        <v>638976</v>
      </c>
      <c r="K219" s="55">
        <f>Table13[[#This Row],[Earned Income - Advertising]]+Table13[[#This Row],[Earned Income - Sponsorships/Underwriting]]+Table13[[#This Row],[Earned Income - Events]]+Table13[[#This Row],[Earned Income - Subscriptions]]+Table13[[#This Row],[Earned Income - Syndication]]+Table13[[#This Row],[Earned Income - Other]]</f>
        <v>0</v>
      </c>
      <c r="L219" s="56">
        <v>590320</v>
      </c>
      <c r="M219" s="56">
        <v>0</v>
      </c>
      <c r="N219" s="71">
        <f>SUM(Table13[[#This Row],[Cont. Income - Small Donors]:[Cont. Income - Major Donors]])</f>
        <v>48656</v>
      </c>
      <c r="O219" s="56">
        <v>30656</v>
      </c>
      <c r="P219" s="56">
        <v>8000</v>
      </c>
      <c r="Q219" s="56">
        <v>10000</v>
      </c>
      <c r="R219" s="56">
        <v>0</v>
      </c>
      <c r="T219" s="56">
        <v>0</v>
      </c>
      <c r="U219" s="56">
        <v>0</v>
      </c>
      <c r="V219" s="56">
        <v>0</v>
      </c>
      <c r="W219" s="56">
        <v>0</v>
      </c>
      <c r="X219" s="56">
        <v>0</v>
      </c>
      <c r="Y219" s="56">
        <v>0</v>
      </c>
      <c r="AA219" s="55">
        <f>Table13[[#This Row],[Expenses - Editorial]]+Table13[[#This Row],[Expenses - Revenue Generation]]+Table13[[#This Row],[Expenses - Tech]]+Table13[[#This Row],[Expenses - Admin]]</f>
        <v>670000</v>
      </c>
      <c r="AB219" s="56">
        <v>483000</v>
      </c>
      <c r="AC219" s="71">
        <f>SUM(Table13[[#This Row],[Expenses - Revenue Generation]:[Expenses - Admin]])</f>
        <v>187000</v>
      </c>
      <c r="AD219" s="56">
        <v>70000</v>
      </c>
      <c r="AE219" s="56">
        <v>27000</v>
      </c>
      <c r="AF219" s="56">
        <v>90000</v>
      </c>
      <c r="AG219" s="59">
        <f>Table13[[#This Row],[Total FTE - Editorial]]+Table13[[#This Row],[Total FTE - Non-Editorial]]</f>
        <v>6</v>
      </c>
      <c r="AH219" s="59">
        <f>Table13[[#This Row],[FTE Salaried - Editorial]]+Table13[[#This Row],[FTE Contractors - Editorial]]</f>
        <v>5</v>
      </c>
      <c r="AI219" s="57">
        <v>5</v>
      </c>
      <c r="AJ219" s="57">
        <v>0</v>
      </c>
      <c r="AK219" s="60">
        <f>Table13[[#This Row],[FTE Salaried - Non-Editorial]]+Table13[[#This Row],[FTE Contractors - Non-Editorial]]</f>
        <v>1</v>
      </c>
      <c r="AL219" s="57">
        <v>1</v>
      </c>
      <c r="AM219" s="57">
        <v>0</v>
      </c>
      <c r="AN219" s="54" t="s">
        <v>351</v>
      </c>
      <c r="AQ219" s="57">
        <v>101043</v>
      </c>
      <c r="AR219" s="57">
        <v>13816</v>
      </c>
      <c r="AS219" s="57">
        <v>0</v>
      </c>
      <c r="AT219" s="57">
        <v>0</v>
      </c>
      <c r="AU219" s="57">
        <v>0</v>
      </c>
      <c r="AV219" s="57">
        <v>0</v>
      </c>
      <c r="AW219" s="57">
        <v>0</v>
      </c>
      <c r="AX219" s="57"/>
      <c r="AY219" s="57">
        <v>0</v>
      </c>
    </row>
    <row r="220" spans="1:51" x14ac:dyDescent="0.2">
      <c r="A220" s="54">
        <v>490</v>
      </c>
      <c r="B220" s="54">
        <v>2017</v>
      </c>
      <c r="C220" s="91" t="s">
        <v>81</v>
      </c>
      <c r="D220" s="54" t="s">
        <v>83</v>
      </c>
      <c r="E220" s="54" t="s">
        <v>77</v>
      </c>
      <c r="F220" s="54" t="str">
        <f>_xlfn.CONCAT(Table13[[#This Row],[Geographic Scope]],": ",Table13[[#This Row],[Sub-Type/Focus]])</f>
        <v>State: General</v>
      </c>
      <c r="G220" s="54" t="str">
        <f>_xlfn.CONCAT(Table13[[#This Row],[Geographic Scope]],": ",Table13[[#This Row],[Sub-Type/Focus]],": ",Table13[[#This Row],[Content Type]])</f>
        <v>State: General: Investigative</v>
      </c>
      <c r="H220" s="54" t="str">
        <f>_xlfn.CONCAT(Table13[[#This Row],[Geographic Scope]],": ",Table13[[#This Row],[Content Type]])</f>
        <v>State: Investigative</v>
      </c>
      <c r="I220" s="55">
        <f>Table13[[#This Row],[Total Contributed Income]]+Table13[[#This Row],[Total Earned Income]]</f>
        <v>2424445.2000000002</v>
      </c>
      <c r="J220" s="55">
        <f>Table13[[#This Row],[Cont. Income - Foundation]]+Table13[[#This Row],[Cont. Income - Membership]]+Table13[[#This Row],[Cont. Income - Small Donors]]+Table13[[#This Row],[Cont. Income - Med. Donors]]+Table13[[#This Row],[Cont. Income - Major Donors]]+Table13[[#This Row],[Cont. Income - Other]]</f>
        <v>2205095.4900000002</v>
      </c>
      <c r="K220" s="55">
        <f>Table13[[#This Row],[Earned Income - Advertising]]+Table13[[#This Row],[Earned Income - Sponsorships/Underwriting]]+Table13[[#This Row],[Earned Income - Events]]+Table13[[#This Row],[Earned Income - Subscriptions]]+Table13[[#This Row],[Earned Income - Syndication]]+Table13[[#This Row],[Earned Income - Other]]</f>
        <v>219349.71</v>
      </c>
      <c r="L220" s="56">
        <v>776500</v>
      </c>
      <c r="M220" s="56">
        <v>0</v>
      </c>
      <c r="N220" s="71">
        <f>SUM(Table13[[#This Row],[Cont. Income - Small Donors]:[Cont. Income - Major Donors]])</f>
        <v>1428595.49</v>
      </c>
      <c r="O220" s="56">
        <v>702188.49</v>
      </c>
      <c r="P220" s="56">
        <v>87637</v>
      </c>
      <c r="Q220" s="56">
        <v>638770</v>
      </c>
      <c r="R220" s="56">
        <v>0</v>
      </c>
      <c r="T220" s="56">
        <v>0</v>
      </c>
      <c r="U220" s="56">
        <v>0</v>
      </c>
      <c r="V220" s="56">
        <v>219349.71</v>
      </c>
      <c r="W220" s="56">
        <v>0</v>
      </c>
      <c r="X220" s="56">
        <v>0</v>
      </c>
      <c r="Y220" s="56">
        <v>0</v>
      </c>
      <c r="AA220" s="55">
        <f>Table13[[#This Row],[Expenses - Editorial]]+Table13[[#This Row],[Expenses - Revenue Generation]]+Table13[[#This Row],[Expenses - Tech]]+Table13[[#This Row],[Expenses - Admin]]</f>
        <v>1575105</v>
      </c>
      <c r="AB220" s="56">
        <v>1280038</v>
      </c>
      <c r="AC220" s="71">
        <f>SUM(Table13[[#This Row],[Expenses - Revenue Generation]:[Expenses - Admin]])</f>
        <v>295067</v>
      </c>
      <c r="AD220" s="56">
        <v>225030</v>
      </c>
      <c r="AE220" s="56">
        <v>28084</v>
      </c>
      <c r="AF220" s="56">
        <v>41953</v>
      </c>
      <c r="AG220" s="59">
        <f>Table13[[#This Row],[Total FTE - Editorial]]+Table13[[#This Row],[Total FTE - Non-Editorial]]</f>
        <v>14</v>
      </c>
      <c r="AH220" s="59">
        <f>Table13[[#This Row],[FTE Salaried - Editorial]]+Table13[[#This Row],[FTE Contractors - Editorial]]</f>
        <v>2</v>
      </c>
      <c r="AI220" s="57">
        <v>2</v>
      </c>
      <c r="AJ220" s="57">
        <v>0</v>
      </c>
      <c r="AK220" s="60">
        <f>Table13[[#This Row],[FTE Salaried - Non-Editorial]]+Table13[[#This Row],[FTE Contractors - Non-Editorial]]</f>
        <v>12</v>
      </c>
      <c r="AL220" s="57">
        <v>12</v>
      </c>
      <c r="AM220" s="57">
        <v>0</v>
      </c>
      <c r="AN220" s="54" t="s">
        <v>351</v>
      </c>
      <c r="AO220" s="54" t="s">
        <v>366</v>
      </c>
      <c r="AP220" s="54" t="s">
        <v>594</v>
      </c>
      <c r="AQ220" s="57">
        <v>485000</v>
      </c>
      <c r="AR220" s="57">
        <v>18552</v>
      </c>
      <c r="AS220" s="57">
        <v>0</v>
      </c>
      <c r="AT220" s="57">
        <v>0</v>
      </c>
      <c r="AU220" s="57">
        <v>0</v>
      </c>
      <c r="AV220" s="57">
        <v>0</v>
      </c>
      <c r="AW220" s="57">
        <v>0</v>
      </c>
      <c r="AX220" s="57"/>
      <c r="AY220" s="57">
        <v>844</v>
      </c>
    </row>
    <row r="221" spans="1:51" x14ac:dyDescent="0.2">
      <c r="A221" s="54">
        <v>515</v>
      </c>
      <c r="B221" s="54">
        <v>2008</v>
      </c>
      <c r="C221" s="91" t="s">
        <v>81</v>
      </c>
      <c r="D221" s="54" t="s">
        <v>83</v>
      </c>
      <c r="E221" s="54" t="s">
        <v>77</v>
      </c>
      <c r="F221" s="54" t="str">
        <f>_xlfn.CONCAT(Table13[[#This Row],[Geographic Scope]],": ",Table13[[#This Row],[Sub-Type/Focus]])</f>
        <v>State: General</v>
      </c>
      <c r="G221" s="54" t="str">
        <f>_xlfn.CONCAT(Table13[[#This Row],[Geographic Scope]],": ",Table13[[#This Row],[Sub-Type/Focus]],": ",Table13[[#This Row],[Content Type]])</f>
        <v>State: General: Investigative</v>
      </c>
      <c r="H221" s="54" t="str">
        <f>_xlfn.CONCAT(Table13[[#This Row],[Geographic Scope]],": ",Table13[[#This Row],[Content Type]])</f>
        <v>State: Investigative</v>
      </c>
      <c r="I221" s="55">
        <f>Table13[[#This Row],[Total Contributed Income]]+Table13[[#This Row],[Total Earned Income]]</f>
        <v>757385.74</v>
      </c>
      <c r="J221" s="55">
        <f>Table13[[#This Row],[Cont. Income - Foundation]]+Table13[[#This Row],[Cont. Income - Membership]]+Table13[[#This Row],[Cont. Income - Small Donors]]+Table13[[#This Row],[Cont. Income - Med. Donors]]+Table13[[#This Row],[Cont. Income - Major Donors]]+Table13[[#This Row],[Cont. Income - Other]]</f>
        <v>754675.74</v>
      </c>
      <c r="K221" s="55">
        <f>Table13[[#This Row],[Earned Income - Advertising]]+Table13[[#This Row],[Earned Income - Sponsorships/Underwriting]]+Table13[[#This Row],[Earned Income - Events]]+Table13[[#This Row],[Earned Income - Subscriptions]]+Table13[[#This Row],[Earned Income - Syndication]]+Table13[[#This Row],[Earned Income - Other]]</f>
        <v>2710</v>
      </c>
      <c r="L221" s="56">
        <v>429594.04</v>
      </c>
      <c r="M221" s="56">
        <v>0</v>
      </c>
      <c r="N221" s="71">
        <f>SUM(Table13[[#This Row],[Cont. Income - Small Donors]:[Cont. Income - Major Donors]])</f>
        <v>325081.7</v>
      </c>
      <c r="O221" s="56">
        <v>111283.85</v>
      </c>
      <c r="P221" s="56">
        <v>61597.85</v>
      </c>
      <c r="Q221" s="56">
        <v>152200</v>
      </c>
      <c r="R221" s="56">
        <v>0</v>
      </c>
      <c r="T221" s="56">
        <v>2610</v>
      </c>
      <c r="U221" s="56">
        <v>0</v>
      </c>
      <c r="V221" s="56">
        <v>0</v>
      </c>
      <c r="W221" s="56">
        <v>0</v>
      </c>
      <c r="X221" s="56">
        <v>0</v>
      </c>
      <c r="Y221" s="56">
        <v>100</v>
      </c>
      <c r="Z221" s="54" t="s">
        <v>595</v>
      </c>
      <c r="AA221" s="55">
        <f>Table13[[#This Row],[Expenses - Editorial]]+Table13[[#This Row],[Expenses - Revenue Generation]]+Table13[[#This Row],[Expenses - Tech]]+Table13[[#This Row],[Expenses - Admin]]</f>
        <v>498833.37</v>
      </c>
      <c r="AB221" s="56">
        <v>259207.84</v>
      </c>
      <c r="AC221" s="71">
        <f>SUM(Table13[[#This Row],[Expenses - Revenue Generation]:[Expenses - Admin]])</f>
        <v>239625.52999999997</v>
      </c>
      <c r="AD221" s="56">
        <v>133758.60999999999</v>
      </c>
      <c r="AE221" s="56">
        <v>17496.34</v>
      </c>
      <c r="AF221" s="56">
        <v>88370.58</v>
      </c>
      <c r="AG221" s="59">
        <f>Table13[[#This Row],[Total FTE - Editorial]]+Table13[[#This Row],[Total FTE - Non-Editorial]]</f>
        <v>10.5</v>
      </c>
      <c r="AH221" s="59">
        <f>Table13[[#This Row],[FTE Salaried - Editorial]]+Table13[[#This Row],[FTE Contractors - Editorial]]</f>
        <v>6.5</v>
      </c>
      <c r="AI221" s="57">
        <v>3.5</v>
      </c>
      <c r="AJ221" s="57">
        <v>3</v>
      </c>
      <c r="AK221" s="60">
        <f>Table13[[#This Row],[FTE Salaried - Non-Editorial]]+Table13[[#This Row],[FTE Contractors - Non-Editorial]]</f>
        <v>4</v>
      </c>
      <c r="AL221" s="57">
        <v>3.5</v>
      </c>
      <c r="AM221" s="57">
        <v>0.5</v>
      </c>
      <c r="AN221" s="54" t="s">
        <v>351</v>
      </c>
      <c r="AQ221" s="57">
        <v>70000</v>
      </c>
      <c r="AR221" s="57">
        <v>8708</v>
      </c>
      <c r="AS221" s="57">
        <v>0</v>
      </c>
      <c r="AT221" s="57">
        <v>0</v>
      </c>
      <c r="AU221" s="57">
        <v>0</v>
      </c>
      <c r="AV221" s="57">
        <v>0</v>
      </c>
      <c r="AW221" s="57">
        <v>0</v>
      </c>
      <c r="AX221" s="57"/>
      <c r="AY221" s="57">
        <v>0</v>
      </c>
    </row>
    <row r="222" spans="1:51" x14ac:dyDescent="0.2">
      <c r="A222" s="54">
        <v>2903</v>
      </c>
      <c r="B222" s="54">
        <v>2018</v>
      </c>
      <c r="C222" s="91" t="s">
        <v>81</v>
      </c>
      <c r="D222" s="54" t="s">
        <v>83</v>
      </c>
      <c r="E222" s="54" t="s">
        <v>77</v>
      </c>
      <c r="F222" s="54" t="str">
        <f>_xlfn.CONCAT(Table13[[#This Row],[Geographic Scope]],": ",Table13[[#This Row],[Sub-Type/Focus]])</f>
        <v>State: General</v>
      </c>
      <c r="G222" s="54" t="str">
        <f>_xlfn.CONCAT(Table13[[#This Row],[Geographic Scope]],": ",Table13[[#This Row],[Sub-Type/Focus]],": ",Table13[[#This Row],[Content Type]])</f>
        <v>State: General: Investigative</v>
      </c>
      <c r="H222" s="54" t="str">
        <f>_xlfn.CONCAT(Table13[[#This Row],[Geographic Scope]],": ",Table13[[#This Row],[Content Type]])</f>
        <v>State: Investigative</v>
      </c>
      <c r="I222" s="55">
        <f>Table13[[#This Row],[Total Contributed Income]]+Table13[[#This Row],[Total Earned Income]]</f>
        <v>274000</v>
      </c>
      <c r="J222" s="55">
        <f>Table13[[#This Row],[Cont. Income - Foundation]]+Table13[[#This Row],[Cont. Income - Membership]]+Table13[[#This Row],[Cont. Income - Small Donors]]+Table13[[#This Row],[Cont. Income - Med. Donors]]+Table13[[#This Row],[Cont. Income - Major Donors]]+Table13[[#This Row],[Cont. Income - Other]]</f>
        <v>261000</v>
      </c>
      <c r="K222" s="55">
        <f>Table13[[#This Row],[Earned Income - Advertising]]+Table13[[#This Row],[Earned Income - Sponsorships/Underwriting]]+Table13[[#This Row],[Earned Income - Events]]+Table13[[#This Row],[Earned Income - Subscriptions]]+Table13[[#This Row],[Earned Income - Syndication]]+Table13[[#This Row],[Earned Income - Other]]</f>
        <v>13000</v>
      </c>
      <c r="L222" s="56">
        <v>249000</v>
      </c>
      <c r="M222" s="56">
        <v>0</v>
      </c>
      <c r="N222" s="71">
        <f>SUM(Table13[[#This Row],[Cont. Income - Small Donors]:[Cont. Income - Major Donors]])</f>
        <v>12000</v>
      </c>
      <c r="O222" s="56">
        <v>12000</v>
      </c>
      <c r="P222" s="56">
        <v>0</v>
      </c>
      <c r="Q222" s="56">
        <v>0</v>
      </c>
      <c r="R222" s="56">
        <v>0</v>
      </c>
      <c r="T222" s="56">
        <v>0</v>
      </c>
      <c r="U222" s="56">
        <v>13000</v>
      </c>
      <c r="V222" s="56">
        <v>0</v>
      </c>
      <c r="W222" s="56">
        <v>0</v>
      </c>
      <c r="X222" s="56">
        <v>0</v>
      </c>
      <c r="Y222" s="56">
        <v>0</v>
      </c>
      <c r="AA222" s="55">
        <f>Table13[[#This Row],[Expenses - Editorial]]+Table13[[#This Row],[Expenses - Revenue Generation]]+Table13[[#This Row],[Expenses - Tech]]+Table13[[#This Row],[Expenses - Admin]]</f>
        <v>261000</v>
      </c>
      <c r="AB222" s="56">
        <v>180000</v>
      </c>
      <c r="AC222" s="71">
        <f>SUM(Table13[[#This Row],[Expenses - Revenue Generation]:[Expenses - Admin]])</f>
        <v>81000</v>
      </c>
      <c r="AD222" s="56">
        <v>16000</v>
      </c>
      <c r="AE222" s="56">
        <v>15000</v>
      </c>
      <c r="AF222" s="56">
        <v>50000</v>
      </c>
      <c r="AG222" s="59">
        <f>Table13[[#This Row],[Total FTE - Editorial]]+Table13[[#This Row],[Total FTE - Non-Editorial]]</f>
        <v>10</v>
      </c>
      <c r="AH222" s="59">
        <f>Table13[[#This Row],[FTE Salaried - Editorial]]+Table13[[#This Row],[FTE Contractors - Editorial]]</f>
        <v>8</v>
      </c>
      <c r="AI222" s="57">
        <v>3</v>
      </c>
      <c r="AJ222" s="57">
        <v>5</v>
      </c>
      <c r="AK222" s="60">
        <f>Table13[[#This Row],[FTE Salaried - Non-Editorial]]+Table13[[#This Row],[FTE Contractors - Non-Editorial]]</f>
        <v>2</v>
      </c>
      <c r="AL222" s="57">
        <v>0</v>
      </c>
      <c r="AM222" s="57">
        <v>2</v>
      </c>
      <c r="AN222" s="54" t="s">
        <v>351</v>
      </c>
      <c r="AO222" s="54" t="s">
        <v>366</v>
      </c>
      <c r="AP222" s="54" t="s">
        <v>596</v>
      </c>
      <c r="AQ222" s="57">
        <v>62000</v>
      </c>
      <c r="AR222" s="57">
        <v>5200</v>
      </c>
      <c r="AS222" s="57">
        <v>0</v>
      </c>
      <c r="AT222" s="57">
        <v>0</v>
      </c>
      <c r="AU222" s="57">
        <v>0</v>
      </c>
      <c r="AV222" s="57">
        <v>0</v>
      </c>
      <c r="AW222" s="57">
        <v>0</v>
      </c>
      <c r="AX222" s="57"/>
      <c r="AY222" s="57">
        <v>0</v>
      </c>
    </row>
    <row r="223" spans="1:51" x14ac:dyDescent="0.2">
      <c r="A223" s="54">
        <v>2990</v>
      </c>
      <c r="B223" s="54">
        <v>1871</v>
      </c>
      <c r="C223" s="91" t="s">
        <v>81</v>
      </c>
      <c r="D223" s="54" t="s">
        <v>83</v>
      </c>
      <c r="E223" s="54" t="s">
        <v>77</v>
      </c>
      <c r="F223" s="54" t="str">
        <f>_xlfn.CONCAT(Table13[[#This Row],[Geographic Scope]],": ",Table13[[#This Row],[Sub-Type/Focus]])</f>
        <v>State: General</v>
      </c>
      <c r="G223" s="54" t="str">
        <f>_xlfn.CONCAT(Table13[[#This Row],[Geographic Scope]],": ",Table13[[#This Row],[Sub-Type/Focus]],": ",Table13[[#This Row],[Content Type]])</f>
        <v>State: General: Investigative</v>
      </c>
      <c r="H223" s="54" t="str">
        <f>_xlfn.CONCAT(Table13[[#This Row],[Geographic Scope]],": ",Table13[[#This Row],[Content Type]])</f>
        <v>State: Investigative</v>
      </c>
      <c r="I223" s="55">
        <f>Table13[[#This Row],[Total Contributed Income]]+Table13[[#This Row],[Total Earned Income]]</f>
        <v>8259173</v>
      </c>
      <c r="J223" s="55">
        <f>Table13[[#This Row],[Cont. Income - Foundation]]+Table13[[#This Row],[Cont. Income - Membership]]+Table13[[#This Row],[Cont. Income - Small Donors]]+Table13[[#This Row],[Cont. Income - Med. Donors]]+Table13[[#This Row],[Cont. Income - Major Donors]]+Table13[[#This Row],[Cont. Income - Other]]</f>
        <v>759173</v>
      </c>
      <c r="K223" s="55">
        <f>Table13[[#This Row],[Earned Income - Advertising]]+Table13[[#This Row],[Earned Income - Sponsorships/Underwriting]]+Table13[[#This Row],[Earned Income - Events]]+Table13[[#This Row],[Earned Income - Subscriptions]]+Table13[[#This Row],[Earned Income - Syndication]]+Table13[[#This Row],[Earned Income - Other]]</f>
        <v>7500000</v>
      </c>
      <c r="L223" s="56">
        <v>759144</v>
      </c>
      <c r="M223" s="56">
        <v>0</v>
      </c>
      <c r="N223" s="71">
        <f>SUM(Table13[[#This Row],[Cont. Income - Small Donors]:[Cont. Income - Major Donors]])</f>
        <v>29</v>
      </c>
      <c r="O223" s="56">
        <v>0</v>
      </c>
      <c r="P223" s="56">
        <v>4</v>
      </c>
      <c r="Q223" s="56">
        <v>25</v>
      </c>
      <c r="R223" s="56">
        <v>0</v>
      </c>
      <c r="T223" s="56">
        <v>1000000</v>
      </c>
      <c r="U223" s="56">
        <v>40000</v>
      </c>
      <c r="V223" s="56">
        <v>0</v>
      </c>
      <c r="W223" s="56">
        <v>1200000</v>
      </c>
      <c r="X223" s="56">
        <v>30000</v>
      </c>
      <c r="Y223" s="56">
        <v>5230000</v>
      </c>
      <c r="AA223" s="55">
        <f>Table13[[#This Row],[Expenses - Editorial]]+Table13[[#This Row],[Expenses - Revenue Generation]]+Table13[[#This Row],[Expenses - Tech]]+Table13[[#This Row],[Expenses - Admin]]</f>
        <v>7500000</v>
      </c>
      <c r="AB223" s="56">
        <v>5500000</v>
      </c>
      <c r="AC223" s="71">
        <f>SUM(Table13[[#This Row],[Expenses - Revenue Generation]:[Expenses - Admin]])</f>
        <v>2000000</v>
      </c>
      <c r="AD223" s="56">
        <v>350000</v>
      </c>
      <c r="AE223" s="56">
        <v>750000</v>
      </c>
      <c r="AF223" s="56">
        <v>900000</v>
      </c>
      <c r="AG223" s="59">
        <f>Table13[[#This Row],[Total FTE - Editorial]]+Table13[[#This Row],[Total FTE - Non-Editorial]]</f>
        <v>59</v>
      </c>
      <c r="AH223" s="59">
        <f>Table13[[#This Row],[FTE Salaried - Editorial]]+Table13[[#This Row],[FTE Contractors - Editorial]]</f>
        <v>54</v>
      </c>
      <c r="AI223" s="57">
        <v>54</v>
      </c>
      <c r="AJ223" s="57">
        <v>0</v>
      </c>
      <c r="AK223" s="60">
        <f>Table13[[#This Row],[FTE Salaried - Non-Editorial]]+Table13[[#This Row],[FTE Contractors - Non-Editorial]]</f>
        <v>5</v>
      </c>
      <c r="AL223" s="57">
        <v>4</v>
      </c>
      <c r="AM223" s="57">
        <v>1</v>
      </c>
      <c r="AN223" s="54" t="s">
        <v>351</v>
      </c>
      <c r="AO223" s="54" t="s">
        <v>363</v>
      </c>
      <c r="AQ223" s="57">
        <v>4000000</v>
      </c>
      <c r="AR223" s="57">
        <v>42000</v>
      </c>
      <c r="AS223" s="57">
        <v>26000</v>
      </c>
      <c r="AT223" s="57">
        <v>365</v>
      </c>
      <c r="AU223" s="57">
        <v>0</v>
      </c>
      <c r="AV223" s="57">
        <v>0</v>
      </c>
      <c r="AW223" s="57">
        <v>0</v>
      </c>
      <c r="AX223" s="57">
        <v>0</v>
      </c>
      <c r="AY223" s="57">
        <v>70000</v>
      </c>
    </row>
    <row r="224" spans="1:51" x14ac:dyDescent="0.2">
      <c r="A224" s="54">
        <v>345</v>
      </c>
      <c r="B224" s="54">
        <v>2007</v>
      </c>
      <c r="C224" s="91" t="s">
        <v>81</v>
      </c>
      <c r="D224" s="54" t="s">
        <v>83</v>
      </c>
      <c r="E224" s="54" t="s">
        <v>78</v>
      </c>
      <c r="F224" s="54" t="str">
        <f>_xlfn.CONCAT(Table13[[#This Row],[Geographic Scope]],": ",Table13[[#This Row],[Sub-Type/Focus]])</f>
        <v>State: Multiple Related Topics</v>
      </c>
      <c r="G224" s="54" t="str">
        <f>_xlfn.CONCAT(Table13[[#This Row],[Geographic Scope]],": ",Table13[[#This Row],[Sub-Type/Focus]],": ",Table13[[#This Row],[Content Type]])</f>
        <v>State: Multiple Related Topics: Investigative</v>
      </c>
      <c r="H224" s="54" t="str">
        <f>_xlfn.CONCAT(Table13[[#This Row],[Geographic Scope]],": ",Table13[[#This Row],[Content Type]])</f>
        <v>State: Investigative</v>
      </c>
      <c r="I224" s="55">
        <f>Table13[[#This Row],[Total Contributed Income]]+Table13[[#This Row],[Total Earned Income]]</f>
        <v>1772213.51</v>
      </c>
      <c r="J224" s="55">
        <f>Table13[[#This Row],[Cont. Income - Foundation]]+Table13[[#This Row],[Cont. Income - Membership]]+Table13[[#This Row],[Cont. Income - Small Donors]]+Table13[[#This Row],[Cont. Income - Med. Donors]]+Table13[[#This Row],[Cont. Income - Major Donors]]+Table13[[#This Row],[Cont. Income - Other]]</f>
        <v>1754145.51</v>
      </c>
      <c r="K224" s="55">
        <f>Table13[[#This Row],[Earned Income - Advertising]]+Table13[[#This Row],[Earned Income - Sponsorships/Underwriting]]+Table13[[#This Row],[Earned Income - Events]]+Table13[[#This Row],[Earned Income - Subscriptions]]+Table13[[#This Row],[Earned Income - Syndication]]+Table13[[#This Row],[Earned Income - Other]]</f>
        <v>18068</v>
      </c>
      <c r="L224" s="56">
        <v>1637700</v>
      </c>
      <c r="M224" s="56">
        <v>1410</v>
      </c>
      <c r="N224" s="71">
        <f>SUM(Table13[[#This Row],[Cont. Income - Small Donors]:[Cont. Income - Major Donors]])</f>
        <v>115035.51</v>
      </c>
      <c r="O224" s="56">
        <v>92778.51</v>
      </c>
      <c r="P224" s="56">
        <v>22257</v>
      </c>
      <c r="Q224" s="56">
        <v>0</v>
      </c>
      <c r="R224" s="56">
        <v>0</v>
      </c>
      <c r="T224" s="56">
        <v>0</v>
      </c>
      <c r="U224" s="56">
        <v>15400</v>
      </c>
      <c r="V224" s="56">
        <v>0</v>
      </c>
      <c r="W224" s="56">
        <v>0</v>
      </c>
      <c r="X224" s="56">
        <v>0</v>
      </c>
      <c r="Y224" s="56">
        <v>2668</v>
      </c>
      <c r="Z224" s="54" t="s">
        <v>362</v>
      </c>
      <c r="AA224" s="55">
        <f>Table13[[#This Row],[Expenses - Editorial]]+Table13[[#This Row],[Expenses - Revenue Generation]]+Table13[[#This Row],[Expenses - Tech]]+Table13[[#This Row],[Expenses - Admin]]</f>
        <v>1049667</v>
      </c>
      <c r="AB224" s="56">
        <v>633152</v>
      </c>
      <c r="AC224" s="71">
        <f>SUM(Table13[[#This Row],[Expenses - Revenue Generation]:[Expenses - Admin]])</f>
        <v>416515</v>
      </c>
      <c r="AD224" s="56">
        <v>137300</v>
      </c>
      <c r="AE224" s="56">
        <v>24160</v>
      </c>
      <c r="AF224" s="56">
        <v>255055</v>
      </c>
      <c r="AG224" s="59">
        <f>Table13[[#This Row],[Total FTE - Editorial]]+Table13[[#This Row],[Total FTE - Non-Editorial]]</f>
        <v>18</v>
      </c>
      <c r="AH224" s="59">
        <f>Table13[[#This Row],[FTE Salaried - Editorial]]+Table13[[#This Row],[FTE Contractors - Editorial]]</f>
        <v>13</v>
      </c>
      <c r="AI224" s="57">
        <v>9</v>
      </c>
      <c r="AJ224" s="57">
        <v>4</v>
      </c>
      <c r="AK224" s="60">
        <f>Table13[[#This Row],[FTE Salaried - Non-Editorial]]+Table13[[#This Row],[FTE Contractors - Non-Editorial]]</f>
        <v>5</v>
      </c>
      <c r="AL224" s="57">
        <v>1</v>
      </c>
      <c r="AM224" s="57">
        <v>4</v>
      </c>
      <c r="AN224" s="54" t="s">
        <v>351</v>
      </c>
      <c r="AO224" s="54" t="s">
        <v>465</v>
      </c>
      <c r="AQ224" s="57">
        <v>102543</v>
      </c>
      <c r="AR224" s="57">
        <v>7497</v>
      </c>
      <c r="AS224" s="57">
        <v>0</v>
      </c>
      <c r="AT224" s="57">
        <v>0</v>
      </c>
      <c r="AU224" s="57">
        <v>0</v>
      </c>
      <c r="AV224" s="57">
        <v>0</v>
      </c>
      <c r="AW224" s="57">
        <v>0</v>
      </c>
      <c r="AX224" s="57"/>
      <c r="AY224" s="57">
        <v>0</v>
      </c>
    </row>
    <row r="225" spans="1:51" x14ac:dyDescent="0.2">
      <c r="A225" s="54">
        <v>372</v>
      </c>
      <c r="B225" s="54">
        <v>2010</v>
      </c>
      <c r="C225" s="91" t="s">
        <v>81</v>
      </c>
      <c r="D225" s="54" t="s">
        <v>83</v>
      </c>
      <c r="E225" s="54" t="s">
        <v>78</v>
      </c>
      <c r="F225" s="54" t="str">
        <f>_xlfn.CONCAT(Table13[[#This Row],[Geographic Scope]],": ",Table13[[#This Row],[Sub-Type/Focus]])</f>
        <v>State: Multiple Related Topics</v>
      </c>
      <c r="G225" s="54" t="str">
        <f>_xlfn.CONCAT(Table13[[#This Row],[Geographic Scope]],": ",Table13[[#This Row],[Sub-Type/Focus]],": ",Table13[[#This Row],[Content Type]])</f>
        <v>State: Multiple Related Topics: Investigative</v>
      </c>
      <c r="H225" s="54" t="str">
        <f>_xlfn.CONCAT(Table13[[#This Row],[Geographic Scope]],": ",Table13[[#This Row],[Content Type]])</f>
        <v>State: Investigative</v>
      </c>
      <c r="I225" s="55">
        <f>Table13[[#This Row],[Total Contributed Income]]+Table13[[#This Row],[Total Earned Income]]</f>
        <v>65844.3</v>
      </c>
      <c r="J225" s="55">
        <f>Table13[[#This Row],[Cont. Income - Foundation]]+Table13[[#This Row],[Cont. Income - Membership]]+Table13[[#This Row],[Cont. Income - Small Donors]]+Table13[[#This Row],[Cont. Income - Med. Donors]]+Table13[[#This Row],[Cont. Income - Major Donors]]+Table13[[#This Row],[Cont. Income - Other]]</f>
        <v>65844.3</v>
      </c>
      <c r="K225" s="55">
        <f>Table13[[#This Row],[Earned Income - Advertising]]+Table13[[#This Row],[Earned Income - Sponsorships/Underwriting]]+Table13[[#This Row],[Earned Income - Events]]+Table13[[#This Row],[Earned Income - Subscriptions]]+Table13[[#This Row],[Earned Income - Syndication]]+Table13[[#This Row],[Earned Income - Other]]</f>
        <v>0</v>
      </c>
      <c r="L225" s="56">
        <v>48324.3</v>
      </c>
      <c r="M225" s="56">
        <v>0</v>
      </c>
      <c r="N225" s="71">
        <f>SUM(Table13[[#This Row],[Cont. Income - Small Donors]:[Cont. Income - Major Donors]])</f>
        <v>17520</v>
      </c>
      <c r="O225" s="56">
        <v>9885</v>
      </c>
      <c r="P225" s="56">
        <v>7635</v>
      </c>
      <c r="Q225" s="56">
        <v>0</v>
      </c>
      <c r="R225" s="56">
        <v>0</v>
      </c>
      <c r="T225" s="56">
        <v>0</v>
      </c>
      <c r="U225" s="56">
        <v>0</v>
      </c>
      <c r="V225" s="56">
        <v>0</v>
      </c>
      <c r="W225" s="56">
        <v>0</v>
      </c>
      <c r="X225" s="56">
        <v>0</v>
      </c>
      <c r="Y225" s="56">
        <v>0</v>
      </c>
      <c r="AA225" s="55">
        <f>Table13[[#This Row],[Expenses - Editorial]]+Table13[[#This Row],[Expenses - Revenue Generation]]+Table13[[#This Row],[Expenses - Tech]]+Table13[[#This Row],[Expenses - Admin]]</f>
        <v>64480</v>
      </c>
      <c r="AB225" s="56">
        <v>47034</v>
      </c>
      <c r="AC225" s="71">
        <f>SUM(Table13[[#This Row],[Expenses - Revenue Generation]:[Expenses - Admin]])</f>
        <v>17446</v>
      </c>
      <c r="AD225" s="56">
        <v>4575</v>
      </c>
      <c r="AE225" s="56">
        <v>921</v>
      </c>
      <c r="AF225" s="56">
        <v>11950</v>
      </c>
      <c r="AG225" s="59">
        <f>Table13[[#This Row],[Total FTE - Editorial]]+Table13[[#This Row],[Total FTE - Non-Editorial]]</f>
        <v>5</v>
      </c>
      <c r="AH225" s="59">
        <f>Table13[[#This Row],[FTE Salaried - Editorial]]+Table13[[#This Row],[FTE Contractors - Editorial]]</f>
        <v>5</v>
      </c>
      <c r="AI225" s="57">
        <v>1</v>
      </c>
      <c r="AJ225" s="57">
        <v>4</v>
      </c>
      <c r="AK225" s="60">
        <f>Table13[[#This Row],[FTE Salaried - Non-Editorial]]+Table13[[#This Row],[FTE Contractors - Non-Editorial]]</f>
        <v>0</v>
      </c>
      <c r="AL225" s="57">
        <v>0</v>
      </c>
      <c r="AM225" s="57">
        <v>0</v>
      </c>
      <c r="AN225" s="54" t="s">
        <v>352</v>
      </c>
      <c r="AO225" s="54" t="s">
        <v>597</v>
      </c>
      <c r="AQ225" s="57">
        <v>4970</v>
      </c>
      <c r="AR225" s="57">
        <v>1670</v>
      </c>
      <c r="AS225" s="57">
        <v>0</v>
      </c>
      <c r="AT225" s="57">
        <v>0</v>
      </c>
      <c r="AU225" s="57">
        <v>0</v>
      </c>
      <c r="AV225" s="57">
        <v>0</v>
      </c>
      <c r="AW225" s="57">
        <v>0</v>
      </c>
      <c r="AX225" s="57"/>
      <c r="AY225" s="57">
        <v>0</v>
      </c>
    </row>
    <row r="226" spans="1:51" x14ac:dyDescent="0.2">
      <c r="A226" s="54">
        <v>395</v>
      </c>
      <c r="B226" s="54">
        <v>2010</v>
      </c>
      <c r="C226" s="91" t="s">
        <v>81</v>
      </c>
      <c r="D226" s="54" t="s">
        <v>83</v>
      </c>
      <c r="E226" s="54" t="s">
        <v>78</v>
      </c>
      <c r="F226" s="54" t="str">
        <f>_xlfn.CONCAT(Table13[[#This Row],[Geographic Scope]],": ",Table13[[#This Row],[Sub-Type/Focus]])</f>
        <v>State: Multiple Related Topics</v>
      </c>
      <c r="G226" s="54" t="str">
        <f>_xlfn.CONCAT(Table13[[#This Row],[Geographic Scope]],": ",Table13[[#This Row],[Sub-Type/Focus]],": ",Table13[[#This Row],[Content Type]])</f>
        <v>State: Multiple Related Topics: Investigative</v>
      </c>
      <c r="H226" s="54" t="str">
        <f>_xlfn.CONCAT(Table13[[#This Row],[Geographic Scope]],": ",Table13[[#This Row],[Content Type]])</f>
        <v>State: Investigative</v>
      </c>
      <c r="I226" s="55">
        <f>Table13[[#This Row],[Total Contributed Income]]+Table13[[#This Row],[Total Earned Income]]</f>
        <v>133516.69</v>
      </c>
      <c r="J226" s="55">
        <f>Table13[[#This Row],[Cont. Income - Foundation]]+Table13[[#This Row],[Cont. Income - Membership]]+Table13[[#This Row],[Cont. Income - Small Donors]]+Table13[[#This Row],[Cont. Income - Med. Donors]]+Table13[[#This Row],[Cont. Income - Major Donors]]+Table13[[#This Row],[Cont. Income - Other]]</f>
        <v>133516.69</v>
      </c>
      <c r="K226" s="55">
        <f>Table13[[#This Row],[Earned Income - Advertising]]+Table13[[#This Row],[Earned Income - Sponsorships/Underwriting]]+Table13[[#This Row],[Earned Income - Events]]+Table13[[#This Row],[Earned Income - Subscriptions]]+Table13[[#This Row],[Earned Income - Syndication]]+Table13[[#This Row],[Earned Income - Other]]</f>
        <v>0</v>
      </c>
      <c r="L226" s="56">
        <v>66948.08</v>
      </c>
      <c r="M226" s="56">
        <v>0</v>
      </c>
      <c r="N226" s="71">
        <f>SUM(Table13[[#This Row],[Cont. Income - Small Donors]:[Cont. Income - Major Donors]])</f>
        <v>34718.239999999998</v>
      </c>
      <c r="O226" s="56">
        <v>9743.24</v>
      </c>
      <c r="P226" s="56">
        <v>7175</v>
      </c>
      <c r="Q226" s="56">
        <v>17800</v>
      </c>
      <c r="R226" s="56">
        <v>31850.37</v>
      </c>
      <c r="S226" s="55" t="s">
        <v>598</v>
      </c>
      <c r="T226" s="56">
        <v>0</v>
      </c>
      <c r="U226" s="56">
        <v>0</v>
      </c>
      <c r="V226" s="56">
        <v>0</v>
      </c>
      <c r="W226" s="56">
        <v>0</v>
      </c>
      <c r="X226" s="56">
        <v>0</v>
      </c>
      <c r="Y226" s="56">
        <v>0</v>
      </c>
      <c r="AA226" s="55">
        <f>Table13[[#This Row],[Expenses - Editorial]]+Table13[[#This Row],[Expenses - Revenue Generation]]+Table13[[#This Row],[Expenses - Tech]]+Table13[[#This Row],[Expenses - Admin]]</f>
        <v>122000</v>
      </c>
      <c r="AB226" s="56">
        <v>90000</v>
      </c>
      <c r="AC226" s="71">
        <f>SUM(Table13[[#This Row],[Expenses - Revenue Generation]:[Expenses - Admin]])</f>
        <v>32000</v>
      </c>
      <c r="AD226" s="56">
        <v>1000</v>
      </c>
      <c r="AE226" s="56">
        <v>1000</v>
      </c>
      <c r="AF226" s="56">
        <v>30000</v>
      </c>
      <c r="AG226" s="59">
        <f>Table13[[#This Row],[Total FTE - Editorial]]+Table13[[#This Row],[Total FTE - Non-Editorial]]</f>
        <v>2</v>
      </c>
      <c r="AH226" s="59">
        <f>Table13[[#This Row],[FTE Salaried - Editorial]]+Table13[[#This Row],[FTE Contractors - Editorial]]</f>
        <v>1</v>
      </c>
      <c r="AI226" s="57">
        <v>1</v>
      </c>
      <c r="AJ226" s="57">
        <v>0</v>
      </c>
      <c r="AK226" s="60">
        <f>Table13[[#This Row],[FTE Salaried - Non-Editorial]]+Table13[[#This Row],[FTE Contractors - Non-Editorial]]</f>
        <v>1</v>
      </c>
      <c r="AL226" s="57">
        <v>1</v>
      </c>
      <c r="AM226" s="57">
        <v>0</v>
      </c>
      <c r="AN226" s="54" t="s">
        <v>599</v>
      </c>
      <c r="AO226" s="54" t="s">
        <v>353</v>
      </c>
      <c r="AQ226" s="57">
        <v>0</v>
      </c>
      <c r="AR226" s="57">
        <v>0</v>
      </c>
      <c r="AS226" s="57">
        <v>0</v>
      </c>
      <c r="AT226" s="57">
        <v>0</v>
      </c>
      <c r="AU226" s="57">
        <v>0</v>
      </c>
      <c r="AV226" s="57">
        <v>0</v>
      </c>
      <c r="AW226" s="57">
        <v>0</v>
      </c>
      <c r="AX226" s="57"/>
      <c r="AY226" s="57">
        <v>0</v>
      </c>
    </row>
    <row r="227" spans="1:51" x14ac:dyDescent="0.2">
      <c r="A227" s="54">
        <v>469</v>
      </c>
      <c r="B227" s="54">
        <v>2009</v>
      </c>
      <c r="C227" s="91" t="s">
        <v>81</v>
      </c>
      <c r="D227" s="54" t="s">
        <v>83</v>
      </c>
      <c r="E227" s="54" t="s">
        <v>78</v>
      </c>
      <c r="F227" s="54" t="str">
        <f>_xlfn.CONCAT(Table13[[#This Row],[Geographic Scope]],": ",Table13[[#This Row],[Sub-Type/Focus]])</f>
        <v>State: Multiple Related Topics</v>
      </c>
      <c r="G227" s="54" t="str">
        <f>_xlfn.CONCAT(Table13[[#This Row],[Geographic Scope]],": ",Table13[[#This Row],[Sub-Type/Focus]],": ",Table13[[#This Row],[Content Type]])</f>
        <v>State: Multiple Related Topics: Investigative</v>
      </c>
      <c r="H227" s="54" t="str">
        <f>_xlfn.CONCAT(Table13[[#This Row],[Geographic Scope]],": ",Table13[[#This Row],[Content Type]])</f>
        <v>State: Investigative</v>
      </c>
      <c r="I227" s="55">
        <f>Table13[[#This Row],[Total Contributed Income]]+Table13[[#This Row],[Total Earned Income]]</f>
        <v>10196685</v>
      </c>
      <c r="J227" s="55">
        <f>Table13[[#This Row],[Cont. Income - Foundation]]+Table13[[#This Row],[Cont. Income - Membership]]+Table13[[#This Row],[Cont. Income - Small Donors]]+Table13[[#This Row],[Cont. Income - Med. Donors]]+Table13[[#This Row],[Cont. Income - Major Donors]]+Table13[[#This Row],[Cont. Income - Other]]</f>
        <v>6941917</v>
      </c>
      <c r="K227" s="55">
        <f>Table13[[#This Row],[Earned Income - Advertising]]+Table13[[#This Row],[Earned Income - Sponsorships/Underwriting]]+Table13[[#This Row],[Earned Income - Events]]+Table13[[#This Row],[Earned Income - Subscriptions]]+Table13[[#This Row],[Earned Income - Syndication]]+Table13[[#This Row],[Earned Income - Other]]</f>
        <v>3254768</v>
      </c>
      <c r="L227" s="56">
        <v>3069200</v>
      </c>
      <c r="M227" s="56">
        <v>728826</v>
      </c>
      <c r="N227" s="71">
        <f>SUM(Table13[[#This Row],[Cont. Income - Small Donors]:[Cont. Income - Major Donors]])</f>
        <v>3143891</v>
      </c>
      <c r="O227" s="56">
        <v>16931</v>
      </c>
      <c r="P227" s="56">
        <v>601961</v>
      </c>
      <c r="Q227" s="56">
        <v>2524999</v>
      </c>
      <c r="R227" s="56">
        <v>0</v>
      </c>
      <c r="T227" s="56">
        <v>0</v>
      </c>
      <c r="U227" s="56">
        <v>1171750</v>
      </c>
      <c r="V227" s="56">
        <v>1758642</v>
      </c>
      <c r="W227" s="56">
        <v>149874</v>
      </c>
      <c r="X227" s="56">
        <v>174502</v>
      </c>
      <c r="Y227" s="56">
        <v>0</v>
      </c>
      <c r="AA227" s="55">
        <f>Table13[[#This Row],[Expenses - Editorial]]+Table13[[#This Row],[Expenses - Revenue Generation]]+Table13[[#This Row],[Expenses - Tech]]+Table13[[#This Row],[Expenses - Admin]]</f>
        <v>10446473</v>
      </c>
      <c r="AB227" s="56">
        <v>7892521</v>
      </c>
      <c r="AC227" s="71">
        <f>SUM(Table13[[#This Row],[Expenses - Revenue Generation]:[Expenses - Admin]])</f>
        <v>2553952</v>
      </c>
      <c r="AD227" s="56">
        <v>942717</v>
      </c>
      <c r="AE227" s="56">
        <v>230068</v>
      </c>
      <c r="AF227" s="56">
        <v>1381167</v>
      </c>
      <c r="AG227" s="59">
        <f>Table13[[#This Row],[Total FTE - Editorial]]+Table13[[#This Row],[Total FTE - Non-Editorial]]</f>
        <v>70</v>
      </c>
      <c r="AH227" s="59">
        <f>Table13[[#This Row],[FTE Salaried - Editorial]]+Table13[[#This Row],[FTE Contractors - Editorial]]</f>
        <v>47</v>
      </c>
      <c r="AI227" s="57">
        <v>46.5</v>
      </c>
      <c r="AJ227" s="57">
        <v>0.5</v>
      </c>
      <c r="AK227" s="60">
        <f>Table13[[#This Row],[FTE Salaried - Non-Editorial]]+Table13[[#This Row],[FTE Contractors - Non-Editorial]]</f>
        <v>23</v>
      </c>
      <c r="AL227" s="57">
        <v>22.5</v>
      </c>
      <c r="AM227" s="57">
        <v>0.5</v>
      </c>
      <c r="AN227" s="54" t="s">
        <v>351</v>
      </c>
      <c r="AO227" s="54" t="s">
        <v>366</v>
      </c>
      <c r="AP227" s="54" t="s">
        <v>600</v>
      </c>
      <c r="AQ227" s="57">
        <v>6500000</v>
      </c>
      <c r="AR227" s="57">
        <v>124421</v>
      </c>
      <c r="AS227" s="57">
        <v>0</v>
      </c>
      <c r="AT227" s="57">
        <v>0</v>
      </c>
      <c r="AU227" s="57">
        <v>0</v>
      </c>
      <c r="AV227" s="57">
        <v>0</v>
      </c>
      <c r="AW227" s="57">
        <v>0</v>
      </c>
      <c r="AX227" s="57">
        <v>0</v>
      </c>
      <c r="AY227" s="57">
        <v>25826</v>
      </c>
    </row>
    <row r="228" spans="1:51" x14ac:dyDescent="0.2">
      <c r="A228" s="54">
        <v>471</v>
      </c>
      <c r="B228" s="54">
        <v>2018</v>
      </c>
      <c r="C228" s="91" t="s">
        <v>81</v>
      </c>
      <c r="D228" s="54" t="s">
        <v>83</v>
      </c>
      <c r="E228" s="54" t="s">
        <v>78</v>
      </c>
      <c r="F228" s="54" t="str">
        <f>_xlfn.CONCAT(Table13[[#This Row],[Geographic Scope]],": ",Table13[[#This Row],[Sub-Type/Focus]])</f>
        <v>State: Multiple Related Topics</v>
      </c>
      <c r="G228" s="54" t="str">
        <f>_xlfn.CONCAT(Table13[[#This Row],[Geographic Scope]],": ",Table13[[#This Row],[Sub-Type/Focus]],": ",Table13[[#This Row],[Content Type]])</f>
        <v>State: Multiple Related Topics: Investigative</v>
      </c>
      <c r="H228" s="54" t="str">
        <f>_xlfn.CONCAT(Table13[[#This Row],[Geographic Scope]],": ",Table13[[#This Row],[Content Type]])</f>
        <v>State: Investigative</v>
      </c>
      <c r="I228" s="55">
        <f>Table13[[#This Row],[Total Contributed Income]]+Table13[[#This Row],[Total Earned Income]]</f>
        <v>24739.13</v>
      </c>
      <c r="J228" s="55">
        <f>Table13[[#This Row],[Cont. Income - Foundation]]+Table13[[#This Row],[Cont. Income - Membership]]+Table13[[#This Row],[Cont. Income - Small Donors]]+Table13[[#This Row],[Cont. Income - Med. Donors]]+Table13[[#This Row],[Cont. Income - Major Donors]]+Table13[[#This Row],[Cont. Income - Other]]</f>
        <v>24039.13</v>
      </c>
      <c r="K228" s="55">
        <f>Table13[[#This Row],[Earned Income - Advertising]]+Table13[[#This Row],[Earned Income - Sponsorships/Underwriting]]+Table13[[#This Row],[Earned Income - Events]]+Table13[[#This Row],[Earned Income - Subscriptions]]+Table13[[#This Row],[Earned Income - Syndication]]+Table13[[#This Row],[Earned Income - Other]]</f>
        <v>700</v>
      </c>
      <c r="L228" s="56">
        <v>8312.8700000000008</v>
      </c>
      <c r="M228" s="56">
        <v>0</v>
      </c>
      <c r="N228" s="71">
        <f>SUM(Table13[[#This Row],[Cont. Income - Small Donors]:[Cont. Income - Major Donors]])</f>
        <v>15726.26</v>
      </c>
      <c r="O228" s="56">
        <v>0</v>
      </c>
      <c r="P228" s="56">
        <v>4025.32</v>
      </c>
      <c r="Q228" s="56">
        <v>11700.94</v>
      </c>
      <c r="R228" s="56">
        <v>0</v>
      </c>
      <c r="T228" s="56">
        <v>0</v>
      </c>
      <c r="U228" s="56">
        <v>0</v>
      </c>
      <c r="V228" s="56">
        <v>0</v>
      </c>
      <c r="W228" s="56">
        <v>0</v>
      </c>
      <c r="X228" s="56">
        <v>700</v>
      </c>
      <c r="Y228" s="56">
        <v>0</v>
      </c>
      <c r="AA228" s="55">
        <f>Table13[[#This Row],[Expenses - Editorial]]+Table13[[#This Row],[Expenses - Revenue Generation]]+Table13[[#This Row],[Expenses - Tech]]+Table13[[#This Row],[Expenses - Admin]]</f>
        <v>22131</v>
      </c>
      <c r="AB228" s="56">
        <v>12953</v>
      </c>
      <c r="AC228" s="71">
        <f>SUM(Table13[[#This Row],[Expenses - Revenue Generation]:[Expenses - Admin]])</f>
        <v>9178</v>
      </c>
      <c r="AD228" s="56">
        <v>5074</v>
      </c>
      <c r="AE228" s="56">
        <v>913</v>
      </c>
      <c r="AF228" s="56">
        <v>3191</v>
      </c>
      <c r="AG228" s="59">
        <f>Table13[[#This Row],[Total FTE - Editorial]]+Table13[[#This Row],[Total FTE - Non-Editorial]]</f>
        <v>1.5</v>
      </c>
      <c r="AH228" s="59">
        <f>Table13[[#This Row],[FTE Salaried - Editorial]]+Table13[[#This Row],[FTE Contractors - Editorial]]</f>
        <v>1.5</v>
      </c>
      <c r="AI228" s="57">
        <v>0.5</v>
      </c>
      <c r="AJ228" s="57">
        <v>1</v>
      </c>
      <c r="AK228" s="60">
        <f>Table13[[#This Row],[FTE Salaried - Non-Editorial]]+Table13[[#This Row],[FTE Contractors - Non-Editorial]]</f>
        <v>0</v>
      </c>
      <c r="AL228" s="57">
        <v>0</v>
      </c>
      <c r="AM228" s="57">
        <v>0</v>
      </c>
      <c r="AN228" s="54" t="s">
        <v>347</v>
      </c>
      <c r="AO228" s="54" t="s">
        <v>353</v>
      </c>
      <c r="AQ228" s="57">
        <v>2700</v>
      </c>
      <c r="AR228" s="57">
        <v>298</v>
      </c>
      <c r="AS228" s="57">
        <v>0</v>
      </c>
      <c r="AT228" s="57">
        <v>0</v>
      </c>
      <c r="AU228" s="57">
        <v>0</v>
      </c>
      <c r="AV228" s="57">
        <v>0</v>
      </c>
      <c r="AW228" s="57">
        <v>0</v>
      </c>
      <c r="AX228" s="57"/>
      <c r="AY228" s="57">
        <v>0</v>
      </c>
    </row>
    <row r="229" spans="1:51" x14ac:dyDescent="0.2">
      <c r="A229" s="54">
        <v>501</v>
      </c>
      <c r="B229" s="54">
        <v>2019</v>
      </c>
      <c r="C229" s="91" t="s">
        <v>81</v>
      </c>
      <c r="D229" s="54" t="s">
        <v>83</v>
      </c>
      <c r="E229" s="54" t="s">
        <v>78</v>
      </c>
      <c r="F229" s="54" t="str">
        <f>_xlfn.CONCAT(Table13[[#This Row],[Geographic Scope]],": ",Table13[[#This Row],[Sub-Type/Focus]])</f>
        <v>State: Multiple Related Topics</v>
      </c>
      <c r="G229" s="54" t="str">
        <f>_xlfn.CONCAT(Table13[[#This Row],[Geographic Scope]],": ",Table13[[#This Row],[Sub-Type/Focus]],": ",Table13[[#This Row],[Content Type]])</f>
        <v>State: Multiple Related Topics: Investigative</v>
      </c>
      <c r="H229" s="54" t="str">
        <f>_xlfn.CONCAT(Table13[[#This Row],[Geographic Scope]],": ",Table13[[#This Row],[Content Type]])</f>
        <v>State: Investigative</v>
      </c>
      <c r="I229" s="55">
        <f>Table13[[#This Row],[Total Contributed Income]]+Table13[[#This Row],[Total Earned Income]]</f>
        <v>155851.78999999998</v>
      </c>
      <c r="J229" s="55">
        <f>Table13[[#This Row],[Cont. Income - Foundation]]+Table13[[#This Row],[Cont. Income - Membership]]+Table13[[#This Row],[Cont. Income - Small Donors]]+Table13[[#This Row],[Cont. Income - Med. Donors]]+Table13[[#This Row],[Cont. Income - Major Donors]]+Table13[[#This Row],[Cont. Income - Other]]</f>
        <v>148558.29999999999</v>
      </c>
      <c r="K229" s="55">
        <f>Table13[[#This Row],[Earned Income - Advertising]]+Table13[[#This Row],[Earned Income - Sponsorships/Underwriting]]+Table13[[#This Row],[Earned Income - Events]]+Table13[[#This Row],[Earned Income - Subscriptions]]+Table13[[#This Row],[Earned Income - Syndication]]+Table13[[#This Row],[Earned Income - Other]]</f>
        <v>7293.49</v>
      </c>
      <c r="L229" s="56">
        <v>132500</v>
      </c>
      <c r="M229" s="56">
        <v>0</v>
      </c>
      <c r="N229" s="71">
        <f>SUM(Table13[[#This Row],[Cont. Income - Small Donors]:[Cont. Income - Major Donors]])</f>
        <v>16058.3</v>
      </c>
      <c r="O229" s="56">
        <v>8176.3</v>
      </c>
      <c r="P229" s="56">
        <v>7882</v>
      </c>
      <c r="Q229" s="56">
        <v>0</v>
      </c>
      <c r="R229" s="56">
        <v>0</v>
      </c>
      <c r="T229" s="56">
        <v>0</v>
      </c>
      <c r="U229" s="56">
        <v>0</v>
      </c>
      <c r="V229" s="56">
        <v>7293.49</v>
      </c>
      <c r="W229" s="56">
        <v>0</v>
      </c>
      <c r="X229" s="56">
        <v>0</v>
      </c>
      <c r="Y229" s="56">
        <v>0</v>
      </c>
      <c r="AA229" s="55">
        <f>Table13[[#This Row],[Expenses - Editorial]]+Table13[[#This Row],[Expenses - Revenue Generation]]+Table13[[#This Row],[Expenses - Tech]]+Table13[[#This Row],[Expenses - Admin]]</f>
        <v>109429.70999999999</v>
      </c>
      <c r="AB229" s="56">
        <v>57331.71</v>
      </c>
      <c r="AC229" s="71">
        <f>SUM(Table13[[#This Row],[Expenses - Revenue Generation]:[Expenses - Admin]])</f>
        <v>52098</v>
      </c>
      <c r="AD229" s="56">
        <v>25488</v>
      </c>
      <c r="AE229" s="56">
        <v>1866</v>
      </c>
      <c r="AF229" s="56">
        <v>24744</v>
      </c>
      <c r="AG229" s="59">
        <f>Table13[[#This Row],[Total FTE - Editorial]]+Table13[[#This Row],[Total FTE - Non-Editorial]]</f>
        <v>3</v>
      </c>
      <c r="AH229" s="59">
        <f>Table13[[#This Row],[FTE Salaried - Editorial]]+Table13[[#This Row],[FTE Contractors - Editorial]]</f>
        <v>1</v>
      </c>
      <c r="AI229" s="57">
        <v>0</v>
      </c>
      <c r="AJ229" s="57">
        <v>1</v>
      </c>
      <c r="AK229" s="60">
        <f>Table13[[#This Row],[FTE Salaried - Non-Editorial]]+Table13[[#This Row],[FTE Contractors - Non-Editorial]]</f>
        <v>2</v>
      </c>
      <c r="AL229" s="57">
        <v>1.5</v>
      </c>
      <c r="AM229" s="57">
        <v>0.5</v>
      </c>
      <c r="AN229" s="54" t="s">
        <v>351</v>
      </c>
      <c r="AQ229" s="57">
        <v>743</v>
      </c>
      <c r="AR229" s="57">
        <v>470</v>
      </c>
      <c r="AS229" s="57">
        <v>0</v>
      </c>
      <c r="AT229" s="57">
        <v>0</v>
      </c>
      <c r="AU229" s="57">
        <v>0</v>
      </c>
      <c r="AV229" s="57">
        <v>0</v>
      </c>
      <c r="AW229" s="57">
        <v>0</v>
      </c>
      <c r="AX229" s="57"/>
      <c r="AY229" s="57">
        <v>0</v>
      </c>
    </row>
    <row r="230" spans="1:51" x14ac:dyDescent="0.2">
      <c r="A230" s="54">
        <v>2949</v>
      </c>
      <c r="B230" s="54">
        <v>2019</v>
      </c>
      <c r="C230" s="91" t="s">
        <v>81</v>
      </c>
      <c r="D230" s="54" t="s">
        <v>83</v>
      </c>
      <c r="E230" s="54" t="s">
        <v>78</v>
      </c>
      <c r="F230" s="54" t="str">
        <f>_xlfn.CONCAT(Table13[[#This Row],[Geographic Scope]],": ",Table13[[#This Row],[Sub-Type/Focus]])</f>
        <v>State: Multiple Related Topics</v>
      </c>
      <c r="G230" s="54" t="str">
        <f>_xlfn.CONCAT(Table13[[#This Row],[Geographic Scope]],": ",Table13[[#This Row],[Sub-Type/Focus]],": ",Table13[[#This Row],[Content Type]])</f>
        <v>State: Multiple Related Topics: Investigative</v>
      </c>
      <c r="H230" s="54" t="str">
        <f>_xlfn.CONCAT(Table13[[#This Row],[Geographic Scope]],": ",Table13[[#This Row],[Content Type]])</f>
        <v>State: Investigative</v>
      </c>
      <c r="I230" s="55">
        <f>Table13[[#This Row],[Total Contributed Income]]+Table13[[#This Row],[Total Earned Income]]</f>
        <v>208456.43000000002</v>
      </c>
      <c r="J230" s="55">
        <f>Table13[[#This Row],[Cont. Income - Foundation]]+Table13[[#This Row],[Cont. Income - Membership]]+Table13[[#This Row],[Cont. Income - Small Donors]]+Table13[[#This Row],[Cont. Income - Med. Donors]]+Table13[[#This Row],[Cont. Income - Major Donors]]+Table13[[#This Row],[Cont. Income - Other]]</f>
        <v>208456.43000000002</v>
      </c>
      <c r="K230" s="55">
        <f>Table13[[#This Row],[Earned Income - Advertising]]+Table13[[#This Row],[Earned Income - Sponsorships/Underwriting]]+Table13[[#This Row],[Earned Income - Events]]+Table13[[#This Row],[Earned Income - Subscriptions]]+Table13[[#This Row],[Earned Income - Syndication]]+Table13[[#This Row],[Earned Income - Other]]</f>
        <v>0</v>
      </c>
      <c r="L230" s="56">
        <v>171043.42</v>
      </c>
      <c r="M230" s="56">
        <v>0</v>
      </c>
      <c r="N230" s="71">
        <f>SUM(Table13[[#This Row],[Cont. Income - Small Donors]:[Cont. Income - Major Donors]])</f>
        <v>28922.41</v>
      </c>
      <c r="O230" s="56">
        <v>8422.41</v>
      </c>
      <c r="P230" s="56">
        <v>8000</v>
      </c>
      <c r="Q230" s="56">
        <v>12500</v>
      </c>
      <c r="R230" s="56">
        <v>8490.6</v>
      </c>
      <c r="S230" s="55" t="s">
        <v>601</v>
      </c>
      <c r="T230" s="56">
        <v>0</v>
      </c>
      <c r="U230" s="56">
        <v>0</v>
      </c>
      <c r="V230" s="56">
        <v>0</v>
      </c>
      <c r="W230" s="56">
        <v>0</v>
      </c>
      <c r="X230" s="56">
        <v>0</v>
      </c>
      <c r="Y230" s="56">
        <v>0</v>
      </c>
      <c r="AA230" s="55">
        <f>Table13[[#This Row],[Expenses - Editorial]]+Table13[[#This Row],[Expenses - Revenue Generation]]+Table13[[#This Row],[Expenses - Tech]]+Table13[[#This Row],[Expenses - Admin]]</f>
        <v>231511.84</v>
      </c>
      <c r="AB230" s="56">
        <v>213035.72</v>
      </c>
      <c r="AC230" s="71">
        <f>SUM(Table13[[#This Row],[Expenses - Revenue Generation]:[Expenses - Admin]])</f>
        <v>18476.120000000003</v>
      </c>
      <c r="AD230" s="56">
        <v>242</v>
      </c>
      <c r="AE230" s="56">
        <v>9982.6200000000008</v>
      </c>
      <c r="AF230" s="56">
        <v>8251.5</v>
      </c>
      <c r="AG230" s="59">
        <f>Table13[[#This Row],[Total FTE - Editorial]]+Table13[[#This Row],[Total FTE - Non-Editorial]]</f>
        <v>5</v>
      </c>
      <c r="AH230" s="59">
        <f>Table13[[#This Row],[FTE Salaried - Editorial]]+Table13[[#This Row],[FTE Contractors - Editorial]]</f>
        <v>4</v>
      </c>
      <c r="AI230" s="57">
        <v>4</v>
      </c>
      <c r="AJ230" s="57">
        <v>0</v>
      </c>
      <c r="AK230" s="60">
        <f>Table13[[#This Row],[FTE Salaried - Non-Editorial]]+Table13[[#This Row],[FTE Contractors - Non-Editorial]]</f>
        <v>1</v>
      </c>
      <c r="AL230" s="57">
        <v>1</v>
      </c>
      <c r="AM230" s="57">
        <v>0</v>
      </c>
      <c r="AN230" s="54" t="s">
        <v>347</v>
      </c>
      <c r="AO230" s="54" t="s">
        <v>454</v>
      </c>
      <c r="AP230" s="54" t="s">
        <v>602</v>
      </c>
      <c r="AQ230" s="57">
        <v>10300</v>
      </c>
      <c r="AR230" s="57">
        <v>440</v>
      </c>
      <c r="AS230" s="57">
        <v>0</v>
      </c>
      <c r="AT230" s="57">
        <v>0</v>
      </c>
      <c r="AU230" s="57">
        <v>0</v>
      </c>
      <c r="AV230" s="57" t="s">
        <v>603</v>
      </c>
      <c r="AW230" s="57">
        <v>0</v>
      </c>
      <c r="AX230" s="57">
        <v>0</v>
      </c>
      <c r="AY230" s="57">
        <v>4</v>
      </c>
    </row>
    <row r="231" spans="1:51" x14ac:dyDescent="0.2">
      <c r="A231" s="54">
        <v>6810</v>
      </c>
      <c r="B231" s="54">
        <v>2020</v>
      </c>
      <c r="C231" s="91" t="s">
        <v>81</v>
      </c>
      <c r="D231" s="54" t="s">
        <v>83</v>
      </c>
      <c r="E231" s="54" t="s">
        <v>78</v>
      </c>
      <c r="F231" s="54" t="str">
        <f>_xlfn.CONCAT(Table13[[#This Row],[Geographic Scope]],": ",Table13[[#This Row],[Sub-Type/Focus]])</f>
        <v>State: Multiple Related Topics</v>
      </c>
      <c r="G231" s="54" t="str">
        <f>_xlfn.CONCAT(Table13[[#This Row],[Geographic Scope]],": ",Table13[[#This Row],[Sub-Type/Focus]],": ",Table13[[#This Row],[Content Type]])</f>
        <v>State: Multiple Related Topics: Investigative</v>
      </c>
      <c r="H231" s="54" t="str">
        <f>_xlfn.CONCAT(Table13[[#This Row],[Geographic Scope]],": ",Table13[[#This Row],[Content Type]])</f>
        <v>State: Investigative</v>
      </c>
      <c r="I231" s="55">
        <f>Table13[[#This Row],[Total Contributed Income]]+Table13[[#This Row],[Total Earned Income]]</f>
        <v>0</v>
      </c>
      <c r="J231" s="55">
        <f>Table13[[#This Row],[Cont. Income - Foundation]]+Table13[[#This Row],[Cont. Income - Membership]]+Table13[[#This Row],[Cont. Income - Small Donors]]+Table13[[#This Row],[Cont. Income - Med. Donors]]+Table13[[#This Row],[Cont. Income - Major Donors]]+Table13[[#This Row],[Cont. Income - Other]]</f>
        <v>0</v>
      </c>
      <c r="K231" s="55">
        <f>Table13[[#This Row],[Earned Income - Advertising]]+Table13[[#This Row],[Earned Income - Sponsorships/Underwriting]]+Table13[[#This Row],[Earned Income - Events]]+Table13[[#This Row],[Earned Income - Subscriptions]]+Table13[[#This Row],[Earned Income - Syndication]]+Table13[[#This Row],[Earned Income - Other]]</f>
        <v>0</v>
      </c>
      <c r="L231" s="56"/>
      <c r="M231" s="56"/>
      <c r="N231" s="71">
        <f>SUM(Table13[[#This Row],[Cont. Income - Small Donors]:[Cont. Income - Major Donors]])</f>
        <v>0</v>
      </c>
      <c r="O231" s="56"/>
      <c r="P231" s="56"/>
      <c r="Q231" s="56"/>
      <c r="R231" s="56"/>
      <c r="T231" s="56"/>
      <c r="U231" s="56"/>
      <c r="V231" s="56"/>
      <c r="W231" s="56"/>
      <c r="X231" s="56"/>
      <c r="Y231" s="56"/>
      <c r="AA231" s="55">
        <f>Table13[[#This Row],[Expenses - Editorial]]+Table13[[#This Row],[Expenses - Revenue Generation]]+Table13[[#This Row],[Expenses - Tech]]+Table13[[#This Row],[Expenses - Admin]]</f>
        <v>0</v>
      </c>
      <c r="AB231" s="57"/>
      <c r="AC231" s="71">
        <f>SUM(Table13[[#This Row],[Expenses - Revenue Generation]:[Expenses - Admin]])</f>
        <v>0</v>
      </c>
      <c r="AD231" s="57"/>
      <c r="AE231" s="57"/>
      <c r="AF231" s="57"/>
      <c r="AG231" s="59">
        <f>Table13[[#This Row],[Total FTE - Editorial]]+Table13[[#This Row],[Total FTE - Non-Editorial]]</f>
        <v>8.5</v>
      </c>
      <c r="AH231" s="59">
        <f>Table13[[#This Row],[FTE Salaried - Editorial]]+Table13[[#This Row],[FTE Contractors - Editorial]]</f>
        <v>8.5</v>
      </c>
      <c r="AI231" s="57">
        <v>7</v>
      </c>
      <c r="AJ231" s="57">
        <v>1.5</v>
      </c>
      <c r="AK231" s="60">
        <f>Table13[[#This Row],[FTE Salaried - Non-Editorial]]+Table13[[#This Row],[FTE Contractors - Non-Editorial]]</f>
        <v>0</v>
      </c>
      <c r="AL231" s="57">
        <v>0</v>
      </c>
      <c r="AM231" s="57">
        <v>0</v>
      </c>
      <c r="AN231" s="54" t="s">
        <v>351</v>
      </c>
      <c r="AQ231" s="57">
        <v>32901</v>
      </c>
      <c r="AR231" s="57">
        <v>2943</v>
      </c>
      <c r="AS231" s="57">
        <v>0</v>
      </c>
      <c r="AT231" s="57">
        <v>0</v>
      </c>
      <c r="AU231" s="57">
        <v>0</v>
      </c>
      <c r="AV231" s="57">
        <v>0</v>
      </c>
      <c r="AW231" s="57">
        <v>0</v>
      </c>
      <c r="AX231" s="57">
        <v>0</v>
      </c>
      <c r="AY231" s="57">
        <v>0</v>
      </c>
    </row>
    <row r="232" spans="1:51" x14ac:dyDescent="0.2">
      <c r="A232" s="54">
        <v>6862</v>
      </c>
      <c r="B232" s="54">
        <v>2020</v>
      </c>
      <c r="C232" s="91" t="s">
        <v>81</v>
      </c>
      <c r="D232" s="54" t="s">
        <v>83</v>
      </c>
      <c r="E232" s="54" t="s">
        <v>78</v>
      </c>
      <c r="F232" s="54" t="str">
        <f>_xlfn.CONCAT(Table13[[#This Row],[Geographic Scope]],": ",Table13[[#This Row],[Sub-Type/Focus]])</f>
        <v>State: Multiple Related Topics</v>
      </c>
      <c r="G232" s="54" t="str">
        <f>_xlfn.CONCAT(Table13[[#This Row],[Geographic Scope]],": ",Table13[[#This Row],[Sub-Type/Focus]],": ",Table13[[#This Row],[Content Type]])</f>
        <v>State: Multiple Related Topics: Investigative</v>
      </c>
      <c r="H232" s="54" t="str">
        <f>_xlfn.CONCAT(Table13[[#This Row],[Geographic Scope]],": ",Table13[[#This Row],[Content Type]])</f>
        <v>State: Investigative</v>
      </c>
      <c r="I232" s="55">
        <f>Table13[[#This Row],[Total Contributed Income]]+Table13[[#This Row],[Total Earned Income]]</f>
        <v>0</v>
      </c>
      <c r="J232" s="55">
        <f>Table13[[#This Row],[Cont. Income - Foundation]]+Table13[[#This Row],[Cont. Income - Membership]]+Table13[[#This Row],[Cont. Income - Small Donors]]+Table13[[#This Row],[Cont. Income - Med. Donors]]+Table13[[#This Row],[Cont. Income - Major Donors]]+Table13[[#This Row],[Cont. Income - Other]]</f>
        <v>0</v>
      </c>
      <c r="K232" s="55">
        <f>Table13[[#This Row],[Earned Income - Advertising]]+Table13[[#This Row],[Earned Income - Sponsorships/Underwriting]]+Table13[[#This Row],[Earned Income - Events]]+Table13[[#This Row],[Earned Income - Subscriptions]]+Table13[[#This Row],[Earned Income - Syndication]]+Table13[[#This Row],[Earned Income - Other]]</f>
        <v>0</v>
      </c>
      <c r="L232" s="56"/>
      <c r="M232" s="56"/>
      <c r="N232" s="71">
        <f>SUM(Table13[[#This Row],[Cont. Income - Small Donors]:[Cont. Income - Major Donors]])</f>
        <v>0</v>
      </c>
      <c r="O232" s="56"/>
      <c r="P232" s="56"/>
      <c r="Q232" s="56"/>
      <c r="R232" s="56"/>
      <c r="T232" s="56"/>
      <c r="U232" s="56"/>
      <c r="V232" s="56"/>
      <c r="W232" s="56"/>
      <c r="X232" s="56"/>
      <c r="Y232" s="56"/>
      <c r="AA232" s="55">
        <f>Table13[[#This Row],[Expenses - Editorial]]+Table13[[#This Row],[Expenses - Revenue Generation]]+Table13[[#This Row],[Expenses - Tech]]+Table13[[#This Row],[Expenses - Admin]]</f>
        <v>0</v>
      </c>
      <c r="AB232" s="57"/>
      <c r="AC232" s="71">
        <f>SUM(Table13[[#This Row],[Expenses - Revenue Generation]:[Expenses - Admin]])</f>
        <v>0</v>
      </c>
      <c r="AD232" s="57"/>
      <c r="AE232" s="57"/>
      <c r="AF232" s="57"/>
      <c r="AG232" s="59">
        <f>Table13[[#This Row],[Total FTE - Editorial]]+Table13[[#This Row],[Total FTE - Non-Editorial]]</f>
        <v>5</v>
      </c>
      <c r="AH232" s="59">
        <f>Table13[[#This Row],[FTE Salaried - Editorial]]+Table13[[#This Row],[FTE Contractors - Editorial]]</f>
        <v>3.5</v>
      </c>
      <c r="AI232" s="57">
        <v>3</v>
      </c>
      <c r="AJ232" s="57">
        <v>0.5</v>
      </c>
      <c r="AK232" s="60">
        <f>Table13[[#This Row],[FTE Salaried - Non-Editorial]]+Table13[[#This Row],[FTE Contractors - Non-Editorial]]</f>
        <v>1.5</v>
      </c>
      <c r="AL232" s="57">
        <v>0</v>
      </c>
      <c r="AM232" s="57">
        <v>1.5</v>
      </c>
      <c r="AN232" s="54" t="s">
        <v>351</v>
      </c>
      <c r="AQ232" s="57">
        <v>8000</v>
      </c>
      <c r="AR232" s="57">
        <v>463</v>
      </c>
      <c r="AS232" s="57">
        <v>0</v>
      </c>
      <c r="AT232" s="57">
        <v>0</v>
      </c>
      <c r="AU232" s="57">
        <v>0</v>
      </c>
      <c r="AV232" s="57">
        <v>0</v>
      </c>
      <c r="AW232" s="57">
        <v>0</v>
      </c>
      <c r="AX232" s="57"/>
      <c r="AY232" s="57">
        <v>0</v>
      </c>
    </row>
    <row r="233" spans="1:51" x14ac:dyDescent="0.2">
      <c r="A233" s="54">
        <v>335</v>
      </c>
      <c r="B233" s="54">
        <v>1961</v>
      </c>
      <c r="C233" s="91" t="s">
        <v>81</v>
      </c>
      <c r="D233" s="54" t="s">
        <v>83</v>
      </c>
      <c r="E233" s="54" t="s">
        <v>79</v>
      </c>
      <c r="F233" s="54" t="str">
        <f>_xlfn.CONCAT(Table13[[#This Row],[Geographic Scope]],": ",Table13[[#This Row],[Sub-Type/Focus]])</f>
        <v>State: Single-Topic</v>
      </c>
      <c r="G233" s="54" t="str">
        <f>_xlfn.CONCAT(Table13[[#This Row],[Geographic Scope]],": ",Table13[[#This Row],[Sub-Type/Focus]],": ",Table13[[#This Row],[Content Type]])</f>
        <v>State: Single-Topic: Investigative</v>
      </c>
      <c r="H233" s="54" t="str">
        <f>_xlfn.CONCAT(Table13[[#This Row],[Geographic Scope]],": ",Table13[[#This Row],[Content Type]])</f>
        <v>State: Investigative</v>
      </c>
      <c r="I233" s="55">
        <f>Table13[[#This Row],[Total Contributed Income]]+Table13[[#This Row],[Total Earned Income]]</f>
        <v>2001819</v>
      </c>
      <c r="J233" s="55">
        <f>Table13[[#This Row],[Cont. Income - Foundation]]+Table13[[#This Row],[Cont. Income - Membership]]+Table13[[#This Row],[Cont. Income - Small Donors]]+Table13[[#This Row],[Cont. Income - Med. Donors]]+Table13[[#This Row],[Cont. Income - Major Donors]]+Table13[[#This Row],[Cont. Income - Other]]</f>
        <v>2001819</v>
      </c>
      <c r="K233" s="55">
        <f>Table13[[#This Row],[Earned Income - Advertising]]+Table13[[#This Row],[Earned Income - Sponsorships/Underwriting]]+Table13[[#This Row],[Earned Income - Events]]+Table13[[#This Row],[Earned Income - Subscriptions]]+Table13[[#This Row],[Earned Income - Syndication]]+Table13[[#This Row],[Earned Income - Other]]</f>
        <v>0</v>
      </c>
      <c r="L233" s="56">
        <v>1132500</v>
      </c>
      <c r="M233" s="56">
        <v>0</v>
      </c>
      <c r="N233" s="71">
        <f>SUM(Table13[[#This Row],[Cont. Income - Small Donors]:[Cont. Income - Major Donors]])</f>
        <v>869319</v>
      </c>
      <c r="O233" s="56">
        <v>28420</v>
      </c>
      <c r="P233" s="56">
        <v>48099</v>
      </c>
      <c r="Q233" s="56">
        <v>792800</v>
      </c>
      <c r="R233" s="56">
        <v>0</v>
      </c>
      <c r="T233" s="56">
        <v>0</v>
      </c>
      <c r="U233" s="56">
        <v>0</v>
      </c>
      <c r="V233" s="56">
        <v>0</v>
      </c>
      <c r="W233" s="56">
        <v>0</v>
      </c>
      <c r="X233" s="56">
        <v>0</v>
      </c>
      <c r="Y233" s="56">
        <v>0</v>
      </c>
      <c r="AA233" s="55">
        <f>Table13[[#This Row],[Expenses - Editorial]]+Table13[[#This Row],[Expenses - Revenue Generation]]+Table13[[#This Row],[Expenses - Tech]]+Table13[[#This Row],[Expenses - Admin]]</f>
        <v>1717300</v>
      </c>
      <c r="AB233" s="56">
        <v>1099000</v>
      </c>
      <c r="AC233" s="71">
        <f>SUM(Table13[[#This Row],[Expenses - Revenue Generation]:[Expenses - Admin]])</f>
        <v>618300</v>
      </c>
      <c r="AD233" s="56">
        <v>303000</v>
      </c>
      <c r="AE233" s="56">
        <v>65800</v>
      </c>
      <c r="AF233" s="56">
        <v>249500</v>
      </c>
      <c r="AG233" s="59">
        <f>Table13[[#This Row],[Total FTE - Editorial]]+Table13[[#This Row],[Total FTE - Non-Editorial]]</f>
        <v>14</v>
      </c>
      <c r="AH233" s="59">
        <f>Table13[[#This Row],[FTE Salaried - Editorial]]+Table13[[#This Row],[FTE Contractors - Editorial]]</f>
        <v>2</v>
      </c>
      <c r="AI233" s="57">
        <v>2</v>
      </c>
      <c r="AJ233" s="57">
        <v>0</v>
      </c>
      <c r="AK233" s="60">
        <f>Table13[[#This Row],[FTE Salaried - Non-Editorial]]+Table13[[#This Row],[FTE Contractors - Non-Editorial]]</f>
        <v>12</v>
      </c>
      <c r="AL233" s="57">
        <v>12</v>
      </c>
      <c r="AM233" s="57">
        <v>0</v>
      </c>
      <c r="AN233" s="54" t="s">
        <v>352</v>
      </c>
      <c r="AO233" s="54" t="s">
        <v>356</v>
      </c>
      <c r="AP233" s="54" t="s">
        <v>604</v>
      </c>
      <c r="AQ233" s="57">
        <v>233400</v>
      </c>
      <c r="AR233" s="57">
        <v>50000</v>
      </c>
      <c r="AS233" s="57">
        <v>0</v>
      </c>
      <c r="AT233" s="57">
        <v>0</v>
      </c>
      <c r="AU233" s="57">
        <v>0</v>
      </c>
      <c r="AV233" s="57">
        <v>0</v>
      </c>
      <c r="AW233" s="57">
        <v>0</v>
      </c>
      <c r="AX233" s="57"/>
      <c r="AY233" s="57">
        <v>0</v>
      </c>
    </row>
    <row r="234" spans="1:51" x14ac:dyDescent="0.2">
      <c r="A234" s="54">
        <v>341</v>
      </c>
      <c r="B234" s="54">
        <v>2009</v>
      </c>
      <c r="C234" s="91" t="s">
        <v>81</v>
      </c>
      <c r="D234" s="54" t="s">
        <v>83</v>
      </c>
      <c r="E234" s="54" t="s">
        <v>79</v>
      </c>
      <c r="F234" s="54" t="str">
        <f>_xlfn.CONCAT(Table13[[#This Row],[Geographic Scope]],": ",Table13[[#This Row],[Sub-Type/Focus]])</f>
        <v>State: Single-Topic</v>
      </c>
      <c r="G234" s="54" t="str">
        <f>_xlfn.CONCAT(Table13[[#This Row],[Geographic Scope]],": ",Table13[[#This Row],[Sub-Type/Focus]],": ",Table13[[#This Row],[Content Type]])</f>
        <v>State: Single-Topic: Investigative</v>
      </c>
      <c r="H234" s="54" t="str">
        <f>_xlfn.CONCAT(Table13[[#This Row],[Geographic Scope]],": ",Table13[[#This Row],[Content Type]])</f>
        <v>State: Investigative</v>
      </c>
      <c r="I234" s="55">
        <f>Table13[[#This Row],[Total Contributed Income]]+Table13[[#This Row],[Total Earned Income]]</f>
        <v>225500</v>
      </c>
      <c r="J234" s="55">
        <f>Table13[[#This Row],[Cont. Income - Foundation]]+Table13[[#This Row],[Cont. Income - Membership]]+Table13[[#This Row],[Cont. Income - Small Donors]]+Table13[[#This Row],[Cont. Income - Med. Donors]]+Table13[[#This Row],[Cont. Income - Major Donors]]+Table13[[#This Row],[Cont. Income - Other]]</f>
        <v>225500</v>
      </c>
      <c r="K234" s="55">
        <f>Table13[[#This Row],[Earned Income - Advertising]]+Table13[[#This Row],[Earned Income - Sponsorships/Underwriting]]+Table13[[#This Row],[Earned Income - Events]]+Table13[[#This Row],[Earned Income - Subscriptions]]+Table13[[#This Row],[Earned Income - Syndication]]+Table13[[#This Row],[Earned Income - Other]]</f>
        <v>0</v>
      </c>
      <c r="L234" s="56">
        <v>225000</v>
      </c>
      <c r="M234" s="56">
        <v>0</v>
      </c>
      <c r="N234" s="71">
        <f>SUM(Table13[[#This Row],[Cont. Income - Small Donors]:[Cont. Income - Major Donors]])</f>
        <v>500</v>
      </c>
      <c r="O234" s="56">
        <v>500</v>
      </c>
      <c r="P234" s="56">
        <v>0</v>
      </c>
      <c r="Q234" s="56">
        <v>0</v>
      </c>
      <c r="R234" s="56">
        <v>0</v>
      </c>
      <c r="T234" s="56">
        <v>0</v>
      </c>
      <c r="U234" s="56">
        <v>0</v>
      </c>
      <c r="V234" s="56">
        <v>0</v>
      </c>
      <c r="W234" s="56">
        <v>0</v>
      </c>
      <c r="X234" s="56">
        <v>0</v>
      </c>
      <c r="Y234" s="56">
        <v>0</v>
      </c>
      <c r="AA234" s="55">
        <f>Table13[[#This Row],[Expenses - Editorial]]+Table13[[#This Row],[Expenses - Revenue Generation]]+Table13[[#This Row],[Expenses - Tech]]+Table13[[#This Row],[Expenses - Admin]]</f>
        <v>225000</v>
      </c>
      <c r="AB234" s="56">
        <v>200000</v>
      </c>
      <c r="AC234" s="71">
        <f>SUM(Table13[[#This Row],[Expenses - Revenue Generation]:[Expenses - Admin]])</f>
        <v>25000</v>
      </c>
      <c r="AD234" s="56">
        <v>0</v>
      </c>
      <c r="AE234" s="56">
        <v>10000</v>
      </c>
      <c r="AF234" s="56">
        <v>15000</v>
      </c>
      <c r="AG234" s="59">
        <f>Table13[[#This Row],[Total FTE - Editorial]]+Table13[[#This Row],[Total FTE - Non-Editorial]]</f>
        <v>7</v>
      </c>
      <c r="AH234" s="59">
        <f>Table13[[#This Row],[FTE Salaried - Editorial]]+Table13[[#This Row],[FTE Contractors - Editorial]]</f>
        <v>7</v>
      </c>
      <c r="AI234" s="57">
        <v>7</v>
      </c>
      <c r="AJ234" s="57">
        <v>0</v>
      </c>
      <c r="AK234" s="60">
        <f>Table13[[#This Row],[FTE Salaried - Non-Editorial]]+Table13[[#This Row],[FTE Contractors - Non-Editorial]]</f>
        <v>0</v>
      </c>
      <c r="AL234" s="57">
        <v>0</v>
      </c>
      <c r="AM234" s="57">
        <v>0</v>
      </c>
      <c r="AN234" s="54" t="s">
        <v>347</v>
      </c>
      <c r="AO234" s="54" t="s">
        <v>363</v>
      </c>
      <c r="AQ234" s="57">
        <v>0</v>
      </c>
      <c r="AR234" s="57">
        <v>0</v>
      </c>
      <c r="AS234" s="57">
        <v>0</v>
      </c>
      <c r="AT234" s="57">
        <v>0</v>
      </c>
      <c r="AU234" s="57">
        <v>0</v>
      </c>
      <c r="AV234" s="57">
        <v>0</v>
      </c>
      <c r="AW234" s="57">
        <v>0</v>
      </c>
      <c r="AX234" s="57"/>
      <c r="AY234" s="57">
        <v>0</v>
      </c>
    </row>
    <row r="235" spans="1:51" x14ac:dyDescent="0.2">
      <c r="A235" s="54">
        <v>357</v>
      </c>
      <c r="B235" s="54">
        <v>2010</v>
      </c>
      <c r="C235" s="91" t="s">
        <v>81</v>
      </c>
      <c r="D235" s="54" t="s">
        <v>83</v>
      </c>
      <c r="E235" s="54" t="s">
        <v>79</v>
      </c>
      <c r="F235" s="54" t="str">
        <f>_xlfn.CONCAT(Table13[[#This Row],[Geographic Scope]],": ",Table13[[#This Row],[Sub-Type/Focus]])</f>
        <v>State: Single-Topic</v>
      </c>
      <c r="G235" s="54" t="str">
        <f>_xlfn.CONCAT(Table13[[#This Row],[Geographic Scope]],": ",Table13[[#This Row],[Sub-Type/Focus]],": ",Table13[[#This Row],[Content Type]])</f>
        <v>State: Single-Topic: Investigative</v>
      </c>
      <c r="H235" s="54" t="str">
        <f>_xlfn.CONCAT(Table13[[#This Row],[Geographic Scope]],": ",Table13[[#This Row],[Content Type]])</f>
        <v>State: Investigative</v>
      </c>
      <c r="I235" s="55">
        <f>Table13[[#This Row],[Total Contributed Income]]+Table13[[#This Row],[Total Earned Income]]</f>
        <v>179646.05000000002</v>
      </c>
      <c r="J235" s="55">
        <f>Table13[[#This Row],[Cont. Income - Foundation]]+Table13[[#This Row],[Cont. Income - Membership]]+Table13[[#This Row],[Cont. Income - Small Donors]]+Table13[[#This Row],[Cont. Income - Med. Donors]]+Table13[[#This Row],[Cont. Income - Major Donors]]+Table13[[#This Row],[Cont. Income - Other]]</f>
        <v>161646.05000000002</v>
      </c>
      <c r="K235" s="55">
        <f>Table13[[#This Row],[Earned Income - Advertising]]+Table13[[#This Row],[Earned Income - Sponsorships/Underwriting]]+Table13[[#This Row],[Earned Income - Events]]+Table13[[#This Row],[Earned Income - Subscriptions]]+Table13[[#This Row],[Earned Income - Syndication]]+Table13[[#This Row],[Earned Income - Other]]</f>
        <v>18000</v>
      </c>
      <c r="L235" s="56">
        <v>108266</v>
      </c>
      <c r="M235" s="56">
        <v>0</v>
      </c>
      <c r="N235" s="71">
        <f>SUM(Table13[[#This Row],[Cont. Income - Small Donors]:[Cont. Income - Major Donors]])</f>
        <v>53380.05</v>
      </c>
      <c r="O235" s="56">
        <v>33407.85</v>
      </c>
      <c r="P235" s="56">
        <v>19972.2</v>
      </c>
      <c r="Q235" s="56">
        <v>0</v>
      </c>
      <c r="R235" s="56">
        <v>0</v>
      </c>
      <c r="T235" s="56">
        <v>0</v>
      </c>
      <c r="U235" s="56">
        <v>0</v>
      </c>
      <c r="V235" s="56">
        <v>0</v>
      </c>
      <c r="W235" s="56">
        <v>0</v>
      </c>
      <c r="X235" s="56">
        <v>18000</v>
      </c>
      <c r="Y235" s="56">
        <v>0</v>
      </c>
      <c r="AA235" s="55">
        <f>Table13[[#This Row],[Expenses - Editorial]]+Table13[[#This Row],[Expenses - Revenue Generation]]+Table13[[#This Row],[Expenses - Tech]]+Table13[[#This Row],[Expenses - Admin]]</f>
        <v>174374</v>
      </c>
      <c r="AB235" s="56">
        <v>158664</v>
      </c>
      <c r="AC235" s="71">
        <f>SUM(Table13[[#This Row],[Expenses - Revenue Generation]:[Expenses - Admin]])</f>
        <v>15710</v>
      </c>
      <c r="AD235" s="56">
        <v>4000</v>
      </c>
      <c r="AE235" s="56">
        <v>3100</v>
      </c>
      <c r="AF235" s="56">
        <v>8610</v>
      </c>
      <c r="AG235" s="59">
        <f>Table13[[#This Row],[Total FTE - Editorial]]+Table13[[#This Row],[Total FTE - Non-Editorial]]</f>
        <v>5</v>
      </c>
      <c r="AH235" s="59">
        <f>Table13[[#This Row],[FTE Salaried - Editorial]]+Table13[[#This Row],[FTE Contractors - Editorial]]</f>
        <v>5</v>
      </c>
      <c r="AI235" s="57">
        <v>0</v>
      </c>
      <c r="AJ235" s="57">
        <v>5</v>
      </c>
      <c r="AK235" s="60">
        <f>Table13[[#This Row],[FTE Salaried - Non-Editorial]]+Table13[[#This Row],[FTE Contractors - Non-Editorial]]</f>
        <v>0</v>
      </c>
      <c r="AL235" s="57">
        <v>0</v>
      </c>
      <c r="AM235" s="57">
        <v>0</v>
      </c>
      <c r="AN235" s="54" t="s">
        <v>351</v>
      </c>
      <c r="AO235" s="54" t="s">
        <v>366</v>
      </c>
      <c r="AP235" s="54" t="s">
        <v>605</v>
      </c>
      <c r="AQ235" s="57">
        <v>40000</v>
      </c>
      <c r="AR235" s="57">
        <v>5500</v>
      </c>
      <c r="AS235" s="57">
        <v>0</v>
      </c>
      <c r="AT235" s="57">
        <v>0</v>
      </c>
      <c r="AU235" s="57">
        <v>0</v>
      </c>
      <c r="AV235" s="57">
        <v>0</v>
      </c>
      <c r="AW235" s="57">
        <v>0</v>
      </c>
      <c r="AX235" s="57"/>
      <c r="AY235" s="57">
        <v>500</v>
      </c>
    </row>
  </sheetData>
  <sheetProtection selectLockedCells="1" selectUnlockedCells="1"/>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D39CFBB3-3450-4C94-89FE-5BE73B7B35BE}">
          <x14:formula1>
            <xm:f>'Dropdown Menus'!$C$2:$C$7</xm:f>
          </x14:formula1>
          <xm:sqref>D2:D235</xm:sqref>
        </x14:dataValidation>
        <x14:dataValidation type="list" allowBlank="1" showInputMessage="1" showErrorMessage="1" xr:uid="{ED28D35B-D312-438D-BC17-97CD45E96DF0}">
          <x14:formula1>
            <xm:f>'Dropdown Menus'!$H$2:$H$9</xm:f>
          </x14:formula1>
          <xm:sqref>AN2:AN235</xm:sqref>
        </x14:dataValidation>
        <x14:dataValidation type="list" allowBlank="1" showInputMessage="1" showErrorMessage="1" xr:uid="{55FDA68F-6D51-442C-A8D3-DD3AF0A6A357}">
          <x14:formula1>
            <xm:f>'Dropdown Menus'!$B$2:$B$5</xm:f>
          </x14:formula1>
          <xm:sqref>C2:C235</xm:sqref>
        </x14:dataValidation>
        <x14:dataValidation type="list" allowBlank="1" showInputMessage="1" showErrorMessage="1" xr:uid="{AC6E85EF-EEAC-4B7D-94A6-A7387FA8A7BA}">
          <x14:formula1>
            <xm:f>'Dropdown Menus'!$D$2:$D$6</xm:f>
          </x14:formula1>
          <xm:sqref>E2:E235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1186-6FF9-4C78-8AAB-E6D931BF1F56}">
  <sheetPr>
    <tabColor theme="5" tint="0.39997558519241921"/>
  </sheetPr>
  <dimension ref="A1:BW109"/>
  <sheetViews>
    <sheetView topLeftCell="A82" zoomScaleNormal="100" workbookViewId="0">
      <selection activeCell="F28" sqref="F28"/>
    </sheetView>
  </sheetViews>
  <sheetFormatPr baseColWidth="10" defaultColWidth="18.1640625" defaultRowHeight="16" outlineLevelCol="1" x14ac:dyDescent="0.2"/>
  <cols>
    <col min="1" max="3" width="18.1640625" style="54"/>
    <col min="4" max="4" width="23.5" style="54" bestFit="1" customWidth="1"/>
    <col min="5" max="5" width="31.33203125" style="54" bestFit="1" customWidth="1"/>
    <col min="6" max="6" width="16.1640625" style="54" bestFit="1" customWidth="1"/>
    <col min="7" max="7" width="29" style="54" bestFit="1" customWidth="1"/>
    <col min="8" max="8" width="29" style="54" customWidth="1"/>
    <col min="9" max="10" width="18.1640625" style="54"/>
    <col min="11" max="15" width="18.1640625" style="73"/>
    <col min="16" max="21" width="18.1640625" style="54"/>
    <col min="22" max="23" width="0" style="54" hidden="1" customWidth="1" outlineLevel="1"/>
    <col min="24" max="24" width="18.1640625" style="54" hidden="1" customWidth="1" outlineLevel="1"/>
    <col min="25" max="26" width="18.1640625" style="73" hidden="1" customWidth="1" outlineLevel="1"/>
    <col min="27" max="27" width="18.1640625" style="54" hidden="1" customWidth="1" outlineLevel="1"/>
    <col min="28" max="28" width="18.1640625" style="73" customWidth="1" collapsed="1"/>
    <col min="29" max="31" width="18.1640625" style="54"/>
    <col min="32" max="34" width="18.1640625" style="54" hidden="1" customWidth="1" outlineLevel="1"/>
    <col min="35" max="35" width="12.6640625" style="54" bestFit="1" customWidth="1" collapsed="1"/>
    <col min="36" max="36" width="0" style="54" hidden="1" customWidth="1" outlineLevel="1"/>
    <col min="37" max="37" width="18.1640625" style="54" hidden="1" customWidth="1" outlineLevel="1"/>
    <col min="38" max="38" width="18.1640625" style="54" customWidth="1" collapsed="1"/>
    <col min="39" max="39" width="0" style="54" hidden="1" customWidth="1" outlineLevel="1"/>
    <col min="40" max="40" width="18.1640625" style="54" hidden="1" customWidth="1" outlineLevel="1"/>
    <col min="41" max="41" width="18.1640625" style="54" customWidth="1" collapsed="1"/>
    <col min="42" max="54" width="18.1640625" style="54"/>
    <col min="55" max="59" width="18.1640625" style="73"/>
    <col min="60" max="60" width="18.1640625" style="54"/>
    <col min="61" max="61" width="18.1640625" style="73"/>
    <col min="62" max="62" width="18.1640625" style="54"/>
    <col min="63" max="68" width="18.1640625" style="73"/>
    <col min="69" max="70" width="18.1640625" style="54"/>
    <col min="71" max="71" width="18.1640625" style="77"/>
    <col min="72" max="75" width="18.1640625" style="78"/>
    <col min="76" max="16384" width="18.1640625" style="54"/>
  </cols>
  <sheetData>
    <row r="1" spans="1:75" s="52" customFormat="1" ht="51" x14ac:dyDescent="0.2">
      <c r="A1" s="52" t="s">
        <v>606</v>
      </c>
      <c r="B1" s="52" t="s">
        <v>607</v>
      </c>
      <c r="C1" s="52" t="s">
        <v>302</v>
      </c>
      <c r="D1" s="52" t="s">
        <v>303</v>
      </c>
      <c r="E1" s="52" t="s">
        <v>226</v>
      </c>
      <c r="F1" s="52" t="s">
        <v>274</v>
      </c>
      <c r="G1" s="52" t="s">
        <v>306</v>
      </c>
      <c r="H1" s="52" t="s">
        <v>307</v>
      </c>
      <c r="I1" s="53" t="s">
        <v>308</v>
      </c>
      <c r="J1" s="53" t="s">
        <v>309</v>
      </c>
      <c r="K1" s="53" t="s">
        <v>311</v>
      </c>
      <c r="L1" s="53" t="s">
        <v>312</v>
      </c>
      <c r="M1" s="53" t="s">
        <v>313</v>
      </c>
      <c r="N1" s="53" t="s">
        <v>314</v>
      </c>
      <c r="O1" s="53" t="s">
        <v>315</v>
      </c>
      <c r="P1" s="53" t="s">
        <v>316</v>
      </c>
      <c r="Q1" s="53" t="s">
        <v>317</v>
      </c>
      <c r="R1" s="53" t="s">
        <v>318</v>
      </c>
      <c r="S1" s="53" t="s">
        <v>319</v>
      </c>
      <c r="T1" s="53" t="s">
        <v>320</v>
      </c>
      <c r="U1" s="80" t="s">
        <v>608</v>
      </c>
      <c r="V1" s="80" t="s">
        <v>609</v>
      </c>
      <c r="W1" s="80" t="s">
        <v>610</v>
      </c>
      <c r="X1" s="52" t="s">
        <v>611</v>
      </c>
      <c r="Y1" s="80" t="s">
        <v>612</v>
      </c>
      <c r="Z1" s="80" t="s">
        <v>321</v>
      </c>
      <c r="AA1" s="52" t="s">
        <v>322</v>
      </c>
      <c r="AB1" s="80" t="s">
        <v>255</v>
      </c>
      <c r="AC1" s="80" t="s">
        <v>323</v>
      </c>
      <c r="AD1" s="80" t="s">
        <v>324</v>
      </c>
      <c r="AE1" s="80" t="s">
        <v>325</v>
      </c>
      <c r="AF1" s="80" t="s">
        <v>326</v>
      </c>
      <c r="AG1" s="80" t="s">
        <v>327</v>
      </c>
      <c r="AH1" s="80" t="s">
        <v>280</v>
      </c>
      <c r="AI1" s="80" t="s">
        <v>328</v>
      </c>
      <c r="AJ1" s="52" t="s">
        <v>329</v>
      </c>
      <c r="AK1" s="52" t="s">
        <v>330</v>
      </c>
      <c r="AL1" s="52" t="s">
        <v>331</v>
      </c>
      <c r="AM1" s="52" t="s">
        <v>332</v>
      </c>
      <c r="AN1" s="52" t="s">
        <v>333</v>
      </c>
      <c r="AO1" s="52" t="s">
        <v>334</v>
      </c>
      <c r="AP1" s="52" t="s">
        <v>613</v>
      </c>
      <c r="AQ1" s="81" t="s">
        <v>337</v>
      </c>
      <c r="AR1" s="82" t="s">
        <v>338</v>
      </c>
      <c r="AS1" s="82" t="s">
        <v>339</v>
      </c>
      <c r="AT1" s="82" t="s">
        <v>340</v>
      </c>
      <c r="AU1" s="82" t="s">
        <v>614</v>
      </c>
      <c r="AV1" s="52" t="s">
        <v>615</v>
      </c>
    </row>
    <row r="2" spans="1:75" x14ac:dyDescent="0.2">
      <c r="A2" s="86" t="s">
        <v>616</v>
      </c>
      <c r="B2" s="86"/>
      <c r="C2" s="86" t="s">
        <v>6</v>
      </c>
      <c r="D2" s="86" t="s">
        <v>78</v>
      </c>
      <c r="E2" s="54" t="str">
        <f>_xlfn.CONCAT(Table1[[#This Row],[Geographic Scope]],": ",Table1[[#This Row],[Sub-Type/Focus]])</f>
        <v>National: Multiple Related Topics</v>
      </c>
      <c r="F2" s="55">
        <f>Table1[[#This Row],[Total Contributed Income]]+Table1[[#This Row],[Total Earned Income]]</f>
        <v>320263</v>
      </c>
      <c r="G2" s="87">
        <f>IFERROR((Table1[[#This Row],[Cont. Income - Foundation]]+Table1[[#This Row],[Cont. Income - Membership]]+Table1[[#This Row],[Cont. Income - Small Donors]]+Table1[[#This Row],[Cont. Income - Med. Donors]]+Table1[[#This Row],[Cont. Income - Major Donors]]+Table1[[#This Row],[Cont. Income - Other]]),0)</f>
        <v>316999</v>
      </c>
      <c r="H2" s="87">
        <f>IFERROR((Table1[[#This Row],[Earned Income - Advertising]]+Table1[[#This Row],[Earned Income - Sponsorships/Underwriting]]+Table1[[#This Row],[Earned Income - Events]]+Table1[[#This Row],[Earned Income - Subscriptions]]+Table1[[#This Row],[Earned Income - Syndication]]+Table1[[#This Row],[Earned Income - Other TOTAL]]),0)</f>
        <v>3264</v>
      </c>
      <c r="I2" s="74">
        <v>285620</v>
      </c>
      <c r="J2" s="74">
        <v>0</v>
      </c>
      <c r="K2" s="74">
        <v>18879</v>
      </c>
      <c r="L2" s="74">
        <v>12500</v>
      </c>
      <c r="M2" s="74">
        <v>0</v>
      </c>
      <c r="N2" s="74">
        <v>0</v>
      </c>
      <c r="O2" s="79" t="s">
        <v>617</v>
      </c>
      <c r="P2" s="74">
        <v>0</v>
      </c>
      <c r="Q2" s="74">
        <v>0</v>
      </c>
      <c r="R2" s="74">
        <v>0</v>
      </c>
      <c r="S2" s="74">
        <v>0</v>
      </c>
      <c r="T2" s="74">
        <v>0</v>
      </c>
      <c r="U2" s="88">
        <f>IFERROR(Table1[[#This Row],[Earned Income - Training Fees]]+Table1[[#This Row],[Earned Income - Fees]]+Table1[[#This Row],[Earned Income - Investments]]+Table1[[#This Row],[Earned Income - Other]],0)</f>
        <v>3264</v>
      </c>
      <c r="V2" s="74">
        <v>0</v>
      </c>
      <c r="W2" s="74">
        <v>3264</v>
      </c>
      <c r="X2" s="86" t="s">
        <v>618</v>
      </c>
      <c r="Y2" s="74">
        <v>0</v>
      </c>
      <c r="Z2" s="74">
        <v>0</v>
      </c>
      <c r="AA2" s="86" t="s">
        <v>617</v>
      </c>
      <c r="AB2" s="88">
        <f t="shared" ref="AB2:AB33" si="0">SUM(AC2:AD2)</f>
        <v>232832</v>
      </c>
      <c r="AC2" s="74">
        <v>182490</v>
      </c>
      <c r="AD2" s="88">
        <f>SUM(Table1[[#This Row],[Expenses - Revenue Generation]:[Expenses - Admin]])</f>
        <v>50342</v>
      </c>
      <c r="AE2" s="74">
        <v>0</v>
      </c>
      <c r="AF2" s="74">
        <v>6720</v>
      </c>
      <c r="AG2" s="74">
        <v>43622</v>
      </c>
      <c r="AH2" s="75">
        <f>Table1[[#This Row],[Total FTE - Editorial]]+Table1[[#This Row],[Total FTE - Non-Editorial]]</f>
        <v>3.5</v>
      </c>
      <c r="AI2" s="75">
        <f>Table1[[#This Row],[FTE Salaried - Editorial]]+Table1[[#This Row],[FTE Contractors - Editorial]]</f>
        <v>3.5</v>
      </c>
      <c r="AJ2" s="57">
        <v>2</v>
      </c>
      <c r="AK2" s="57">
        <v>1.5</v>
      </c>
      <c r="AL2" s="60">
        <f>Table1[[#This Row],[FTE Salaried - Non-Editorial]]+Table1[[#This Row],[FTE Contractors - Non-Editorial]]</f>
        <v>0</v>
      </c>
      <c r="AM2" s="57">
        <v>0</v>
      </c>
      <c r="AN2" s="57">
        <v>0</v>
      </c>
      <c r="AO2" s="86" t="s">
        <v>351</v>
      </c>
      <c r="AP2" s="86" t="s">
        <v>617</v>
      </c>
      <c r="AQ2" s="76">
        <v>40750</v>
      </c>
      <c r="AR2" s="76">
        <v>5500</v>
      </c>
      <c r="AS2" s="76">
        <v>0</v>
      </c>
      <c r="AT2" s="76">
        <v>0</v>
      </c>
      <c r="AU2" s="76">
        <v>0</v>
      </c>
      <c r="AV2" s="86" t="s">
        <v>617</v>
      </c>
      <c r="BC2" s="54"/>
      <c r="BD2" s="54"/>
      <c r="BE2" s="54"/>
      <c r="BF2" s="54"/>
      <c r="BG2" s="54"/>
      <c r="BI2" s="54"/>
      <c r="BK2" s="54"/>
      <c r="BL2" s="54"/>
      <c r="BM2" s="54"/>
      <c r="BN2" s="54"/>
      <c r="BO2" s="54"/>
      <c r="BP2" s="54"/>
      <c r="BS2" s="54"/>
      <c r="BT2" s="54"/>
      <c r="BU2" s="54"/>
      <c r="BV2" s="54"/>
      <c r="BW2" s="54"/>
    </row>
    <row r="3" spans="1:75" x14ac:dyDescent="0.2">
      <c r="A3" s="86" t="s">
        <v>619</v>
      </c>
      <c r="B3" s="86"/>
      <c r="C3" s="86" t="s">
        <v>7</v>
      </c>
      <c r="D3" s="86" t="s">
        <v>79</v>
      </c>
      <c r="E3" s="54" t="str">
        <f>_xlfn.CONCAT(Table1[[#This Row],[Geographic Scope]],": ",Table1[[#This Row],[Sub-Type/Focus]])</f>
        <v>Local: Single-Topic</v>
      </c>
      <c r="F3" s="55">
        <f>Table1[[#This Row],[Total Contributed Income]]+Table1[[#This Row],[Total Earned Income]]</f>
        <v>1142649.53</v>
      </c>
      <c r="G3" s="87">
        <f>IFERROR((Table1[[#This Row],[Cont. Income - Foundation]]+Table1[[#This Row],[Cont. Income - Membership]]+Table1[[#This Row],[Cont. Income - Small Donors]]+Table1[[#This Row],[Cont. Income - Med. Donors]]+Table1[[#This Row],[Cont. Income - Major Donors]]+Table1[[#This Row],[Cont. Income - Other]]),0)</f>
        <v>639936.13</v>
      </c>
      <c r="H3" s="87">
        <f>IFERROR((Table1[[#This Row],[Earned Income - Advertising]]+Table1[[#This Row],[Earned Income - Sponsorships/Underwriting]]+Table1[[#This Row],[Earned Income - Events]]+Table1[[#This Row],[Earned Income - Subscriptions]]+Table1[[#This Row],[Earned Income - Syndication]]+Table1[[#This Row],[Earned Income - Other TOTAL]]),0)</f>
        <v>502713.4</v>
      </c>
      <c r="I3" s="74">
        <v>14000</v>
      </c>
      <c r="J3" s="74">
        <v>0</v>
      </c>
      <c r="K3" s="74">
        <v>49333.13</v>
      </c>
      <c r="L3" s="74">
        <v>45570.04</v>
      </c>
      <c r="M3" s="74">
        <v>531032.96</v>
      </c>
      <c r="N3" s="74">
        <v>0</v>
      </c>
      <c r="O3" s="79" t="s">
        <v>617</v>
      </c>
      <c r="P3" s="74">
        <v>254065</v>
      </c>
      <c r="Q3" s="74">
        <v>0</v>
      </c>
      <c r="R3" s="74">
        <v>3085.67</v>
      </c>
      <c r="S3" s="74">
        <v>213592.77</v>
      </c>
      <c r="T3" s="74">
        <v>0</v>
      </c>
      <c r="U3" s="88">
        <f>IFERROR(Table1[[#This Row],[Earned Income - Training Fees]]+Table1[[#This Row],[Earned Income - Fees]]+Table1[[#This Row],[Earned Income - Investments]]+Table1[[#This Row],[Earned Income - Other]],0)</f>
        <v>31969.96</v>
      </c>
      <c r="V3" s="74">
        <v>0</v>
      </c>
      <c r="W3" s="74">
        <v>0</v>
      </c>
      <c r="X3" s="86" t="s">
        <v>617</v>
      </c>
      <c r="Y3" s="74">
        <v>9047.6299999999992</v>
      </c>
      <c r="Z3" s="74">
        <v>22922.33</v>
      </c>
      <c r="AA3" s="86" t="s">
        <v>620</v>
      </c>
      <c r="AB3" s="88">
        <f t="shared" si="0"/>
        <v>1071841</v>
      </c>
      <c r="AC3" s="74">
        <v>215288</v>
      </c>
      <c r="AD3" s="88">
        <f>SUM(Table1[[#This Row],[Expenses - Revenue Generation]:[Expenses - Admin]])</f>
        <v>856553</v>
      </c>
      <c r="AE3" s="74">
        <v>646726</v>
      </c>
      <c r="AF3" s="74">
        <v>102999</v>
      </c>
      <c r="AG3" s="74">
        <v>106828</v>
      </c>
      <c r="AH3" s="75">
        <f>Table1[[#This Row],[Total FTE - Editorial]]+Table1[[#This Row],[Total FTE - Non-Editorial]]</f>
        <v>11.75</v>
      </c>
      <c r="AI3" s="75">
        <f>Table1[[#This Row],[FTE Salaried - Editorial]]+Table1[[#This Row],[FTE Contractors - Editorial]]</f>
        <v>2</v>
      </c>
      <c r="AJ3" s="57">
        <v>2</v>
      </c>
      <c r="AK3" s="57">
        <v>0</v>
      </c>
      <c r="AL3" s="60">
        <f>Table1[[#This Row],[FTE Salaried - Non-Editorial]]+Table1[[#This Row],[FTE Contractors - Non-Editorial]]</f>
        <v>9.75</v>
      </c>
      <c r="AM3" s="57">
        <v>5.75</v>
      </c>
      <c r="AN3" s="57">
        <v>4</v>
      </c>
      <c r="AO3" s="86" t="s">
        <v>599</v>
      </c>
      <c r="AP3" s="86" t="s">
        <v>617</v>
      </c>
      <c r="AQ3" s="76">
        <v>112704</v>
      </c>
      <c r="AR3" s="76">
        <v>11139</v>
      </c>
      <c r="AS3" s="76">
        <v>84203</v>
      </c>
      <c r="AT3" s="76">
        <v>7</v>
      </c>
      <c r="AU3" s="76">
        <v>0</v>
      </c>
      <c r="AV3" s="86" t="s">
        <v>617</v>
      </c>
      <c r="BC3" s="54"/>
      <c r="BD3" s="54"/>
      <c r="BE3" s="54"/>
      <c r="BF3" s="54"/>
      <c r="BG3" s="54"/>
      <c r="BI3" s="54"/>
      <c r="BK3" s="54"/>
      <c r="BL3" s="54"/>
      <c r="BM3" s="54"/>
      <c r="BN3" s="54"/>
      <c r="BO3" s="54"/>
      <c r="BP3" s="54"/>
      <c r="BS3" s="54"/>
      <c r="BT3" s="54"/>
      <c r="BU3" s="54"/>
      <c r="BV3" s="54"/>
      <c r="BW3" s="54"/>
    </row>
    <row r="4" spans="1:75" x14ac:dyDescent="0.2">
      <c r="A4" s="86" t="s">
        <v>621</v>
      </c>
      <c r="B4" s="86"/>
      <c r="C4" s="86" t="s">
        <v>7</v>
      </c>
      <c r="D4" s="86" t="s">
        <v>77</v>
      </c>
      <c r="E4" s="54" t="str">
        <f>_xlfn.CONCAT(Table1[[#This Row],[Geographic Scope]],": ",Table1[[#This Row],[Sub-Type/Focus]])</f>
        <v>Local: General</v>
      </c>
      <c r="F4" s="55">
        <f>Table1[[#This Row],[Total Contributed Income]]+Table1[[#This Row],[Total Earned Income]]</f>
        <v>124798</v>
      </c>
      <c r="G4" s="87">
        <f>IFERROR((Table1[[#This Row],[Cont. Income - Foundation]]+Table1[[#This Row],[Cont. Income - Membership]]+Table1[[#This Row],[Cont. Income - Small Donors]]+Table1[[#This Row],[Cont. Income - Med. Donors]]+Table1[[#This Row],[Cont. Income - Major Donors]]+Table1[[#This Row],[Cont. Income - Other]]),0)</f>
        <v>124798</v>
      </c>
      <c r="H4" s="87">
        <f>IFERROR((Table1[[#This Row],[Earned Income - Advertising]]+Table1[[#This Row],[Earned Income - Sponsorships/Underwriting]]+Table1[[#This Row],[Earned Income - Events]]+Table1[[#This Row],[Earned Income - Subscriptions]]+Table1[[#This Row],[Earned Income - Syndication]]+Table1[[#This Row],[Earned Income - Other TOTAL]]),0)</f>
        <v>0</v>
      </c>
      <c r="I4" s="74">
        <v>60782</v>
      </c>
      <c r="J4" s="74">
        <v>0</v>
      </c>
      <c r="K4" s="74">
        <v>8416</v>
      </c>
      <c r="L4" s="74">
        <v>15500</v>
      </c>
      <c r="M4" s="74">
        <v>40100</v>
      </c>
      <c r="N4" s="74">
        <v>0</v>
      </c>
      <c r="O4" s="79" t="s">
        <v>617</v>
      </c>
      <c r="P4" s="74">
        <v>0</v>
      </c>
      <c r="Q4" s="74">
        <v>0</v>
      </c>
      <c r="R4" s="74">
        <v>0</v>
      </c>
      <c r="S4" s="74">
        <v>0</v>
      </c>
      <c r="T4" s="74">
        <v>0</v>
      </c>
      <c r="U4" s="88">
        <f>IFERROR(Table1[[#This Row],[Earned Income - Training Fees]]+Table1[[#This Row],[Earned Income - Fees]]+Table1[[#This Row],[Earned Income - Investments]]+Table1[[#This Row],[Earned Income - Other]],0)</f>
        <v>0</v>
      </c>
      <c r="V4" s="74">
        <v>0</v>
      </c>
      <c r="W4" s="74">
        <v>0</v>
      </c>
      <c r="X4" s="86" t="s">
        <v>617</v>
      </c>
      <c r="Y4" s="74">
        <v>0</v>
      </c>
      <c r="Z4" s="74">
        <v>0</v>
      </c>
      <c r="AA4" s="86" t="s">
        <v>617</v>
      </c>
      <c r="AB4" s="88">
        <f t="shared" si="0"/>
        <v>120995</v>
      </c>
      <c r="AC4" s="74">
        <v>102805</v>
      </c>
      <c r="AD4" s="88">
        <f>SUM(Table1[[#This Row],[Expenses - Revenue Generation]:[Expenses - Admin]])</f>
        <v>18190</v>
      </c>
      <c r="AE4" s="74">
        <v>7000</v>
      </c>
      <c r="AF4" s="74">
        <v>2090</v>
      </c>
      <c r="AG4" s="74">
        <v>9100</v>
      </c>
      <c r="AH4" s="75">
        <f>Table1[[#This Row],[Total FTE - Editorial]]+Table1[[#This Row],[Total FTE - Non-Editorial]]</f>
        <v>6</v>
      </c>
      <c r="AI4" s="75">
        <f>Table1[[#This Row],[FTE Salaried - Editorial]]+Table1[[#This Row],[FTE Contractors - Editorial]]</f>
        <v>6</v>
      </c>
      <c r="AJ4" s="57">
        <v>0</v>
      </c>
      <c r="AK4" s="57">
        <v>6</v>
      </c>
      <c r="AL4" s="60">
        <f>Table1[[#This Row],[FTE Salaried - Non-Editorial]]+Table1[[#This Row],[FTE Contractors - Non-Editorial]]</f>
        <v>0</v>
      </c>
      <c r="AM4" s="57">
        <v>0</v>
      </c>
      <c r="AN4" s="57">
        <v>0</v>
      </c>
      <c r="AO4" s="86" t="s">
        <v>351</v>
      </c>
      <c r="AP4" s="86" t="s">
        <v>617</v>
      </c>
      <c r="AQ4" s="76">
        <v>163255</v>
      </c>
      <c r="AR4" s="76">
        <v>0</v>
      </c>
      <c r="AS4" s="76">
        <v>0</v>
      </c>
      <c r="AT4" s="76">
        <v>0</v>
      </c>
      <c r="AU4" s="76">
        <v>0</v>
      </c>
      <c r="AV4" s="86" t="s">
        <v>617</v>
      </c>
      <c r="BC4" s="54"/>
      <c r="BD4" s="54"/>
      <c r="BE4" s="54"/>
      <c r="BF4" s="54"/>
      <c r="BG4" s="54"/>
      <c r="BI4" s="54"/>
      <c r="BK4" s="54"/>
      <c r="BL4" s="54"/>
      <c r="BM4" s="54"/>
      <c r="BN4" s="54"/>
      <c r="BO4" s="54"/>
      <c r="BP4" s="54"/>
      <c r="BS4" s="54"/>
      <c r="BT4" s="54"/>
      <c r="BU4" s="54"/>
      <c r="BV4" s="54"/>
      <c r="BW4" s="54"/>
    </row>
    <row r="5" spans="1:75" x14ac:dyDescent="0.2">
      <c r="A5" s="86" t="s">
        <v>622</v>
      </c>
      <c r="B5" s="86"/>
      <c r="C5" s="86" t="s">
        <v>83</v>
      </c>
      <c r="D5" s="86" t="s">
        <v>77</v>
      </c>
      <c r="E5" s="54" t="str">
        <f>_xlfn.CONCAT(Table1[[#This Row],[Geographic Scope]],": ",Table1[[#This Row],[Sub-Type/Focus]])</f>
        <v>State: General</v>
      </c>
      <c r="F5" s="55">
        <f>Table1[[#This Row],[Total Contributed Income]]+Table1[[#This Row],[Total Earned Income]]</f>
        <v>8285</v>
      </c>
      <c r="G5" s="87">
        <f>IFERROR((Table1[[#This Row],[Cont. Income - Foundation]]+Table1[[#This Row],[Cont. Income - Membership]]+Table1[[#This Row],[Cont. Income - Small Donors]]+Table1[[#This Row],[Cont. Income - Med. Donors]]+Table1[[#This Row],[Cont. Income - Major Donors]]+Table1[[#This Row],[Cont. Income - Other]]),0)</f>
        <v>8257</v>
      </c>
      <c r="H5" s="87">
        <f>IFERROR((Table1[[#This Row],[Earned Income - Advertising]]+Table1[[#This Row],[Earned Income - Sponsorships/Underwriting]]+Table1[[#This Row],[Earned Income - Events]]+Table1[[#This Row],[Earned Income - Subscriptions]]+Table1[[#This Row],[Earned Income - Syndication]]+Table1[[#This Row],[Earned Income - Other TOTAL]]),0)</f>
        <v>28</v>
      </c>
      <c r="I5" s="74">
        <v>6000</v>
      </c>
      <c r="J5" s="74">
        <v>0</v>
      </c>
      <c r="K5" s="74">
        <v>2257</v>
      </c>
      <c r="L5" s="74">
        <v>0</v>
      </c>
      <c r="M5" s="74">
        <v>0</v>
      </c>
      <c r="N5" s="74">
        <v>0</v>
      </c>
      <c r="O5" s="79" t="s">
        <v>617</v>
      </c>
      <c r="P5" s="74">
        <v>0</v>
      </c>
      <c r="Q5" s="74">
        <v>0</v>
      </c>
      <c r="R5" s="74">
        <v>0</v>
      </c>
      <c r="S5" s="74">
        <v>0</v>
      </c>
      <c r="T5" s="74">
        <v>0</v>
      </c>
      <c r="U5" s="88">
        <f>IFERROR(Table1[[#This Row],[Earned Income - Training Fees]]+Table1[[#This Row],[Earned Income - Fees]]+Table1[[#This Row],[Earned Income - Investments]]+Table1[[#This Row],[Earned Income - Other]],0)</f>
        <v>28</v>
      </c>
      <c r="V5" s="74">
        <v>0</v>
      </c>
      <c r="W5" s="74">
        <v>0</v>
      </c>
      <c r="X5" s="86" t="s">
        <v>617</v>
      </c>
      <c r="Y5" s="74">
        <v>28</v>
      </c>
      <c r="Z5" s="74">
        <v>0</v>
      </c>
      <c r="AA5" s="86" t="s">
        <v>617</v>
      </c>
      <c r="AB5" s="88">
        <f t="shared" si="0"/>
        <v>27000</v>
      </c>
      <c r="AC5" s="74">
        <v>10000</v>
      </c>
      <c r="AD5" s="88">
        <f>SUM(Table1[[#This Row],[Expenses - Revenue Generation]:[Expenses - Admin]])</f>
        <v>17000</v>
      </c>
      <c r="AE5" s="74">
        <v>2000</v>
      </c>
      <c r="AF5" s="74">
        <v>5000</v>
      </c>
      <c r="AG5" s="74">
        <v>10000</v>
      </c>
      <c r="AH5" s="75">
        <f>Table1[[#This Row],[Total FTE - Editorial]]+Table1[[#This Row],[Total FTE - Non-Editorial]]</f>
        <v>2</v>
      </c>
      <c r="AI5" s="75">
        <f>Table1[[#This Row],[FTE Salaried - Editorial]]+Table1[[#This Row],[FTE Contractors - Editorial]]</f>
        <v>2</v>
      </c>
      <c r="AJ5" s="57">
        <v>1</v>
      </c>
      <c r="AK5" s="57">
        <v>1</v>
      </c>
      <c r="AL5" s="60">
        <f>Table1[[#This Row],[FTE Salaried - Non-Editorial]]+Table1[[#This Row],[FTE Contractors - Non-Editorial]]</f>
        <v>0</v>
      </c>
      <c r="AM5" s="57">
        <v>0</v>
      </c>
      <c r="AN5" s="57">
        <v>0</v>
      </c>
      <c r="AO5" s="86" t="s">
        <v>351</v>
      </c>
      <c r="AP5" s="86" t="s">
        <v>617</v>
      </c>
      <c r="AQ5" s="76">
        <v>2500</v>
      </c>
      <c r="AR5" s="76">
        <v>935</v>
      </c>
      <c r="AS5" s="76">
        <v>0</v>
      </c>
      <c r="AT5" s="76">
        <v>0</v>
      </c>
      <c r="AU5" s="76">
        <v>0</v>
      </c>
      <c r="AV5" s="86" t="s">
        <v>617</v>
      </c>
      <c r="BC5" s="54"/>
      <c r="BD5" s="54"/>
      <c r="BE5" s="54"/>
      <c r="BF5" s="54"/>
      <c r="BG5" s="54"/>
      <c r="BI5" s="54"/>
      <c r="BK5" s="54"/>
      <c r="BL5" s="54"/>
      <c r="BM5" s="54"/>
      <c r="BN5" s="54"/>
      <c r="BO5" s="54"/>
      <c r="BP5" s="54"/>
      <c r="BS5" s="54"/>
      <c r="BT5" s="54"/>
      <c r="BU5" s="54"/>
      <c r="BV5" s="54"/>
      <c r="BW5" s="54"/>
    </row>
    <row r="6" spans="1:75" x14ac:dyDescent="0.2">
      <c r="A6" s="86" t="s">
        <v>623</v>
      </c>
      <c r="B6" s="86"/>
      <c r="C6" s="86" t="s">
        <v>7</v>
      </c>
      <c r="D6" s="86" t="s">
        <v>78</v>
      </c>
      <c r="E6" s="54" t="str">
        <f>_xlfn.CONCAT(Table1[[#This Row],[Geographic Scope]],": ",Table1[[#This Row],[Sub-Type/Focus]])</f>
        <v>Local: Multiple Related Topics</v>
      </c>
      <c r="F6" s="55">
        <f>Table1[[#This Row],[Total Contributed Income]]+Table1[[#This Row],[Total Earned Income]]</f>
        <v>311093</v>
      </c>
      <c r="G6" s="87">
        <f>IFERROR((Table1[[#This Row],[Cont. Income - Foundation]]+Table1[[#This Row],[Cont. Income - Membership]]+Table1[[#This Row],[Cont. Income - Small Donors]]+Table1[[#This Row],[Cont. Income - Med. Donors]]+Table1[[#This Row],[Cont. Income - Major Donors]]+Table1[[#This Row],[Cont. Income - Other]]),0)</f>
        <v>293843</v>
      </c>
      <c r="H6" s="87">
        <f>IFERROR((Table1[[#This Row],[Earned Income - Advertising]]+Table1[[#This Row],[Earned Income - Sponsorships/Underwriting]]+Table1[[#This Row],[Earned Income - Events]]+Table1[[#This Row],[Earned Income - Subscriptions]]+Table1[[#This Row],[Earned Income - Syndication]]+Table1[[#This Row],[Earned Income - Other TOTAL]]),0)</f>
        <v>17250</v>
      </c>
      <c r="I6" s="74">
        <v>190000</v>
      </c>
      <c r="J6" s="74">
        <v>0</v>
      </c>
      <c r="K6" s="74">
        <v>12872</v>
      </c>
      <c r="L6" s="74">
        <v>69971</v>
      </c>
      <c r="M6" s="74">
        <v>21000</v>
      </c>
      <c r="N6" s="74">
        <v>0</v>
      </c>
      <c r="O6" s="79" t="s">
        <v>617</v>
      </c>
      <c r="P6" s="74">
        <v>0</v>
      </c>
      <c r="Q6" s="74">
        <v>0</v>
      </c>
      <c r="R6" s="74">
        <v>0</v>
      </c>
      <c r="S6" s="74">
        <v>0</v>
      </c>
      <c r="T6" s="74">
        <v>0</v>
      </c>
      <c r="U6" s="88">
        <f>IFERROR(Table1[[#This Row],[Earned Income - Training Fees]]+Table1[[#This Row],[Earned Income - Fees]]+Table1[[#This Row],[Earned Income - Investments]]+Table1[[#This Row],[Earned Income - Other]],0)</f>
        <v>17250</v>
      </c>
      <c r="V6" s="74">
        <v>0</v>
      </c>
      <c r="W6" s="74">
        <v>17250</v>
      </c>
      <c r="X6" s="86" t="s">
        <v>624</v>
      </c>
      <c r="Y6" s="74">
        <v>0</v>
      </c>
      <c r="Z6" s="74">
        <v>0</v>
      </c>
      <c r="AA6" s="86" t="s">
        <v>617</v>
      </c>
      <c r="AB6" s="88">
        <f t="shared" si="0"/>
        <v>286543</v>
      </c>
      <c r="AC6" s="74">
        <v>213425</v>
      </c>
      <c r="AD6" s="88">
        <f>SUM(Table1[[#This Row],[Expenses - Revenue Generation]:[Expenses - Admin]])</f>
        <v>73118</v>
      </c>
      <c r="AE6" s="74">
        <v>45261</v>
      </c>
      <c r="AF6" s="74">
        <v>6408</v>
      </c>
      <c r="AG6" s="74">
        <v>21449</v>
      </c>
      <c r="AH6" s="75">
        <f>Table1[[#This Row],[Total FTE - Editorial]]+Table1[[#This Row],[Total FTE - Non-Editorial]]</f>
        <v>4.5</v>
      </c>
      <c r="AI6" s="75">
        <f>Table1[[#This Row],[FTE Salaried - Editorial]]+Table1[[#This Row],[FTE Contractors - Editorial]]</f>
        <v>3.75</v>
      </c>
      <c r="AJ6" s="57">
        <v>2.5</v>
      </c>
      <c r="AK6" s="57">
        <v>1.25</v>
      </c>
      <c r="AL6" s="60">
        <f>Table1[[#This Row],[FTE Salaried - Non-Editorial]]+Table1[[#This Row],[FTE Contractors - Non-Editorial]]</f>
        <v>0.75</v>
      </c>
      <c r="AM6" s="57">
        <v>0.5</v>
      </c>
      <c r="AN6" s="57">
        <v>0.25</v>
      </c>
      <c r="AO6" s="86" t="s">
        <v>352</v>
      </c>
      <c r="AP6" s="86" t="s">
        <v>625</v>
      </c>
      <c r="AQ6" s="76">
        <v>67217</v>
      </c>
      <c r="AR6" s="76">
        <v>900</v>
      </c>
      <c r="AS6" s="76">
        <v>0</v>
      </c>
      <c r="AT6" s="76">
        <v>0</v>
      </c>
      <c r="AU6" s="76">
        <v>0</v>
      </c>
      <c r="AV6" s="86" t="s">
        <v>617</v>
      </c>
      <c r="BC6" s="54"/>
      <c r="BD6" s="54"/>
      <c r="BE6" s="54"/>
      <c r="BF6" s="54"/>
      <c r="BG6" s="54"/>
      <c r="BI6" s="54"/>
      <c r="BK6" s="54"/>
      <c r="BL6" s="54"/>
      <c r="BM6" s="54"/>
      <c r="BN6" s="54"/>
      <c r="BO6" s="54"/>
      <c r="BP6" s="54"/>
      <c r="BS6" s="54"/>
      <c r="BT6" s="54"/>
      <c r="BU6" s="54"/>
      <c r="BV6" s="54"/>
      <c r="BW6" s="54"/>
    </row>
    <row r="7" spans="1:75" x14ac:dyDescent="0.2">
      <c r="A7" s="86" t="s">
        <v>626</v>
      </c>
      <c r="B7" s="86"/>
      <c r="C7" s="86" t="s">
        <v>7</v>
      </c>
      <c r="D7" s="86" t="s">
        <v>78</v>
      </c>
      <c r="E7" s="54" t="str">
        <f>_xlfn.CONCAT(Table1[[#This Row],[Geographic Scope]],": ",Table1[[#This Row],[Sub-Type/Focus]])</f>
        <v>Local: Multiple Related Topics</v>
      </c>
      <c r="F7" s="55">
        <f>Table1[[#This Row],[Total Contributed Income]]+Table1[[#This Row],[Total Earned Income]]</f>
        <v>408985</v>
      </c>
      <c r="G7" s="87">
        <f>IFERROR((Table1[[#This Row],[Cont. Income - Foundation]]+Table1[[#This Row],[Cont. Income - Membership]]+Table1[[#This Row],[Cont. Income - Small Donors]]+Table1[[#This Row],[Cont. Income - Med. Donors]]+Table1[[#This Row],[Cont. Income - Major Donors]]+Table1[[#This Row],[Cont. Income - Other]]),0)</f>
        <v>192603</v>
      </c>
      <c r="H7" s="87">
        <f>IFERROR((Table1[[#This Row],[Earned Income - Advertising]]+Table1[[#This Row],[Earned Income - Sponsorships/Underwriting]]+Table1[[#This Row],[Earned Income - Events]]+Table1[[#This Row],[Earned Income - Subscriptions]]+Table1[[#This Row],[Earned Income - Syndication]]+Table1[[#This Row],[Earned Income - Other TOTAL]]),0)</f>
        <v>216382</v>
      </c>
      <c r="I7" s="74">
        <v>4422</v>
      </c>
      <c r="J7" s="74">
        <v>0</v>
      </c>
      <c r="K7" s="74">
        <v>12681</v>
      </c>
      <c r="L7" s="74">
        <v>40500</v>
      </c>
      <c r="M7" s="74">
        <v>135000</v>
      </c>
      <c r="N7" s="74">
        <v>0</v>
      </c>
      <c r="O7" s="79" t="s">
        <v>617</v>
      </c>
      <c r="P7" s="74">
        <v>0</v>
      </c>
      <c r="Q7" s="74">
        <v>0</v>
      </c>
      <c r="R7" s="74">
        <v>0</v>
      </c>
      <c r="S7" s="74">
        <v>212965</v>
      </c>
      <c r="T7" s="74">
        <v>3417</v>
      </c>
      <c r="U7" s="88">
        <f>IFERROR(Table1[[#This Row],[Earned Income - Training Fees]]+Table1[[#This Row],[Earned Income - Fees]]+Table1[[#This Row],[Earned Income - Investments]]+Table1[[#This Row],[Earned Income - Other]],0)</f>
        <v>0</v>
      </c>
      <c r="V7" s="74">
        <v>0</v>
      </c>
      <c r="W7" s="74">
        <v>0</v>
      </c>
      <c r="X7" s="86" t="s">
        <v>617</v>
      </c>
      <c r="Y7" s="74">
        <v>0</v>
      </c>
      <c r="Z7" s="74">
        <v>0</v>
      </c>
      <c r="AA7" s="86" t="s">
        <v>617</v>
      </c>
      <c r="AB7" s="88">
        <f t="shared" si="0"/>
        <v>421685</v>
      </c>
      <c r="AC7" s="74">
        <v>253257</v>
      </c>
      <c r="AD7" s="88">
        <f>SUM(Table1[[#This Row],[Expenses - Revenue Generation]:[Expenses - Admin]])</f>
        <v>168428</v>
      </c>
      <c r="AE7" s="74">
        <v>34180</v>
      </c>
      <c r="AF7" s="74">
        <v>6812</v>
      </c>
      <c r="AG7" s="74">
        <v>127436</v>
      </c>
      <c r="AH7" s="75">
        <f>Table1[[#This Row],[Total FTE - Editorial]]+Table1[[#This Row],[Total FTE - Non-Editorial]]</f>
        <v>7</v>
      </c>
      <c r="AI7" s="75">
        <f>Table1[[#This Row],[FTE Salaried - Editorial]]+Table1[[#This Row],[FTE Contractors - Editorial]]</f>
        <v>5</v>
      </c>
      <c r="AJ7" s="57">
        <v>1</v>
      </c>
      <c r="AK7" s="57">
        <v>4</v>
      </c>
      <c r="AL7" s="60">
        <f>Table1[[#This Row],[FTE Salaried - Non-Editorial]]+Table1[[#This Row],[FTE Contractors - Non-Editorial]]</f>
        <v>2</v>
      </c>
      <c r="AM7" s="57">
        <v>2</v>
      </c>
      <c r="AN7" s="57">
        <v>0</v>
      </c>
      <c r="AO7" s="86" t="s">
        <v>351</v>
      </c>
      <c r="AP7" s="86" t="s">
        <v>617</v>
      </c>
      <c r="AQ7" s="76">
        <v>44222</v>
      </c>
      <c r="AR7" s="76">
        <v>3747</v>
      </c>
      <c r="AS7" s="76">
        <v>0</v>
      </c>
      <c r="AT7" s="76">
        <v>0</v>
      </c>
      <c r="AU7" s="76">
        <v>0</v>
      </c>
      <c r="AV7" s="86" t="s">
        <v>617</v>
      </c>
      <c r="BC7" s="54"/>
      <c r="BD7" s="54"/>
      <c r="BE7" s="54"/>
      <c r="BF7" s="54"/>
      <c r="BG7" s="54"/>
      <c r="BI7" s="54"/>
      <c r="BK7" s="54"/>
      <c r="BL7" s="54"/>
      <c r="BM7" s="54"/>
      <c r="BN7" s="54"/>
      <c r="BO7" s="54"/>
      <c r="BP7" s="54"/>
      <c r="BS7" s="54"/>
      <c r="BT7" s="54"/>
      <c r="BU7" s="54"/>
      <c r="BV7" s="54"/>
      <c r="BW7" s="54"/>
    </row>
    <row r="8" spans="1:75" x14ac:dyDescent="0.2">
      <c r="A8" s="86" t="s">
        <v>627</v>
      </c>
      <c r="B8" s="86"/>
      <c r="C8" s="86" t="s">
        <v>7</v>
      </c>
      <c r="D8" s="86" t="s">
        <v>79</v>
      </c>
      <c r="E8" s="54" t="str">
        <f>_xlfn.CONCAT(Table1[[#This Row],[Geographic Scope]],": ",Table1[[#This Row],[Sub-Type/Focus]])</f>
        <v>Local: Single-Topic</v>
      </c>
      <c r="F8" s="55">
        <f>Table1[[#This Row],[Total Contributed Income]]+Table1[[#This Row],[Total Earned Income]]</f>
        <v>906931</v>
      </c>
      <c r="G8" s="87">
        <f>IFERROR((Table1[[#This Row],[Cont. Income - Foundation]]+Table1[[#This Row],[Cont. Income - Membership]]+Table1[[#This Row],[Cont. Income - Small Donors]]+Table1[[#This Row],[Cont. Income - Med. Donors]]+Table1[[#This Row],[Cont. Income - Major Donors]]+Table1[[#This Row],[Cont. Income - Other]]),0)</f>
        <v>500733</v>
      </c>
      <c r="H8" s="87">
        <f>IFERROR((Table1[[#This Row],[Earned Income - Advertising]]+Table1[[#This Row],[Earned Income - Sponsorships/Underwriting]]+Table1[[#This Row],[Earned Income - Events]]+Table1[[#This Row],[Earned Income - Subscriptions]]+Table1[[#This Row],[Earned Income - Syndication]]+Table1[[#This Row],[Earned Income - Other TOTAL]]),0)</f>
        <v>406198</v>
      </c>
      <c r="I8" s="74">
        <v>109110</v>
      </c>
      <c r="J8" s="74">
        <v>0</v>
      </c>
      <c r="K8" s="74">
        <v>160096</v>
      </c>
      <c r="L8" s="74">
        <v>75958</v>
      </c>
      <c r="M8" s="74">
        <v>33164</v>
      </c>
      <c r="N8" s="74">
        <v>122405</v>
      </c>
      <c r="O8" s="79" t="s">
        <v>628</v>
      </c>
      <c r="P8" s="74">
        <v>169553</v>
      </c>
      <c r="Q8" s="74">
        <v>87651</v>
      </c>
      <c r="R8" s="74">
        <v>0</v>
      </c>
      <c r="S8" s="74">
        <v>128054</v>
      </c>
      <c r="T8" s="74">
        <v>0</v>
      </c>
      <c r="U8" s="88">
        <f>IFERROR(Table1[[#This Row],[Earned Income - Training Fees]]+Table1[[#This Row],[Earned Income - Fees]]+Table1[[#This Row],[Earned Income - Investments]]+Table1[[#This Row],[Earned Income - Other]],0)</f>
        <v>20940</v>
      </c>
      <c r="V8" s="74">
        <v>0</v>
      </c>
      <c r="W8" s="74">
        <v>0</v>
      </c>
      <c r="X8" s="86" t="s">
        <v>617</v>
      </c>
      <c r="Y8" s="74">
        <v>0</v>
      </c>
      <c r="Z8" s="74">
        <v>20940</v>
      </c>
      <c r="AA8" s="86" t="s">
        <v>629</v>
      </c>
      <c r="AB8" s="88">
        <f t="shared" si="0"/>
        <v>982865</v>
      </c>
      <c r="AC8" s="74">
        <v>382828</v>
      </c>
      <c r="AD8" s="88">
        <f>SUM(Table1[[#This Row],[Expenses - Revenue Generation]:[Expenses - Admin]])</f>
        <v>600037</v>
      </c>
      <c r="AE8" s="74">
        <v>435500</v>
      </c>
      <c r="AF8" s="74">
        <v>54037</v>
      </c>
      <c r="AG8" s="74">
        <v>110500</v>
      </c>
      <c r="AH8" s="75">
        <f>Table1[[#This Row],[Total FTE - Editorial]]+Table1[[#This Row],[Total FTE - Non-Editorial]]</f>
        <v>8.9</v>
      </c>
      <c r="AI8" s="75">
        <f>Table1[[#This Row],[FTE Salaried - Editorial]]+Table1[[#This Row],[FTE Contractors - Editorial]]</f>
        <v>3.6</v>
      </c>
      <c r="AJ8" s="57">
        <v>3</v>
      </c>
      <c r="AK8" s="57">
        <v>0.6</v>
      </c>
      <c r="AL8" s="60">
        <f>Table1[[#This Row],[FTE Salaried - Non-Editorial]]+Table1[[#This Row],[FTE Contractors - Non-Editorial]]</f>
        <v>5.3</v>
      </c>
      <c r="AM8" s="57">
        <v>4.7</v>
      </c>
      <c r="AN8" s="57">
        <v>0.6</v>
      </c>
      <c r="AO8" s="86" t="s">
        <v>599</v>
      </c>
      <c r="AP8" s="86" t="s">
        <v>617</v>
      </c>
      <c r="AQ8" s="76">
        <v>937943</v>
      </c>
      <c r="AR8" s="76">
        <v>15000</v>
      </c>
      <c r="AS8" s="76">
        <v>8500</v>
      </c>
      <c r="AT8" s="76">
        <v>1</v>
      </c>
      <c r="AU8" s="76">
        <v>0</v>
      </c>
      <c r="AV8" s="86" t="s">
        <v>617</v>
      </c>
      <c r="BC8" s="54"/>
      <c r="BD8" s="54"/>
      <c r="BE8" s="54"/>
      <c r="BF8" s="54"/>
      <c r="BG8" s="54"/>
      <c r="BI8" s="54"/>
      <c r="BK8" s="54"/>
      <c r="BL8" s="54"/>
      <c r="BM8" s="54"/>
      <c r="BN8" s="54"/>
      <c r="BO8" s="54"/>
      <c r="BP8" s="54"/>
      <c r="BS8" s="54"/>
      <c r="BT8" s="54"/>
      <c r="BU8" s="54"/>
      <c r="BV8" s="54"/>
      <c r="BW8" s="54"/>
    </row>
    <row r="9" spans="1:75" x14ac:dyDescent="0.2">
      <c r="A9" s="86" t="s">
        <v>630</v>
      </c>
      <c r="B9" s="86"/>
      <c r="C9" s="86" t="s">
        <v>505</v>
      </c>
      <c r="D9" s="86" t="s">
        <v>78</v>
      </c>
      <c r="E9" s="54" t="str">
        <f>_xlfn.CONCAT(Table1[[#This Row],[Geographic Scope]],": ",Table1[[#This Row],[Sub-Type/Focus]])</f>
        <v>Regional: Multiple Related Topics</v>
      </c>
      <c r="F9" s="55">
        <f>Table1[[#This Row],[Total Contributed Income]]+Table1[[#This Row],[Total Earned Income]]</f>
        <v>99570</v>
      </c>
      <c r="G9" s="87">
        <f>IFERROR((Table1[[#This Row],[Cont. Income - Foundation]]+Table1[[#This Row],[Cont. Income - Membership]]+Table1[[#This Row],[Cont. Income - Small Donors]]+Table1[[#This Row],[Cont. Income - Med. Donors]]+Table1[[#This Row],[Cont. Income - Major Donors]]+Table1[[#This Row],[Cont. Income - Other]]),0)</f>
        <v>99570</v>
      </c>
      <c r="H9" s="87">
        <f>IFERROR((Table1[[#This Row],[Earned Income - Advertising]]+Table1[[#This Row],[Earned Income - Sponsorships/Underwriting]]+Table1[[#This Row],[Earned Income - Events]]+Table1[[#This Row],[Earned Income - Subscriptions]]+Table1[[#This Row],[Earned Income - Syndication]]+Table1[[#This Row],[Earned Income - Other TOTAL]]),0)</f>
        <v>0</v>
      </c>
      <c r="I9" s="74">
        <v>37691</v>
      </c>
      <c r="J9" s="74">
        <v>20240</v>
      </c>
      <c r="K9" s="74">
        <v>1639</v>
      </c>
      <c r="L9" s="74">
        <v>1000</v>
      </c>
      <c r="M9" s="74">
        <v>39000</v>
      </c>
      <c r="N9" s="74">
        <v>0</v>
      </c>
      <c r="O9" s="79" t="s">
        <v>617</v>
      </c>
      <c r="P9" s="74">
        <v>0</v>
      </c>
      <c r="Q9" s="74">
        <v>0</v>
      </c>
      <c r="R9" s="74">
        <v>0</v>
      </c>
      <c r="S9" s="74">
        <v>0</v>
      </c>
      <c r="T9" s="74">
        <v>0</v>
      </c>
      <c r="U9" s="88">
        <f>IFERROR(Table1[[#This Row],[Earned Income - Training Fees]]+Table1[[#This Row],[Earned Income - Fees]]+Table1[[#This Row],[Earned Income - Investments]]+Table1[[#This Row],[Earned Income - Other]],0)</f>
        <v>0</v>
      </c>
      <c r="V9" s="74">
        <v>0</v>
      </c>
      <c r="W9" s="74">
        <v>0</v>
      </c>
      <c r="X9" s="86" t="s">
        <v>617</v>
      </c>
      <c r="Y9" s="74">
        <v>0</v>
      </c>
      <c r="Z9" s="74">
        <v>0</v>
      </c>
      <c r="AA9" s="86" t="s">
        <v>617</v>
      </c>
      <c r="AB9" s="88">
        <f t="shared" si="0"/>
        <v>93811</v>
      </c>
      <c r="AC9" s="74">
        <v>57711</v>
      </c>
      <c r="AD9" s="88">
        <f>SUM(Table1[[#This Row],[Expenses - Revenue Generation]:[Expenses - Admin]])</f>
        <v>36100</v>
      </c>
      <c r="AE9" s="74">
        <v>15512</v>
      </c>
      <c r="AF9" s="74">
        <v>4847</v>
      </c>
      <c r="AG9" s="74">
        <v>15741</v>
      </c>
      <c r="AH9" s="75">
        <f>Table1[[#This Row],[Total FTE - Editorial]]+Table1[[#This Row],[Total FTE - Non-Editorial]]</f>
        <v>1.5</v>
      </c>
      <c r="AI9" s="75">
        <f>Table1[[#This Row],[FTE Salaried - Editorial]]+Table1[[#This Row],[FTE Contractors - Editorial]]</f>
        <v>1.5</v>
      </c>
      <c r="AJ9" s="57">
        <v>1</v>
      </c>
      <c r="AK9" s="57">
        <v>0.5</v>
      </c>
      <c r="AL9" s="60">
        <f>Table1[[#This Row],[FTE Salaried - Non-Editorial]]+Table1[[#This Row],[FTE Contractors - Non-Editorial]]</f>
        <v>0</v>
      </c>
      <c r="AM9" s="57">
        <v>0</v>
      </c>
      <c r="AN9" s="57">
        <v>0</v>
      </c>
      <c r="AO9" s="86" t="s">
        <v>351</v>
      </c>
      <c r="AP9" s="86" t="s">
        <v>617</v>
      </c>
      <c r="AQ9" s="76">
        <v>21250</v>
      </c>
      <c r="AR9" s="76">
        <v>5200</v>
      </c>
      <c r="AS9" s="76">
        <v>300</v>
      </c>
      <c r="AT9" s="76">
        <v>1</v>
      </c>
      <c r="AU9" s="76">
        <v>0</v>
      </c>
      <c r="AV9" s="86" t="s">
        <v>617</v>
      </c>
      <c r="BC9" s="54"/>
      <c r="BD9" s="54"/>
      <c r="BE9" s="54"/>
      <c r="BF9" s="54"/>
      <c r="BG9" s="54"/>
      <c r="BI9" s="54"/>
      <c r="BK9" s="54"/>
      <c r="BL9" s="54"/>
      <c r="BM9" s="54"/>
      <c r="BN9" s="54"/>
      <c r="BO9" s="54"/>
      <c r="BP9" s="54"/>
      <c r="BS9" s="54"/>
      <c r="BT9" s="54"/>
      <c r="BU9" s="54"/>
      <c r="BV9" s="54"/>
      <c r="BW9" s="54"/>
    </row>
    <row r="10" spans="1:75" x14ac:dyDescent="0.2">
      <c r="A10" s="86" t="s">
        <v>631</v>
      </c>
      <c r="B10" s="86"/>
      <c r="C10" s="86" t="s">
        <v>7</v>
      </c>
      <c r="D10" s="86" t="s">
        <v>77</v>
      </c>
      <c r="E10" s="54" t="str">
        <f>_xlfn.CONCAT(Table1[[#This Row],[Geographic Scope]],": ",Table1[[#This Row],[Sub-Type/Focus]])</f>
        <v>Local: General</v>
      </c>
      <c r="F10" s="55">
        <f>Table1[[#This Row],[Total Contributed Income]]+Table1[[#This Row],[Total Earned Income]]</f>
        <v>177657</v>
      </c>
      <c r="G10" s="87">
        <f>IFERROR((Table1[[#This Row],[Cont. Income - Foundation]]+Table1[[#This Row],[Cont. Income - Membership]]+Table1[[#This Row],[Cont. Income - Small Donors]]+Table1[[#This Row],[Cont. Income - Med. Donors]]+Table1[[#This Row],[Cont. Income - Major Donors]]+Table1[[#This Row],[Cont. Income - Other]]),0)</f>
        <v>110244</v>
      </c>
      <c r="H10" s="87">
        <f>IFERROR((Table1[[#This Row],[Earned Income - Advertising]]+Table1[[#This Row],[Earned Income - Sponsorships/Underwriting]]+Table1[[#This Row],[Earned Income - Events]]+Table1[[#This Row],[Earned Income - Subscriptions]]+Table1[[#This Row],[Earned Income - Syndication]]+Table1[[#This Row],[Earned Income - Other TOTAL]]),0)</f>
        <v>67413</v>
      </c>
      <c r="I10" s="74">
        <v>47586</v>
      </c>
      <c r="J10" s="74">
        <v>0</v>
      </c>
      <c r="K10" s="74">
        <v>15158</v>
      </c>
      <c r="L10" s="74">
        <v>16200</v>
      </c>
      <c r="M10" s="74">
        <v>19300</v>
      </c>
      <c r="N10" s="74">
        <v>12000</v>
      </c>
      <c r="O10" s="79" t="s">
        <v>632</v>
      </c>
      <c r="P10" s="74">
        <v>50</v>
      </c>
      <c r="Q10" s="74">
        <v>63921</v>
      </c>
      <c r="R10" s="74">
        <v>3329</v>
      </c>
      <c r="S10" s="74">
        <v>0</v>
      </c>
      <c r="T10" s="74">
        <v>0</v>
      </c>
      <c r="U10" s="88">
        <f>IFERROR(Table1[[#This Row],[Earned Income - Training Fees]]+Table1[[#This Row],[Earned Income - Fees]]+Table1[[#This Row],[Earned Income - Investments]]+Table1[[#This Row],[Earned Income - Other]],0)</f>
        <v>113</v>
      </c>
      <c r="V10" s="74">
        <v>0</v>
      </c>
      <c r="W10" s="74">
        <v>0</v>
      </c>
      <c r="X10" s="86" t="s">
        <v>617</v>
      </c>
      <c r="Y10" s="74">
        <v>0</v>
      </c>
      <c r="Z10" s="74">
        <v>113</v>
      </c>
      <c r="AA10" s="86" t="s">
        <v>456</v>
      </c>
      <c r="AB10" s="88">
        <f t="shared" si="0"/>
        <v>230040.43</v>
      </c>
      <c r="AC10" s="74">
        <v>107093.01</v>
      </c>
      <c r="AD10" s="88">
        <f>SUM(Table1[[#This Row],[Expenses - Revenue Generation]:[Expenses - Admin]])</f>
        <v>122947.42</v>
      </c>
      <c r="AE10" s="74">
        <v>81951.86</v>
      </c>
      <c r="AF10" s="74">
        <v>15363.55</v>
      </c>
      <c r="AG10" s="74">
        <v>25632.01</v>
      </c>
      <c r="AH10" s="75">
        <f>Table1[[#This Row],[Total FTE - Editorial]]+Table1[[#This Row],[Total FTE - Non-Editorial]]</f>
        <v>5</v>
      </c>
      <c r="AI10" s="75">
        <f>Table1[[#This Row],[FTE Salaried - Editorial]]+Table1[[#This Row],[FTE Contractors - Editorial]]</f>
        <v>3</v>
      </c>
      <c r="AJ10" s="57">
        <v>0</v>
      </c>
      <c r="AK10" s="57">
        <v>3</v>
      </c>
      <c r="AL10" s="60">
        <f>Table1[[#This Row],[FTE Salaried - Non-Editorial]]+Table1[[#This Row],[FTE Contractors - Non-Editorial]]</f>
        <v>2</v>
      </c>
      <c r="AM10" s="57">
        <v>1.75</v>
      </c>
      <c r="AN10" s="57">
        <v>0.25</v>
      </c>
      <c r="AO10" s="86" t="s">
        <v>351</v>
      </c>
      <c r="AP10" s="86" t="s">
        <v>617</v>
      </c>
      <c r="AQ10" s="76">
        <v>24672</v>
      </c>
      <c r="AR10" s="76">
        <v>2500</v>
      </c>
      <c r="AS10" s="76">
        <v>0</v>
      </c>
      <c r="AT10" s="76">
        <v>0</v>
      </c>
      <c r="AU10" s="76">
        <v>0</v>
      </c>
      <c r="AV10" s="86" t="s">
        <v>617</v>
      </c>
      <c r="BC10" s="54"/>
      <c r="BD10" s="54"/>
      <c r="BE10" s="54"/>
      <c r="BF10" s="54"/>
      <c r="BG10" s="54"/>
      <c r="BI10" s="54"/>
      <c r="BK10" s="54"/>
      <c r="BL10" s="54"/>
      <c r="BM10" s="54"/>
      <c r="BN10" s="54"/>
      <c r="BO10" s="54"/>
      <c r="BP10" s="54"/>
      <c r="BS10" s="54"/>
      <c r="BT10" s="54"/>
      <c r="BU10" s="54"/>
      <c r="BV10" s="54"/>
      <c r="BW10" s="54"/>
    </row>
    <row r="11" spans="1:75" x14ac:dyDescent="0.2">
      <c r="A11" s="86" t="s">
        <v>633</v>
      </c>
      <c r="B11" s="86"/>
      <c r="C11" s="86" t="s">
        <v>505</v>
      </c>
      <c r="D11" s="83" t="s">
        <v>78</v>
      </c>
      <c r="E11" s="54" t="str">
        <f>_xlfn.CONCAT(Table1[[#This Row],[Geographic Scope]],": ",Table1[[#This Row],[Sub-Type/Focus]])</f>
        <v>Regional: Multiple Related Topics</v>
      </c>
      <c r="F11" s="55">
        <f>Table1[[#This Row],[Total Contributed Income]]+Table1[[#This Row],[Total Earned Income]]</f>
        <v>47158</v>
      </c>
      <c r="G11" s="87">
        <f>IFERROR((Table1[[#This Row],[Cont. Income - Foundation]]+Table1[[#This Row],[Cont. Income - Membership]]+Table1[[#This Row],[Cont. Income - Small Donors]]+Table1[[#This Row],[Cont. Income - Med. Donors]]+Table1[[#This Row],[Cont. Income - Major Donors]]+Table1[[#This Row],[Cont. Income - Other]]),0)</f>
        <v>47158</v>
      </c>
      <c r="H11" s="87">
        <f>IFERROR((Table1[[#This Row],[Earned Income - Advertising]]+Table1[[#This Row],[Earned Income - Sponsorships/Underwriting]]+Table1[[#This Row],[Earned Income - Events]]+Table1[[#This Row],[Earned Income - Subscriptions]]+Table1[[#This Row],[Earned Income - Syndication]]+Table1[[#This Row],[Earned Income - Other TOTAL]]),0)</f>
        <v>0</v>
      </c>
      <c r="I11" s="74">
        <v>11800</v>
      </c>
      <c r="J11" s="74">
        <v>0</v>
      </c>
      <c r="K11" s="74">
        <v>9342</v>
      </c>
      <c r="L11" s="74">
        <v>7000</v>
      </c>
      <c r="M11" s="74">
        <v>0</v>
      </c>
      <c r="N11" s="74">
        <v>19016</v>
      </c>
      <c r="O11" s="79" t="s">
        <v>355</v>
      </c>
      <c r="P11" s="74">
        <v>0</v>
      </c>
      <c r="Q11" s="74">
        <v>0</v>
      </c>
      <c r="R11" s="74">
        <v>0</v>
      </c>
      <c r="S11" s="74">
        <v>0</v>
      </c>
      <c r="T11" s="74">
        <v>0</v>
      </c>
      <c r="U11" s="88">
        <f>IFERROR(Table1[[#This Row],[Earned Income - Training Fees]]+Table1[[#This Row],[Earned Income - Fees]]+Table1[[#This Row],[Earned Income - Investments]]+Table1[[#This Row],[Earned Income - Other]],0)</f>
        <v>0</v>
      </c>
      <c r="V11" s="74">
        <v>0</v>
      </c>
      <c r="W11" s="74">
        <v>0</v>
      </c>
      <c r="X11" s="86" t="s">
        <v>617</v>
      </c>
      <c r="Y11" s="74">
        <v>0</v>
      </c>
      <c r="Z11" s="74">
        <v>0</v>
      </c>
      <c r="AA11" s="86" t="s">
        <v>617</v>
      </c>
      <c r="AB11" s="88">
        <f t="shared" si="0"/>
        <v>125000</v>
      </c>
      <c r="AC11" s="74">
        <v>70000</v>
      </c>
      <c r="AD11" s="88">
        <f>SUM(Table1[[#This Row],[Expenses - Revenue Generation]:[Expenses - Admin]])</f>
        <v>55000</v>
      </c>
      <c r="AE11" s="74">
        <v>0</v>
      </c>
      <c r="AF11" s="74">
        <v>30000</v>
      </c>
      <c r="AG11" s="74">
        <v>25000</v>
      </c>
      <c r="AH11" s="75">
        <f>Table1[[#This Row],[Total FTE - Editorial]]+Table1[[#This Row],[Total FTE - Non-Editorial]]</f>
        <v>2</v>
      </c>
      <c r="AI11" s="75">
        <f>Table1[[#This Row],[FTE Salaried - Editorial]]+Table1[[#This Row],[FTE Contractors - Editorial]]</f>
        <v>2</v>
      </c>
      <c r="AJ11" s="57">
        <v>2</v>
      </c>
      <c r="AK11" s="57">
        <v>0</v>
      </c>
      <c r="AL11" s="60">
        <f>Table1[[#This Row],[FTE Salaried - Non-Editorial]]+Table1[[#This Row],[FTE Contractors - Non-Editorial]]</f>
        <v>0</v>
      </c>
      <c r="AM11" s="57">
        <v>0</v>
      </c>
      <c r="AN11" s="57">
        <v>0</v>
      </c>
      <c r="AO11" s="86" t="s">
        <v>351</v>
      </c>
      <c r="AP11" s="86" t="s">
        <v>617</v>
      </c>
      <c r="AQ11" s="76">
        <v>30000</v>
      </c>
      <c r="AR11" s="76">
        <v>900</v>
      </c>
      <c r="AS11" s="76">
        <v>0</v>
      </c>
      <c r="AT11" s="76">
        <v>0</v>
      </c>
      <c r="AU11" s="76">
        <v>0</v>
      </c>
      <c r="AV11" s="86" t="s">
        <v>617</v>
      </c>
      <c r="BC11" s="54"/>
      <c r="BD11" s="54"/>
      <c r="BE11" s="54"/>
      <c r="BF11" s="54"/>
      <c r="BG11" s="54"/>
      <c r="BI11" s="54"/>
      <c r="BK11" s="54"/>
      <c r="BL11" s="54"/>
      <c r="BM11" s="54"/>
      <c r="BN11" s="54"/>
      <c r="BO11" s="54"/>
      <c r="BP11" s="54"/>
      <c r="BS11" s="54"/>
      <c r="BT11" s="54"/>
      <c r="BU11" s="54"/>
      <c r="BV11" s="54"/>
      <c r="BW11" s="54"/>
    </row>
    <row r="12" spans="1:75" x14ac:dyDescent="0.2">
      <c r="A12" s="83" t="s">
        <v>634</v>
      </c>
      <c r="B12" s="83"/>
      <c r="C12" s="83" t="s">
        <v>83</v>
      </c>
      <c r="D12" s="83" t="s">
        <v>78</v>
      </c>
      <c r="E12" s="60" t="str">
        <f>_xlfn.CONCAT(Table1[[#This Row],[Geographic Scope]],": ",Table1[[#This Row],[Sub-Type/Focus]])</f>
        <v>State: Multiple Related Topics</v>
      </c>
      <c r="F12" s="71">
        <f>Table1[[#This Row],[Total Contributed Income]]+Table1[[#This Row],[Total Earned Income]]</f>
        <v>0</v>
      </c>
      <c r="G12" s="89">
        <f>IFERROR((Table1[[#This Row],[Cont. Income - Foundation]]+Table1[[#This Row],[Cont. Income - Membership]]+Table1[[#This Row],[Cont. Income - Small Donors]]+Table1[[#This Row],[Cont. Income - Med. Donors]]+Table1[[#This Row],[Cont. Income - Major Donors]]+Table1[[#This Row],[Cont. Income - Other]]),0)</f>
        <v>0</v>
      </c>
      <c r="H12" s="89">
        <f>IFERROR((Table1[[#This Row],[Earned Income - Advertising]]+Table1[[#This Row],[Earned Income - Sponsorships/Underwriting]]+Table1[[#This Row],[Earned Income - Events]]+Table1[[#This Row],[Earned Income - Subscriptions]]+Table1[[#This Row],[Earned Income - Syndication]]+Table1[[#This Row],[Earned Income - Other TOTAL]]),0)</f>
        <v>0</v>
      </c>
      <c r="I12" s="74" t="s">
        <v>617</v>
      </c>
      <c r="J12" s="74" t="s">
        <v>617</v>
      </c>
      <c r="K12" s="74" t="s">
        <v>617</v>
      </c>
      <c r="L12" s="74" t="s">
        <v>617</v>
      </c>
      <c r="M12" s="74" t="s">
        <v>617</v>
      </c>
      <c r="N12" s="74" t="s">
        <v>617</v>
      </c>
      <c r="O12" s="79" t="s">
        <v>617</v>
      </c>
      <c r="P12" s="74" t="s">
        <v>617</v>
      </c>
      <c r="Q12" s="74" t="s">
        <v>617</v>
      </c>
      <c r="R12" s="74" t="s">
        <v>617</v>
      </c>
      <c r="S12" s="74" t="s">
        <v>617</v>
      </c>
      <c r="T12" s="74" t="s">
        <v>617</v>
      </c>
      <c r="U12" s="85">
        <f>IFERROR(Table1[[#This Row],[Earned Income - Training Fees]]+Table1[[#This Row],[Earned Income - Fees]]+Table1[[#This Row],[Earned Income - Investments]]+Table1[[#This Row],[Earned Income - Other]],0)</f>
        <v>0</v>
      </c>
      <c r="V12" s="74" t="s">
        <v>617</v>
      </c>
      <c r="W12" s="74" t="s">
        <v>617</v>
      </c>
      <c r="X12" s="83" t="s">
        <v>617</v>
      </c>
      <c r="Y12" s="74" t="s">
        <v>617</v>
      </c>
      <c r="Z12" s="74" t="s">
        <v>617</v>
      </c>
      <c r="AA12" s="83" t="s">
        <v>617</v>
      </c>
      <c r="AB12" s="85">
        <f t="shared" si="0"/>
        <v>0</v>
      </c>
      <c r="AC12" s="74" t="s">
        <v>617</v>
      </c>
      <c r="AD12" s="85">
        <f>SUM(Table1[[#This Row],[Expenses - Revenue Generation]:[Expenses - Admin]])</f>
        <v>0</v>
      </c>
      <c r="AE12" s="74" t="s">
        <v>617</v>
      </c>
      <c r="AF12" s="74" t="s">
        <v>617</v>
      </c>
      <c r="AG12" s="74" t="s">
        <v>617</v>
      </c>
      <c r="AH12" s="75">
        <f>Table1[[#This Row],[Total FTE - Editorial]]+Table1[[#This Row],[Total FTE - Non-Editorial]]</f>
        <v>4</v>
      </c>
      <c r="AI12" s="75">
        <f>Table1[[#This Row],[FTE Salaried - Editorial]]+Table1[[#This Row],[FTE Contractors - Editorial]]</f>
        <v>2</v>
      </c>
      <c r="AJ12" s="57">
        <v>2</v>
      </c>
      <c r="AK12" s="57">
        <v>0</v>
      </c>
      <c r="AL12" s="60">
        <f>Table1[[#This Row],[FTE Salaried - Non-Editorial]]+Table1[[#This Row],[FTE Contractors - Non-Editorial]]</f>
        <v>2</v>
      </c>
      <c r="AM12" s="57">
        <v>2</v>
      </c>
      <c r="AN12" s="57">
        <v>0</v>
      </c>
      <c r="AO12" s="83"/>
      <c r="AP12" s="83" t="s">
        <v>617</v>
      </c>
      <c r="AQ12" s="76" t="s">
        <v>617</v>
      </c>
      <c r="AR12" s="76" t="s">
        <v>617</v>
      </c>
      <c r="AS12" s="76" t="s">
        <v>617</v>
      </c>
      <c r="AT12" s="76" t="s">
        <v>617</v>
      </c>
      <c r="AU12" s="76" t="s">
        <v>617</v>
      </c>
      <c r="AV12" s="83" t="s">
        <v>617</v>
      </c>
      <c r="BC12" s="54"/>
      <c r="BD12" s="54"/>
      <c r="BE12" s="54"/>
      <c r="BF12" s="54"/>
      <c r="BG12" s="54"/>
      <c r="BI12" s="54"/>
      <c r="BK12" s="54"/>
      <c r="BL12" s="54"/>
      <c r="BM12" s="54"/>
      <c r="BN12" s="54"/>
      <c r="BO12" s="54"/>
      <c r="BP12" s="54"/>
      <c r="BS12" s="54"/>
      <c r="BT12" s="54"/>
      <c r="BU12" s="54"/>
      <c r="BV12" s="54"/>
      <c r="BW12" s="54"/>
    </row>
    <row r="13" spans="1:75" x14ac:dyDescent="0.2">
      <c r="A13" s="83" t="s">
        <v>635</v>
      </c>
      <c r="B13" s="83"/>
      <c r="C13" s="83" t="s">
        <v>83</v>
      </c>
      <c r="D13" s="83" t="s">
        <v>78</v>
      </c>
      <c r="E13" s="54" t="str">
        <f>_xlfn.CONCAT(Table1[[#This Row],[Geographic Scope]],": ",Table1[[#This Row],[Sub-Type/Focus]])</f>
        <v>State: Multiple Related Topics</v>
      </c>
      <c r="F13" s="55">
        <f>Table1[[#This Row],[Total Contributed Income]]+Table1[[#This Row],[Total Earned Income]]</f>
        <v>1619653</v>
      </c>
      <c r="G13" s="84">
        <f>IFERROR((Table1[[#This Row],[Cont. Income - Foundation]]+Table1[[#This Row],[Cont. Income - Membership]]+Table1[[#This Row],[Cont. Income - Small Donors]]+Table1[[#This Row],[Cont. Income - Med. Donors]]+Table1[[#This Row],[Cont. Income - Major Donors]]+Table1[[#This Row],[Cont. Income - Other]]),0)</f>
        <v>1611429</v>
      </c>
      <c r="H13" s="84">
        <f>IFERROR((Table1[[#This Row],[Earned Income - Advertising]]+Table1[[#This Row],[Earned Income - Sponsorships/Underwriting]]+Table1[[#This Row],[Earned Income - Events]]+Table1[[#This Row],[Earned Income - Subscriptions]]+Table1[[#This Row],[Earned Income - Syndication]]+Table1[[#This Row],[Earned Income - Other TOTAL]]),0)</f>
        <v>8224</v>
      </c>
      <c r="I13" s="74">
        <v>1434300</v>
      </c>
      <c r="J13" s="74">
        <v>650</v>
      </c>
      <c r="K13" s="74">
        <v>125939</v>
      </c>
      <c r="L13" s="74">
        <v>24540</v>
      </c>
      <c r="M13" s="74">
        <v>26000</v>
      </c>
      <c r="N13" s="74">
        <v>0</v>
      </c>
      <c r="O13" s="79" t="s">
        <v>617</v>
      </c>
      <c r="P13" s="74">
        <v>0</v>
      </c>
      <c r="Q13" s="74">
        <v>0</v>
      </c>
      <c r="R13" s="74">
        <v>0</v>
      </c>
      <c r="S13" s="74">
        <v>0</v>
      </c>
      <c r="T13" s="74">
        <v>0</v>
      </c>
      <c r="U13" s="85">
        <f>IFERROR(Table1[[#This Row],[Earned Income - Training Fees]]+Table1[[#This Row],[Earned Income - Fees]]+Table1[[#This Row],[Earned Income - Investments]]+Table1[[#This Row],[Earned Income - Other]],0)</f>
        <v>8224</v>
      </c>
      <c r="V13" s="74">
        <v>0</v>
      </c>
      <c r="W13" s="74">
        <v>8224</v>
      </c>
      <c r="X13" s="83"/>
      <c r="Y13" s="74">
        <v>0</v>
      </c>
      <c r="Z13" s="74">
        <v>0</v>
      </c>
      <c r="AA13" s="83" t="s">
        <v>617</v>
      </c>
      <c r="AB13" s="85">
        <f t="shared" si="0"/>
        <v>881505</v>
      </c>
      <c r="AC13" s="74">
        <v>638016</v>
      </c>
      <c r="AD13" s="85">
        <f>SUM(Table1[[#This Row],[Expenses - Revenue Generation]:[Expenses - Admin]])</f>
        <v>243489</v>
      </c>
      <c r="AE13" s="74">
        <v>45718</v>
      </c>
      <c r="AF13" s="74">
        <v>8596</v>
      </c>
      <c r="AG13" s="74">
        <v>189175</v>
      </c>
      <c r="AH13" s="75">
        <f>Table1[[#This Row],[Total FTE - Editorial]]+Table1[[#This Row],[Total FTE - Non-Editorial]]</f>
        <v>13.25</v>
      </c>
      <c r="AI13" s="75">
        <f>Table1[[#This Row],[FTE Salaried - Editorial]]+Table1[[#This Row],[FTE Contractors - Editorial]]</f>
        <v>11.75</v>
      </c>
      <c r="AJ13" s="57">
        <v>7</v>
      </c>
      <c r="AK13" s="57">
        <v>4.75</v>
      </c>
      <c r="AL13" s="60">
        <f>Table1[[#This Row],[FTE Salaried - Non-Editorial]]+Table1[[#This Row],[FTE Contractors - Non-Editorial]]</f>
        <v>1.5</v>
      </c>
      <c r="AM13" s="57">
        <v>1</v>
      </c>
      <c r="AN13" s="57">
        <v>0.5</v>
      </c>
      <c r="AO13" s="83" t="s">
        <v>351</v>
      </c>
      <c r="AP13" s="83" t="s">
        <v>617</v>
      </c>
      <c r="AQ13" s="76">
        <v>0</v>
      </c>
      <c r="AR13" s="76">
        <v>0</v>
      </c>
      <c r="AS13" s="76">
        <v>0</v>
      </c>
      <c r="AT13" s="76">
        <v>0</v>
      </c>
      <c r="AU13" s="76">
        <v>0</v>
      </c>
      <c r="AV13" s="83" t="s">
        <v>617</v>
      </c>
      <c r="BC13" s="54"/>
      <c r="BD13" s="54"/>
      <c r="BE13" s="54"/>
      <c r="BF13" s="54"/>
      <c r="BG13" s="54"/>
      <c r="BI13" s="54"/>
      <c r="BK13" s="54"/>
      <c r="BL13" s="54"/>
      <c r="BM13" s="54"/>
      <c r="BN13" s="54"/>
      <c r="BO13" s="54"/>
      <c r="BP13" s="54"/>
      <c r="BS13" s="54"/>
      <c r="BT13" s="54"/>
      <c r="BU13" s="54"/>
      <c r="BV13" s="54"/>
      <c r="BW13" s="54"/>
    </row>
    <row r="14" spans="1:75" x14ac:dyDescent="0.2">
      <c r="A14" s="86" t="s">
        <v>636</v>
      </c>
      <c r="B14" s="86"/>
      <c r="C14" s="86" t="s">
        <v>6</v>
      </c>
      <c r="D14" s="86" t="s">
        <v>79</v>
      </c>
      <c r="E14" s="54" t="str">
        <f>_xlfn.CONCAT(Table1[[#This Row],[Geographic Scope]],": ",Table1[[#This Row],[Sub-Type/Focus]])</f>
        <v>National: Single-Topic</v>
      </c>
      <c r="F14" s="55">
        <f>Table1[[#This Row],[Total Contributed Income]]+Table1[[#This Row],[Total Earned Income]]</f>
        <v>6100053.7999999998</v>
      </c>
      <c r="G14" s="87">
        <f>IFERROR((Table1[[#This Row],[Cont. Income - Foundation]]+Table1[[#This Row],[Cont. Income - Membership]]+Table1[[#This Row],[Cont. Income - Small Donors]]+Table1[[#This Row],[Cont. Income - Med. Donors]]+Table1[[#This Row],[Cont. Income - Major Donors]]+Table1[[#This Row],[Cont. Income - Other]]),0)</f>
        <v>5754792.7999999998</v>
      </c>
      <c r="H14" s="87">
        <f>IFERROR((Table1[[#This Row],[Earned Income - Advertising]]+Table1[[#This Row],[Earned Income - Sponsorships/Underwriting]]+Table1[[#This Row],[Earned Income - Events]]+Table1[[#This Row],[Earned Income - Subscriptions]]+Table1[[#This Row],[Earned Income - Syndication]]+Table1[[#This Row],[Earned Income - Other TOTAL]]),0)</f>
        <v>345261</v>
      </c>
      <c r="I14" s="74">
        <v>5340930</v>
      </c>
      <c r="J14" s="74">
        <v>0</v>
      </c>
      <c r="K14" s="74">
        <v>55626.8</v>
      </c>
      <c r="L14" s="74">
        <v>28759</v>
      </c>
      <c r="M14" s="74">
        <v>329477</v>
      </c>
      <c r="N14" s="74">
        <v>0</v>
      </c>
      <c r="O14" s="79" t="s">
        <v>617</v>
      </c>
      <c r="P14" s="74">
        <v>34403</v>
      </c>
      <c r="Q14" s="74">
        <v>239774</v>
      </c>
      <c r="R14" s="74">
        <v>4283</v>
      </c>
      <c r="S14" s="74">
        <v>0</v>
      </c>
      <c r="T14" s="74">
        <v>0</v>
      </c>
      <c r="U14" s="88">
        <f>IFERROR(Table1[[#This Row],[Earned Income - Training Fees]]+Table1[[#This Row],[Earned Income - Fees]]+Table1[[#This Row],[Earned Income - Investments]]+Table1[[#This Row],[Earned Income - Other]],0)</f>
        <v>66801</v>
      </c>
      <c r="V14" s="74">
        <v>0</v>
      </c>
      <c r="W14" s="74">
        <v>64601</v>
      </c>
      <c r="X14" s="86" t="s">
        <v>637</v>
      </c>
      <c r="Y14" s="74">
        <v>0</v>
      </c>
      <c r="Z14" s="74">
        <v>2200</v>
      </c>
      <c r="AA14" s="86" t="s">
        <v>638</v>
      </c>
      <c r="AB14" s="88">
        <f t="shared" si="0"/>
        <v>6354883</v>
      </c>
      <c r="AC14" s="74">
        <v>3322499</v>
      </c>
      <c r="AD14" s="88">
        <f>SUM(Table1[[#This Row],[Expenses - Revenue Generation]:[Expenses - Admin]])</f>
        <v>3032384</v>
      </c>
      <c r="AE14" s="74">
        <v>855685</v>
      </c>
      <c r="AF14" s="74">
        <v>451808</v>
      </c>
      <c r="AG14" s="74">
        <v>1724891</v>
      </c>
      <c r="AH14" s="75">
        <f>Table1[[#This Row],[Total FTE - Editorial]]+Table1[[#This Row],[Total FTE - Non-Editorial]]</f>
        <v>59.325000000000003</v>
      </c>
      <c r="AI14" s="75">
        <f>Table1[[#This Row],[FTE Salaried - Editorial]]+Table1[[#This Row],[FTE Contractors - Editorial]]</f>
        <v>35.6</v>
      </c>
      <c r="AJ14" s="57">
        <v>35</v>
      </c>
      <c r="AK14" s="57">
        <v>0.6</v>
      </c>
      <c r="AL14" s="60">
        <f>Table1[[#This Row],[FTE Salaried - Non-Editorial]]+Table1[[#This Row],[FTE Contractors - Non-Editorial]]</f>
        <v>23.725000000000001</v>
      </c>
      <c r="AM14" s="57">
        <v>23.625</v>
      </c>
      <c r="AN14" s="57">
        <v>0.1</v>
      </c>
      <c r="AO14" s="86" t="s">
        <v>351</v>
      </c>
      <c r="AP14" s="86" t="s">
        <v>617</v>
      </c>
      <c r="AQ14" s="76">
        <v>446000</v>
      </c>
      <c r="AR14" s="76">
        <v>41000</v>
      </c>
      <c r="AS14" s="76">
        <v>0</v>
      </c>
      <c r="AT14" s="76">
        <v>0</v>
      </c>
      <c r="AU14" s="76">
        <v>0</v>
      </c>
      <c r="AV14" s="86" t="s">
        <v>617</v>
      </c>
      <c r="BC14" s="54"/>
      <c r="BD14" s="54"/>
      <c r="BE14" s="54"/>
      <c r="BF14" s="54"/>
      <c r="BG14" s="54"/>
      <c r="BI14" s="54"/>
      <c r="BK14" s="54"/>
      <c r="BL14" s="54"/>
      <c r="BM14" s="54"/>
      <c r="BN14" s="54"/>
      <c r="BO14" s="54"/>
      <c r="BP14" s="54"/>
      <c r="BS14" s="54"/>
      <c r="BT14" s="54"/>
      <c r="BU14" s="54"/>
      <c r="BV14" s="54"/>
      <c r="BW14" s="54"/>
    </row>
    <row r="15" spans="1:75" x14ac:dyDescent="0.2">
      <c r="A15" s="86" t="s">
        <v>639</v>
      </c>
      <c r="B15" s="86"/>
      <c r="C15" s="86" t="s">
        <v>7</v>
      </c>
      <c r="D15" s="86" t="s">
        <v>77</v>
      </c>
      <c r="E15" s="54" t="str">
        <f>_xlfn.CONCAT(Table1[[#This Row],[Geographic Scope]],": ",Table1[[#This Row],[Sub-Type/Focus]])</f>
        <v>Local: General</v>
      </c>
      <c r="F15" s="55">
        <f>Table1[[#This Row],[Total Contributed Income]]+Table1[[#This Row],[Total Earned Income]]</f>
        <v>460000</v>
      </c>
      <c r="G15" s="87">
        <f>IFERROR((Table1[[#This Row],[Cont. Income - Foundation]]+Table1[[#This Row],[Cont. Income - Membership]]+Table1[[#This Row],[Cont. Income - Small Donors]]+Table1[[#This Row],[Cont. Income - Med. Donors]]+Table1[[#This Row],[Cont. Income - Major Donors]]+Table1[[#This Row],[Cont. Income - Other]]),0)</f>
        <v>445000</v>
      </c>
      <c r="H15" s="87">
        <f>IFERROR((Table1[[#This Row],[Earned Income - Advertising]]+Table1[[#This Row],[Earned Income - Sponsorships/Underwriting]]+Table1[[#This Row],[Earned Income - Events]]+Table1[[#This Row],[Earned Income - Subscriptions]]+Table1[[#This Row],[Earned Income - Syndication]]+Table1[[#This Row],[Earned Income - Other TOTAL]]),0)</f>
        <v>15000</v>
      </c>
      <c r="I15" s="74">
        <v>184000</v>
      </c>
      <c r="J15" s="74">
        <v>0</v>
      </c>
      <c r="K15" s="74">
        <v>51000</v>
      </c>
      <c r="L15" s="74">
        <v>70000</v>
      </c>
      <c r="M15" s="74">
        <v>140000</v>
      </c>
      <c r="N15" s="74">
        <v>0</v>
      </c>
      <c r="O15" s="79" t="s">
        <v>617</v>
      </c>
      <c r="P15" s="74">
        <v>0</v>
      </c>
      <c r="Q15" s="74">
        <v>13000</v>
      </c>
      <c r="R15" s="74">
        <v>2000</v>
      </c>
      <c r="S15" s="74">
        <v>0</v>
      </c>
      <c r="T15" s="74">
        <v>0</v>
      </c>
      <c r="U15" s="88">
        <f>IFERROR(Table1[[#This Row],[Earned Income - Training Fees]]+Table1[[#This Row],[Earned Income - Fees]]+Table1[[#This Row],[Earned Income - Investments]]+Table1[[#This Row],[Earned Income - Other]],0)</f>
        <v>0</v>
      </c>
      <c r="V15" s="74">
        <v>0</v>
      </c>
      <c r="W15" s="74">
        <v>0</v>
      </c>
      <c r="X15" s="86" t="s">
        <v>617</v>
      </c>
      <c r="Y15" s="74">
        <v>0</v>
      </c>
      <c r="Z15" s="74">
        <v>0</v>
      </c>
      <c r="AA15" s="86" t="s">
        <v>617</v>
      </c>
      <c r="AB15" s="88">
        <f t="shared" si="0"/>
        <v>584000</v>
      </c>
      <c r="AC15" s="74">
        <v>275000</v>
      </c>
      <c r="AD15" s="88">
        <f>SUM(Table1[[#This Row],[Expenses - Revenue Generation]:[Expenses - Admin]])</f>
        <v>309000</v>
      </c>
      <c r="AE15" s="74">
        <v>70000</v>
      </c>
      <c r="AF15" s="74">
        <v>30000</v>
      </c>
      <c r="AG15" s="74">
        <v>209000</v>
      </c>
      <c r="AH15" s="75">
        <f>Table1[[#This Row],[Total FTE - Editorial]]+Table1[[#This Row],[Total FTE - Non-Editorial]]</f>
        <v>7</v>
      </c>
      <c r="AI15" s="75">
        <f>Table1[[#This Row],[FTE Salaried - Editorial]]+Table1[[#This Row],[FTE Contractors - Editorial]]</f>
        <v>4</v>
      </c>
      <c r="AJ15" s="57">
        <v>4</v>
      </c>
      <c r="AK15" s="57">
        <v>0</v>
      </c>
      <c r="AL15" s="60">
        <f>Table1[[#This Row],[FTE Salaried - Non-Editorial]]+Table1[[#This Row],[FTE Contractors - Non-Editorial]]</f>
        <v>3</v>
      </c>
      <c r="AM15" s="57">
        <v>3</v>
      </c>
      <c r="AN15" s="57">
        <v>0</v>
      </c>
      <c r="AO15" s="86" t="s">
        <v>351</v>
      </c>
      <c r="AP15" s="86" t="s">
        <v>617</v>
      </c>
      <c r="AQ15" s="76">
        <v>19000</v>
      </c>
      <c r="AR15" s="76">
        <v>8300</v>
      </c>
      <c r="AS15" s="76">
        <v>0</v>
      </c>
      <c r="AT15" s="76">
        <v>0</v>
      </c>
      <c r="AU15" s="76">
        <v>0</v>
      </c>
      <c r="AV15" s="86" t="s">
        <v>617</v>
      </c>
      <c r="BC15" s="54"/>
      <c r="BD15" s="54"/>
      <c r="BE15" s="54"/>
      <c r="BF15" s="54"/>
      <c r="BG15" s="54"/>
      <c r="BI15" s="54"/>
      <c r="BK15" s="54"/>
      <c r="BL15" s="54"/>
      <c r="BM15" s="54"/>
      <c r="BN15" s="54"/>
      <c r="BO15" s="54"/>
      <c r="BP15" s="54"/>
      <c r="BS15" s="54"/>
      <c r="BT15" s="54"/>
      <c r="BU15" s="54"/>
      <c r="BV15" s="54"/>
      <c r="BW15" s="54"/>
    </row>
    <row r="16" spans="1:75" x14ac:dyDescent="0.2">
      <c r="A16" s="86" t="s">
        <v>640</v>
      </c>
      <c r="B16" s="86"/>
      <c r="C16" s="86" t="s">
        <v>505</v>
      </c>
      <c r="D16" s="86" t="s">
        <v>79</v>
      </c>
      <c r="E16" s="54" t="str">
        <f>_xlfn.CONCAT(Table1[[#This Row],[Geographic Scope]],": ",Table1[[#This Row],[Sub-Type/Focus]])</f>
        <v>Regional: Single-Topic</v>
      </c>
      <c r="F16" s="55">
        <f>Table1[[#This Row],[Total Contributed Income]]+Table1[[#This Row],[Total Earned Income]]</f>
        <v>1017956</v>
      </c>
      <c r="G16" s="87">
        <f>IFERROR((Table1[[#This Row],[Cont. Income - Foundation]]+Table1[[#This Row],[Cont. Income - Membership]]+Table1[[#This Row],[Cont. Income - Small Donors]]+Table1[[#This Row],[Cont. Income - Med. Donors]]+Table1[[#This Row],[Cont. Income - Major Donors]]+Table1[[#This Row],[Cont. Income - Other]]),0)</f>
        <v>986256</v>
      </c>
      <c r="H16" s="87">
        <f>IFERROR((Table1[[#This Row],[Earned Income - Advertising]]+Table1[[#This Row],[Earned Income - Sponsorships/Underwriting]]+Table1[[#This Row],[Earned Income - Events]]+Table1[[#This Row],[Earned Income - Subscriptions]]+Table1[[#This Row],[Earned Income - Syndication]]+Table1[[#This Row],[Earned Income - Other TOTAL]]),0)</f>
        <v>31700</v>
      </c>
      <c r="I16" s="74">
        <v>600611</v>
      </c>
      <c r="J16" s="74">
        <v>0</v>
      </c>
      <c r="K16" s="74">
        <v>9500</v>
      </c>
      <c r="L16" s="74">
        <v>201145</v>
      </c>
      <c r="M16" s="74">
        <v>175000</v>
      </c>
      <c r="N16" s="74">
        <v>0</v>
      </c>
      <c r="O16" s="79" t="s">
        <v>617</v>
      </c>
      <c r="P16" s="74">
        <v>31700</v>
      </c>
      <c r="Q16" s="74">
        <v>0</v>
      </c>
      <c r="R16" s="74">
        <v>0</v>
      </c>
      <c r="S16" s="74">
        <v>0</v>
      </c>
      <c r="T16" s="74">
        <v>0</v>
      </c>
      <c r="U16" s="88">
        <f>IFERROR(Table1[[#This Row],[Earned Income - Training Fees]]+Table1[[#This Row],[Earned Income - Fees]]+Table1[[#This Row],[Earned Income - Investments]]+Table1[[#This Row],[Earned Income - Other]],0)</f>
        <v>0</v>
      </c>
      <c r="V16" s="74">
        <v>0</v>
      </c>
      <c r="W16" s="74">
        <v>0</v>
      </c>
      <c r="X16" s="86" t="s">
        <v>617</v>
      </c>
      <c r="Y16" s="74">
        <v>0</v>
      </c>
      <c r="Z16" s="74">
        <v>0</v>
      </c>
      <c r="AA16" s="86" t="s">
        <v>617</v>
      </c>
      <c r="AB16" s="88">
        <f t="shared" si="0"/>
        <v>1032138</v>
      </c>
      <c r="AC16" s="74">
        <v>816997</v>
      </c>
      <c r="AD16" s="88">
        <f>SUM(Table1[[#This Row],[Expenses - Revenue Generation]:[Expenses - Admin]])</f>
        <v>215141</v>
      </c>
      <c r="AE16" s="74">
        <v>110734</v>
      </c>
      <c r="AF16" s="74">
        <v>0</v>
      </c>
      <c r="AG16" s="74">
        <v>104407</v>
      </c>
      <c r="AH16" s="75">
        <f>Table1[[#This Row],[Total FTE - Editorial]]+Table1[[#This Row],[Total FTE - Non-Editorial]]</f>
        <v>7</v>
      </c>
      <c r="AI16" s="75">
        <f>Table1[[#This Row],[FTE Salaried - Editorial]]+Table1[[#This Row],[FTE Contractors - Editorial]]</f>
        <v>6</v>
      </c>
      <c r="AJ16" s="57">
        <v>6</v>
      </c>
      <c r="AK16" s="57">
        <v>0</v>
      </c>
      <c r="AL16" s="60">
        <f>Table1[[#This Row],[FTE Salaried - Non-Editorial]]+Table1[[#This Row],[FTE Contractors - Non-Editorial]]</f>
        <v>1</v>
      </c>
      <c r="AM16" s="57">
        <v>1</v>
      </c>
      <c r="AN16" s="57">
        <v>0</v>
      </c>
      <c r="AO16" s="86" t="s">
        <v>599</v>
      </c>
      <c r="AP16" s="86" t="s">
        <v>617</v>
      </c>
      <c r="AQ16" s="76">
        <v>33000</v>
      </c>
      <c r="AR16" s="76">
        <v>4900</v>
      </c>
      <c r="AS16" s="76">
        <v>35000</v>
      </c>
      <c r="AT16" s="76">
        <v>10</v>
      </c>
      <c r="AU16" s="76">
        <v>0</v>
      </c>
      <c r="AV16" s="86" t="s">
        <v>617</v>
      </c>
      <c r="BC16" s="54"/>
      <c r="BD16" s="54"/>
      <c r="BE16" s="54"/>
      <c r="BF16" s="54"/>
      <c r="BG16" s="54"/>
      <c r="BI16" s="54"/>
      <c r="BK16" s="54"/>
      <c r="BL16" s="54"/>
      <c r="BM16" s="54"/>
      <c r="BN16" s="54"/>
      <c r="BO16" s="54"/>
      <c r="BP16" s="54"/>
      <c r="BS16" s="54"/>
      <c r="BT16" s="54"/>
      <c r="BU16" s="54"/>
      <c r="BV16" s="54"/>
      <c r="BW16" s="54"/>
    </row>
    <row r="17" spans="1:75" x14ac:dyDescent="0.2">
      <c r="A17" s="86" t="s">
        <v>641</v>
      </c>
      <c r="B17" s="86"/>
      <c r="C17" s="83" t="s">
        <v>7</v>
      </c>
      <c r="D17" s="86" t="s">
        <v>78</v>
      </c>
      <c r="E17" s="54" t="str">
        <f>_xlfn.CONCAT(Table1[[#This Row],[Geographic Scope]],": ",Table1[[#This Row],[Sub-Type/Focus]])</f>
        <v>Local: Multiple Related Topics</v>
      </c>
      <c r="F17" s="55">
        <f>Table1[[#This Row],[Total Contributed Income]]+Table1[[#This Row],[Total Earned Income]]</f>
        <v>584512</v>
      </c>
      <c r="G17" s="87">
        <f>IFERROR((Table1[[#This Row],[Cont. Income - Foundation]]+Table1[[#This Row],[Cont. Income - Membership]]+Table1[[#This Row],[Cont. Income - Small Donors]]+Table1[[#This Row],[Cont. Income - Med. Donors]]+Table1[[#This Row],[Cont. Income - Major Donors]]+Table1[[#This Row],[Cont. Income - Other]]),0)</f>
        <v>513399</v>
      </c>
      <c r="H17" s="87">
        <f>IFERROR((Table1[[#This Row],[Earned Income - Advertising]]+Table1[[#This Row],[Earned Income - Sponsorships/Underwriting]]+Table1[[#This Row],[Earned Income - Events]]+Table1[[#This Row],[Earned Income - Subscriptions]]+Table1[[#This Row],[Earned Income - Syndication]]+Table1[[#This Row],[Earned Income - Other TOTAL]]),0)</f>
        <v>71113</v>
      </c>
      <c r="I17" s="74">
        <v>496222</v>
      </c>
      <c r="J17" s="74">
        <v>0</v>
      </c>
      <c r="K17" s="74">
        <v>4192</v>
      </c>
      <c r="L17" s="74">
        <v>4500</v>
      </c>
      <c r="M17" s="74">
        <v>0</v>
      </c>
      <c r="N17" s="74">
        <v>8485</v>
      </c>
      <c r="O17" s="79" t="s">
        <v>642</v>
      </c>
      <c r="P17" s="74">
        <v>0</v>
      </c>
      <c r="Q17" s="74">
        <v>0</v>
      </c>
      <c r="R17" s="74">
        <v>0</v>
      </c>
      <c r="S17" s="74">
        <v>565</v>
      </c>
      <c r="T17" s="74">
        <v>0</v>
      </c>
      <c r="U17" s="88">
        <f>IFERROR(Table1[[#This Row],[Earned Income - Training Fees]]+Table1[[#This Row],[Earned Income - Fees]]+Table1[[#This Row],[Earned Income - Investments]]+Table1[[#This Row],[Earned Income - Other]],0)</f>
        <v>70548</v>
      </c>
      <c r="V17" s="74">
        <v>0</v>
      </c>
      <c r="W17" s="74">
        <v>1120</v>
      </c>
      <c r="X17" s="86" t="s">
        <v>643</v>
      </c>
      <c r="Y17" s="74">
        <v>69428</v>
      </c>
      <c r="Z17" s="74">
        <v>0</v>
      </c>
      <c r="AA17" s="86" t="s">
        <v>617</v>
      </c>
      <c r="AB17" s="88">
        <f t="shared" si="0"/>
        <v>594512</v>
      </c>
      <c r="AC17" s="74">
        <v>478537</v>
      </c>
      <c r="AD17" s="88">
        <f>SUM(Table1[[#This Row],[Expenses - Revenue Generation]:[Expenses - Admin]])</f>
        <v>115975</v>
      </c>
      <c r="AE17" s="74">
        <v>35000</v>
      </c>
      <c r="AF17" s="74">
        <v>10038</v>
      </c>
      <c r="AG17" s="74">
        <v>70937</v>
      </c>
      <c r="AH17" s="75">
        <f>Table1[[#This Row],[Total FTE - Editorial]]+Table1[[#This Row],[Total FTE - Non-Editorial]]</f>
        <v>4</v>
      </c>
      <c r="AI17" s="75">
        <f>Table1[[#This Row],[FTE Salaried - Editorial]]+Table1[[#This Row],[FTE Contractors - Editorial]]</f>
        <v>4</v>
      </c>
      <c r="AJ17" s="57">
        <v>4</v>
      </c>
      <c r="AK17" s="57">
        <v>0</v>
      </c>
      <c r="AL17" s="60">
        <f>Table1[[#This Row],[FTE Salaried - Non-Editorial]]+Table1[[#This Row],[FTE Contractors - Non-Editorial]]</f>
        <v>0</v>
      </c>
      <c r="AM17" s="57">
        <v>0</v>
      </c>
      <c r="AN17" s="57">
        <v>0</v>
      </c>
      <c r="AO17" s="86" t="s">
        <v>351</v>
      </c>
      <c r="AP17" s="86" t="s">
        <v>617</v>
      </c>
      <c r="AQ17" s="76">
        <v>51000</v>
      </c>
      <c r="AR17" s="76">
        <v>8340</v>
      </c>
      <c r="AS17" s="76">
        <v>0</v>
      </c>
      <c r="AT17" s="76">
        <v>0</v>
      </c>
      <c r="AU17" s="76">
        <v>0</v>
      </c>
      <c r="AV17" s="86" t="s">
        <v>617</v>
      </c>
      <c r="BC17" s="54"/>
      <c r="BD17" s="54"/>
      <c r="BE17" s="54"/>
      <c r="BF17" s="54"/>
      <c r="BG17" s="54"/>
      <c r="BI17" s="54"/>
      <c r="BK17" s="54"/>
      <c r="BL17" s="54"/>
      <c r="BM17" s="54"/>
      <c r="BN17" s="54"/>
      <c r="BO17" s="54"/>
      <c r="BP17" s="54"/>
      <c r="BS17" s="54"/>
      <c r="BT17" s="54"/>
      <c r="BU17" s="54"/>
      <c r="BV17" s="54"/>
      <c r="BW17" s="54"/>
    </row>
    <row r="18" spans="1:75" x14ac:dyDescent="0.2">
      <c r="A18" s="86" t="s">
        <v>644</v>
      </c>
      <c r="B18" s="86"/>
      <c r="C18" s="86" t="s">
        <v>7</v>
      </c>
      <c r="D18" s="86" t="s">
        <v>78</v>
      </c>
      <c r="E18" s="54" t="str">
        <f>_xlfn.CONCAT(Table1[[#This Row],[Geographic Scope]],": ",Table1[[#This Row],[Sub-Type/Focus]])</f>
        <v>Local: Multiple Related Topics</v>
      </c>
      <c r="F18" s="55">
        <f>Table1[[#This Row],[Total Contributed Income]]+Table1[[#This Row],[Total Earned Income]]</f>
        <v>1077574</v>
      </c>
      <c r="G18" s="87">
        <f>IFERROR((Table1[[#This Row],[Cont. Income - Foundation]]+Table1[[#This Row],[Cont. Income - Membership]]+Table1[[#This Row],[Cont. Income - Small Donors]]+Table1[[#This Row],[Cont. Income - Med. Donors]]+Table1[[#This Row],[Cont. Income - Major Donors]]+Table1[[#This Row],[Cont. Income - Other]]),0)</f>
        <v>960726</v>
      </c>
      <c r="H18" s="87">
        <f>IFERROR((Table1[[#This Row],[Earned Income - Advertising]]+Table1[[#This Row],[Earned Income - Sponsorships/Underwriting]]+Table1[[#This Row],[Earned Income - Events]]+Table1[[#This Row],[Earned Income - Subscriptions]]+Table1[[#This Row],[Earned Income - Syndication]]+Table1[[#This Row],[Earned Income - Other TOTAL]]),0)</f>
        <v>116848</v>
      </c>
      <c r="I18" s="74">
        <v>913564</v>
      </c>
      <c r="J18" s="74">
        <v>24507</v>
      </c>
      <c r="K18" s="74">
        <v>12655</v>
      </c>
      <c r="L18" s="74">
        <v>0</v>
      </c>
      <c r="M18" s="74">
        <v>0</v>
      </c>
      <c r="N18" s="74">
        <v>10000</v>
      </c>
      <c r="O18" s="79" t="s">
        <v>645</v>
      </c>
      <c r="P18" s="74">
        <v>0</v>
      </c>
      <c r="Q18" s="74">
        <v>0</v>
      </c>
      <c r="R18" s="74">
        <v>24025</v>
      </c>
      <c r="S18" s="74">
        <v>0</v>
      </c>
      <c r="T18" s="74">
        <v>3000</v>
      </c>
      <c r="U18" s="88">
        <f>IFERROR(Table1[[#This Row],[Earned Income - Training Fees]]+Table1[[#This Row],[Earned Income - Fees]]+Table1[[#This Row],[Earned Income - Investments]]+Table1[[#This Row],[Earned Income - Other]],0)</f>
        <v>89823</v>
      </c>
      <c r="V18" s="74">
        <v>0</v>
      </c>
      <c r="W18" s="74">
        <v>833</v>
      </c>
      <c r="X18" s="86" t="s">
        <v>350</v>
      </c>
      <c r="Y18" s="74">
        <v>0</v>
      </c>
      <c r="Z18" s="74">
        <v>88990</v>
      </c>
      <c r="AA18" s="86" t="s">
        <v>646</v>
      </c>
      <c r="AB18" s="88">
        <f t="shared" si="0"/>
        <v>942218</v>
      </c>
      <c r="AC18" s="74">
        <v>706693</v>
      </c>
      <c r="AD18" s="88">
        <f>SUM(Table1[[#This Row],[Expenses - Revenue Generation]:[Expenses - Admin]])</f>
        <v>235525</v>
      </c>
      <c r="AE18" s="74">
        <v>141300</v>
      </c>
      <c r="AF18" s="74">
        <v>0</v>
      </c>
      <c r="AG18" s="74">
        <v>94225</v>
      </c>
      <c r="AH18" s="75">
        <f>Table1[[#This Row],[Total FTE - Editorial]]+Table1[[#This Row],[Total FTE - Non-Editorial]]</f>
        <v>9</v>
      </c>
      <c r="AI18" s="75">
        <f>Table1[[#This Row],[FTE Salaried - Editorial]]+Table1[[#This Row],[FTE Contractors - Editorial]]</f>
        <v>7</v>
      </c>
      <c r="AJ18" s="57">
        <v>7</v>
      </c>
      <c r="AK18" s="57">
        <v>0</v>
      </c>
      <c r="AL18" s="60">
        <f>Table1[[#This Row],[FTE Salaried - Non-Editorial]]+Table1[[#This Row],[FTE Contractors - Non-Editorial]]</f>
        <v>2</v>
      </c>
      <c r="AM18" s="57">
        <v>2</v>
      </c>
      <c r="AN18" s="57">
        <v>0</v>
      </c>
      <c r="AO18" s="86" t="s">
        <v>647</v>
      </c>
      <c r="AP18" s="86" t="s">
        <v>648</v>
      </c>
      <c r="AQ18" s="76">
        <v>5990</v>
      </c>
      <c r="AR18" s="76">
        <v>6221</v>
      </c>
      <c r="AS18" s="76">
        <v>0</v>
      </c>
      <c r="AT18" s="76">
        <v>0</v>
      </c>
      <c r="AU18" s="76">
        <v>0</v>
      </c>
      <c r="AV18" s="86" t="s">
        <v>617</v>
      </c>
      <c r="BC18" s="54"/>
      <c r="BD18" s="54"/>
      <c r="BE18" s="54"/>
      <c r="BF18" s="54"/>
      <c r="BG18" s="54"/>
      <c r="BI18" s="54"/>
      <c r="BK18" s="54"/>
      <c r="BL18" s="54"/>
      <c r="BM18" s="54"/>
      <c r="BN18" s="54"/>
      <c r="BO18" s="54"/>
      <c r="BP18" s="54"/>
      <c r="BS18" s="54"/>
      <c r="BT18" s="54"/>
      <c r="BU18" s="54"/>
      <c r="BV18" s="54"/>
      <c r="BW18" s="54"/>
    </row>
    <row r="19" spans="1:75" x14ac:dyDescent="0.2">
      <c r="A19" s="86" t="s">
        <v>649</v>
      </c>
      <c r="B19" s="86"/>
      <c r="C19" s="86" t="s">
        <v>7</v>
      </c>
      <c r="D19" s="86" t="s">
        <v>78</v>
      </c>
      <c r="E19" s="54" t="str">
        <f>_xlfn.CONCAT(Table1[[#This Row],[Geographic Scope]],": ",Table1[[#This Row],[Sub-Type/Focus]])</f>
        <v>Local: Multiple Related Topics</v>
      </c>
      <c r="F19" s="55">
        <f>Table1[[#This Row],[Total Contributed Income]]+Table1[[#This Row],[Total Earned Income]]</f>
        <v>913648.25</v>
      </c>
      <c r="G19" s="87">
        <f>IFERROR((Table1[[#This Row],[Cont. Income - Foundation]]+Table1[[#This Row],[Cont. Income - Membership]]+Table1[[#This Row],[Cont. Income - Small Donors]]+Table1[[#This Row],[Cont. Income - Med. Donors]]+Table1[[#This Row],[Cont. Income - Major Donors]]+Table1[[#This Row],[Cont. Income - Other]]),0)</f>
        <v>833368.22</v>
      </c>
      <c r="H19" s="87">
        <f>IFERROR((Table1[[#This Row],[Earned Income - Advertising]]+Table1[[#This Row],[Earned Income - Sponsorships/Underwriting]]+Table1[[#This Row],[Earned Income - Events]]+Table1[[#This Row],[Earned Income - Subscriptions]]+Table1[[#This Row],[Earned Income - Syndication]]+Table1[[#This Row],[Earned Income - Other TOTAL]]),0)</f>
        <v>80280.03</v>
      </c>
      <c r="I19" s="74">
        <v>599224</v>
      </c>
      <c r="J19" s="74">
        <v>22192.74</v>
      </c>
      <c r="K19" s="74">
        <v>31817.48</v>
      </c>
      <c r="L19" s="74">
        <v>110610</v>
      </c>
      <c r="M19" s="74">
        <v>38024</v>
      </c>
      <c r="N19" s="74">
        <v>31500</v>
      </c>
      <c r="O19" s="79" t="s">
        <v>650</v>
      </c>
      <c r="P19" s="74">
        <v>31161.73</v>
      </c>
      <c r="Q19" s="74">
        <v>0</v>
      </c>
      <c r="R19" s="74">
        <v>590</v>
      </c>
      <c r="S19" s="74">
        <v>0</v>
      </c>
      <c r="T19" s="74">
        <v>11700</v>
      </c>
      <c r="U19" s="88">
        <f>IFERROR(Table1[[#This Row],[Earned Income - Training Fees]]+Table1[[#This Row],[Earned Income - Fees]]+Table1[[#This Row],[Earned Income - Investments]]+Table1[[#This Row],[Earned Income - Other]],0)</f>
        <v>36828.300000000003</v>
      </c>
      <c r="V19" s="74">
        <v>0</v>
      </c>
      <c r="W19" s="74">
        <v>0</v>
      </c>
      <c r="X19" s="86" t="s">
        <v>617</v>
      </c>
      <c r="Y19" s="74">
        <v>0</v>
      </c>
      <c r="Z19" s="74">
        <v>36828.300000000003</v>
      </c>
      <c r="AA19" s="86" t="s">
        <v>651</v>
      </c>
      <c r="AB19" s="88">
        <f t="shared" si="0"/>
        <v>770137</v>
      </c>
      <c r="AC19" s="74">
        <v>477038</v>
      </c>
      <c r="AD19" s="88">
        <f>SUM(Table1[[#This Row],[Expenses - Revenue Generation]:[Expenses - Admin]])</f>
        <v>293099</v>
      </c>
      <c r="AE19" s="74">
        <v>144739</v>
      </c>
      <c r="AF19" s="74">
        <v>0</v>
      </c>
      <c r="AG19" s="74">
        <v>148360</v>
      </c>
      <c r="AH19" s="75">
        <f>Table1[[#This Row],[Total FTE - Editorial]]+Table1[[#This Row],[Total FTE - Non-Editorial]]</f>
        <v>6</v>
      </c>
      <c r="AI19" s="75">
        <f>Table1[[#This Row],[FTE Salaried - Editorial]]+Table1[[#This Row],[FTE Contractors - Editorial]]</f>
        <v>4</v>
      </c>
      <c r="AJ19" s="57">
        <v>4</v>
      </c>
      <c r="AK19" s="57">
        <v>0</v>
      </c>
      <c r="AL19" s="60">
        <f>Table1[[#This Row],[FTE Salaried - Non-Editorial]]+Table1[[#This Row],[FTE Contractors - Non-Editorial]]</f>
        <v>2</v>
      </c>
      <c r="AM19" s="57">
        <v>2</v>
      </c>
      <c r="AN19" s="57">
        <v>0</v>
      </c>
      <c r="AO19" s="86" t="s">
        <v>351</v>
      </c>
      <c r="AP19" s="86" t="s">
        <v>617</v>
      </c>
      <c r="AQ19" s="76">
        <v>82530</v>
      </c>
      <c r="AR19" s="76">
        <v>18000</v>
      </c>
      <c r="AS19" s="76">
        <v>0</v>
      </c>
      <c r="AT19" s="76">
        <v>0</v>
      </c>
      <c r="AU19" s="76">
        <v>0</v>
      </c>
      <c r="AV19" s="86" t="s">
        <v>617</v>
      </c>
      <c r="BC19" s="54"/>
      <c r="BD19" s="54"/>
      <c r="BE19" s="54"/>
      <c r="BF19" s="54"/>
      <c r="BG19" s="54"/>
      <c r="BI19" s="54"/>
      <c r="BK19" s="54"/>
      <c r="BL19" s="54"/>
      <c r="BM19" s="54"/>
      <c r="BN19" s="54"/>
      <c r="BO19" s="54"/>
      <c r="BP19" s="54"/>
      <c r="BS19" s="54"/>
      <c r="BT19" s="54"/>
      <c r="BU19" s="54"/>
      <c r="BV19" s="54"/>
      <c r="BW19" s="54"/>
    </row>
    <row r="20" spans="1:75" x14ac:dyDescent="0.2">
      <c r="A20" s="86" t="s">
        <v>652</v>
      </c>
      <c r="B20" s="86"/>
      <c r="C20" s="86" t="s">
        <v>83</v>
      </c>
      <c r="D20" s="86" t="s">
        <v>78</v>
      </c>
      <c r="E20" s="54" t="str">
        <f>_xlfn.CONCAT(Table1[[#This Row],[Geographic Scope]],": ",Table1[[#This Row],[Sub-Type/Focus]])</f>
        <v>State: Multiple Related Topics</v>
      </c>
      <c r="F20" s="55">
        <f>Table1[[#This Row],[Total Contributed Income]]+Table1[[#This Row],[Total Earned Income]]</f>
        <v>71958</v>
      </c>
      <c r="G20" s="87">
        <f>IFERROR((Table1[[#This Row],[Cont. Income - Foundation]]+Table1[[#This Row],[Cont. Income - Membership]]+Table1[[#This Row],[Cont. Income - Small Donors]]+Table1[[#This Row],[Cont. Income - Med. Donors]]+Table1[[#This Row],[Cont. Income - Major Donors]]+Table1[[#This Row],[Cont. Income - Other]]),0)</f>
        <v>71178</v>
      </c>
      <c r="H20" s="87">
        <f>IFERROR((Table1[[#This Row],[Earned Income - Advertising]]+Table1[[#This Row],[Earned Income - Sponsorships/Underwriting]]+Table1[[#This Row],[Earned Income - Events]]+Table1[[#This Row],[Earned Income - Subscriptions]]+Table1[[#This Row],[Earned Income - Syndication]]+Table1[[#This Row],[Earned Income - Other TOTAL]]),0)</f>
        <v>780</v>
      </c>
      <c r="I20" s="74">
        <v>34678</v>
      </c>
      <c r="J20" s="74">
        <v>0</v>
      </c>
      <c r="K20" s="74">
        <v>15500</v>
      </c>
      <c r="L20" s="74">
        <v>21000</v>
      </c>
      <c r="M20" s="74">
        <v>0</v>
      </c>
      <c r="N20" s="74">
        <v>0</v>
      </c>
      <c r="O20" s="79" t="s">
        <v>617</v>
      </c>
      <c r="P20" s="74">
        <v>0</v>
      </c>
      <c r="Q20" s="74">
        <v>0</v>
      </c>
      <c r="R20" s="74">
        <v>780</v>
      </c>
      <c r="S20" s="74">
        <v>0</v>
      </c>
      <c r="T20" s="74">
        <v>0</v>
      </c>
      <c r="U20" s="88">
        <f>IFERROR(Table1[[#This Row],[Earned Income - Training Fees]]+Table1[[#This Row],[Earned Income - Fees]]+Table1[[#This Row],[Earned Income - Investments]]+Table1[[#This Row],[Earned Income - Other]],0)</f>
        <v>0</v>
      </c>
      <c r="V20" s="74">
        <v>0</v>
      </c>
      <c r="W20" s="74">
        <v>0</v>
      </c>
      <c r="X20" s="86" t="s">
        <v>617</v>
      </c>
      <c r="Y20" s="74">
        <v>0</v>
      </c>
      <c r="Z20" s="74">
        <v>0</v>
      </c>
      <c r="AA20" s="86" t="s">
        <v>617</v>
      </c>
      <c r="AB20" s="88">
        <f t="shared" si="0"/>
        <v>82040</v>
      </c>
      <c r="AC20" s="74">
        <v>45320</v>
      </c>
      <c r="AD20" s="88">
        <f>SUM(Table1[[#This Row],[Expenses - Revenue Generation]:[Expenses - Admin]])</f>
        <v>36720</v>
      </c>
      <c r="AE20" s="74">
        <v>17717</v>
      </c>
      <c r="AF20" s="74">
        <v>6647</v>
      </c>
      <c r="AG20" s="74">
        <v>12356</v>
      </c>
      <c r="AH20" s="75">
        <f>Table1[[#This Row],[Total FTE - Editorial]]+Table1[[#This Row],[Total FTE - Non-Editorial]]</f>
        <v>1.5</v>
      </c>
      <c r="AI20" s="75">
        <f>Table1[[#This Row],[FTE Salaried - Editorial]]+Table1[[#This Row],[FTE Contractors - Editorial]]</f>
        <v>1</v>
      </c>
      <c r="AJ20" s="57">
        <v>1</v>
      </c>
      <c r="AK20" s="57">
        <v>0</v>
      </c>
      <c r="AL20" s="60">
        <f>Table1[[#This Row],[FTE Salaried - Non-Editorial]]+Table1[[#This Row],[FTE Contractors - Non-Editorial]]</f>
        <v>0.5</v>
      </c>
      <c r="AM20" s="57">
        <v>0.5</v>
      </c>
      <c r="AN20" s="57">
        <v>0</v>
      </c>
      <c r="AO20" s="86" t="s">
        <v>351</v>
      </c>
      <c r="AP20" s="86" t="s">
        <v>617</v>
      </c>
      <c r="AQ20" s="76">
        <v>1217</v>
      </c>
      <c r="AR20" s="76">
        <v>2900</v>
      </c>
      <c r="AS20" s="76">
        <v>0</v>
      </c>
      <c r="AT20" s="76">
        <v>0</v>
      </c>
      <c r="AU20" s="76">
        <v>0</v>
      </c>
      <c r="AV20" s="86" t="s">
        <v>617</v>
      </c>
      <c r="BC20" s="54"/>
      <c r="BD20" s="54"/>
      <c r="BE20" s="54"/>
      <c r="BF20" s="54"/>
      <c r="BG20" s="54"/>
      <c r="BI20" s="54"/>
      <c r="BK20" s="54"/>
      <c r="BL20" s="54"/>
      <c r="BM20" s="54"/>
      <c r="BN20" s="54"/>
      <c r="BO20" s="54"/>
      <c r="BP20" s="54"/>
      <c r="BS20" s="54"/>
      <c r="BT20" s="54"/>
      <c r="BU20" s="54"/>
      <c r="BV20" s="54"/>
      <c r="BW20" s="54"/>
    </row>
    <row r="21" spans="1:75" x14ac:dyDescent="0.2">
      <c r="A21" s="86" t="s">
        <v>653</v>
      </c>
      <c r="B21" s="86"/>
      <c r="C21" s="86" t="s">
        <v>83</v>
      </c>
      <c r="D21" s="86" t="s">
        <v>78</v>
      </c>
      <c r="E21" s="54" t="str">
        <f>_xlfn.CONCAT(Table1[[#This Row],[Geographic Scope]],": ",Table1[[#This Row],[Sub-Type/Focus]])</f>
        <v>State: Multiple Related Topics</v>
      </c>
      <c r="F21" s="55">
        <f>Table1[[#This Row],[Total Contributed Income]]+Table1[[#This Row],[Total Earned Income]]</f>
        <v>532822</v>
      </c>
      <c r="G21" s="87">
        <f>IFERROR((Table1[[#This Row],[Cont. Income - Foundation]]+Table1[[#This Row],[Cont. Income - Membership]]+Table1[[#This Row],[Cont. Income - Small Donors]]+Table1[[#This Row],[Cont. Income - Med. Donors]]+Table1[[#This Row],[Cont. Income - Major Donors]]+Table1[[#This Row],[Cont. Income - Other]]),0)</f>
        <v>532763</v>
      </c>
      <c r="H21" s="87">
        <f>IFERROR((Table1[[#This Row],[Earned Income - Advertising]]+Table1[[#This Row],[Earned Income - Sponsorships/Underwriting]]+Table1[[#This Row],[Earned Income - Events]]+Table1[[#This Row],[Earned Income - Subscriptions]]+Table1[[#This Row],[Earned Income - Syndication]]+Table1[[#This Row],[Earned Income - Other TOTAL]]),0)</f>
        <v>59</v>
      </c>
      <c r="I21" s="74">
        <v>366500</v>
      </c>
      <c r="J21" s="74">
        <v>0</v>
      </c>
      <c r="K21" s="74">
        <v>130234</v>
      </c>
      <c r="L21" s="74">
        <v>21029</v>
      </c>
      <c r="M21" s="74">
        <v>15000</v>
      </c>
      <c r="N21" s="74">
        <v>0</v>
      </c>
      <c r="O21" s="79" t="s">
        <v>617</v>
      </c>
      <c r="P21" s="74">
        <v>0</v>
      </c>
      <c r="Q21" s="74">
        <v>0</v>
      </c>
      <c r="R21" s="74">
        <v>0</v>
      </c>
      <c r="S21" s="74">
        <v>0</v>
      </c>
      <c r="T21" s="74">
        <v>59</v>
      </c>
      <c r="U21" s="88">
        <f>IFERROR(Table1[[#This Row],[Earned Income - Training Fees]]+Table1[[#This Row],[Earned Income - Fees]]+Table1[[#This Row],[Earned Income - Investments]]+Table1[[#This Row],[Earned Income - Other]],0)</f>
        <v>0</v>
      </c>
      <c r="V21" s="74">
        <v>0</v>
      </c>
      <c r="W21" s="74">
        <v>0</v>
      </c>
      <c r="X21" s="86" t="s">
        <v>617</v>
      </c>
      <c r="Y21" s="74">
        <v>0</v>
      </c>
      <c r="Z21" s="74">
        <v>0</v>
      </c>
      <c r="AA21" s="86" t="s">
        <v>617</v>
      </c>
      <c r="AB21" s="88">
        <f t="shared" si="0"/>
        <v>522888</v>
      </c>
      <c r="AC21" s="74">
        <v>343770</v>
      </c>
      <c r="AD21" s="88">
        <f>SUM(Table1[[#This Row],[Expenses - Revenue Generation]:[Expenses - Admin]])</f>
        <v>179118</v>
      </c>
      <c r="AE21" s="74">
        <v>66855</v>
      </c>
      <c r="AF21" s="74">
        <v>39750</v>
      </c>
      <c r="AG21" s="74">
        <v>72513</v>
      </c>
      <c r="AH21" s="75">
        <f>Table1[[#This Row],[Total FTE - Editorial]]+Table1[[#This Row],[Total FTE - Non-Editorial]]</f>
        <v>4.5999999999999996</v>
      </c>
      <c r="AI21" s="75">
        <f>Table1[[#This Row],[FTE Salaried - Editorial]]+Table1[[#This Row],[FTE Contractors - Editorial]]</f>
        <v>3.6</v>
      </c>
      <c r="AJ21" s="57">
        <v>1.4</v>
      </c>
      <c r="AK21" s="57">
        <v>2.2000000000000002</v>
      </c>
      <c r="AL21" s="60">
        <f>Table1[[#This Row],[FTE Salaried - Non-Editorial]]+Table1[[#This Row],[FTE Contractors - Non-Editorial]]</f>
        <v>1</v>
      </c>
      <c r="AM21" s="57">
        <v>0</v>
      </c>
      <c r="AN21" s="57">
        <v>1</v>
      </c>
      <c r="AO21" s="86" t="s">
        <v>351</v>
      </c>
      <c r="AP21" s="86" t="s">
        <v>617</v>
      </c>
      <c r="AQ21" s="76">
        <v>69914</v>
      </c>
      <c r="AR21" s="76">
        <v>9830</v>
      </c>
      <c r="AS21" s="76">
        <v>0</v>
      </c>
      <c r="AT21" s="76">
        <v>0</v>
      </c>
      <c r="AU21" s="76">
        <v>0</v>
      </c>
      <c r="AV21" s="86" t="s">
        <v>617</v>
      </c>
      <c r="BC21" s="54"/>
      <c r="BD21" s="54"/>
      <c r="BE21" s="54"/>
      <c r="BF21" s="54"/>
      <c r="BG21" s="54"/>
      <c r="BI21" s="54"/>
      <c r="BK21" s="54"/>
      <c r="BL21" s="54"/>
      <c r="BM21" s="54"/>
      <c r="BN21" s="54"/>
      <c r="BO21" s="54"/>
      <c r="BP21" s="54"/>
      <c r="BS21" s="54"/>
      <c r="BT21" s="54"/>
      <c r="BU21" s="54"/>
      <c r="BV21" s="54"/>
      <c r="BW21" s="54"/>
    </row>
    <row r="22" spans="1:75" x14ac:dyDescent="0.2">
      <c r="A22" s="86" t="s">
        <v>654</v>
      </c>
      <c r="B22" s="86"/>
      <c r="C22" s="86" t="s">
        <v>83</v>
      </c>
      <c r="D22" s="86" t="s">
        <v>79</v>
      </c>
      <c r="E22" s="54" t="str">
        <f>_xlfn.CONCAT(Table1[[#This Row],[Geographic Scope]],": ",Table1[[#This Row],[Sub-Type/Focus]])</f>
        <v>State: Single-Topic</v>
      </c>
      <c r="F22" s="55">
        <f>Table1[[#This Row],[Total Contributed Income]]+Table1[[#This Row],[Total Earned Income]]</f>
        <v>197366</v>
      </c>
      <c r="G22" s="87">
        <f>IFERROR((Table1[[#This Row],[Cont. Income - Foundation]]+Table1[[#This Row],[Cont. Income - Membership]]+Table1[[#This Row],[Cont. Income - Small Donors]]+Table1[[#This Row],[Cont. Income - Med. Donors]]+Table1[[#This Row],[Cont. Income - Major Donors]]+Table1[[#This Row],[Cont. Income - Other]]),0)</f>
        <v>164366</v>
      </c>
      <c r="H22" s="87">
        <f>IFERROR((Table1[[#This Row],[Earned Income - Advertising]]+Table1[[#This Row],[Earned Income - Sponsorships/Underwriting]]+Table1[[#This Row],[Earned Income - Events]]+Table1[[#This Row],[Earned Income - Subscriptions]]+Table1[[#This Row],[Earned Income - Syndication]]+Table1[[#This Row],[Earned Income - Other TOTAL]]),0)</f>
        <v>33000</v>
      </c>
      <c r="I22" s="74">
        <v>100000</v>
      </c>
      <c r="J22" s="74">
        <v>0</v>
      </c>
      <c r="K22" s="74">
        <v>32166</v>
      </c>
      <c r="L22" s="74">
        <v>22200</v>
      </c>
      <c r="M22" s="74">
        <v>10000</v>
      </c>
      <c r="N22" s="74">
        <v>0</v>
      </c>
      <c r="O22" s="79" t="s">
        <v>617</v>
      </c>
      <c r="P22" s="74">
        <v>0</v>
      </c>
      <c r="Q22" s="74">
        <v>0</v>
      </c>
      <c r="R22" s="74">
        <v>0</v>
      </c>
      <c r="S22" s="74">
        <v>0</v>
      </c>
      <c r="T22" s="74">
        <v>0</v>
      </c>
      <c r="U22" s="88">
        <f>IFERROR(Table1[[#This Row],[Earned Income - Training Fees]]+Table1[[#This Row],[Earned Income - Fees]]+Table1[[#This Row],[Earned Income - Investments]]+Table1[[#This Row],[Earned Income - Other]],0)</f>
        <v>33000</v>
      </c>
      <c r="V22" s="74">
        <v>10000</v>
      </c>
      <c r="W22" s="74">
        <v>0</v>
      </c>
      <c r="X22" s="86" t="s">
        <v>617</v>
      </c>
      <c r="Y22" s="74">
        <v>0</v>
      </c>
      <c r="Z22" s="74">
        <v>23000</v>
      </c>
      <c r="AA22" s="86" t="s">
        <v>655</v>
      </c>
      <c r="AB22" s="88">
        <f t="shared" si="0"/>
        <v>187582</v>
      </c>
      <c r="AC22" s="74">
        <v>170260</v>
      </c>
      <c r="AD22" s="88">
        <f>SUM(Table1[[#This Row],[Expenses - Revenue Generation]:[Expenses - Admin]])</f>
        <v>17322</v>
      </c>
      <c r="AE22" s="74">
        <v>1100</v>
      </c>
      <c r="AF22" s="74">
        <v>4040</v>
      </c>
      <c r="AG22" s="74">
        <v>12182</v>
      </c>
      <c r="AH22" s="75">
        <f>Table1[[#This Row],[Total FTE - Editorial]]+Table1[[#This Row],[Total FTE - Non-Editorial]]</f>
        <v>6</v>
      </c>
      <c r="AI22" s="75">
        <f>Table1[[#This Row],[FTE Salaried - Editorial]]+Table1[[#This Row],[FTE Contractors - Editorial]]</f>
        <v>6</v>
      </c>
      <c r="AJ22" s="57">
        <v>0</v>
      </c>
      <c r="AK22" s="57">
        <v>6</v>
      </c>
      <c r="AL22" s="60">
        <f>Table1[[#This Row],[FTE Salaried - Non-Editorial]]+Table1[[#This Row],[FTE Contractors - Non-Editorial]]</f>
        <v>0</v>
      </c>
      <c r="AM22" s="57">
        <v>0</v>
      </c>
      <c r="AN22" s="57">
        <v>0</v>
      </c>
      <c r="AO22" s="86" t="s">
        <v>351</v>
      </c>
      <c r="AP22" s="86" t="s">
        <v>617</v>
      </c>
      <c r="AQ22" s="76">
        <v>12116</v>
      </c>
      <c r="AR22" s="76">
        <v>5300</v>
      </c>
      <c r="AS22" s="76">
        <v>0</v>
      </c>
      <c r="AT22" s="76">
        <v>0</v>
      </c>
      <c r="AU22" s="76">
        <v>0</v>
      </c>
      <c r="AV22" s="86" t="s">
        <v>617</v>
      </c>
      <c r="BC22" s="54"/>
      <c r="BD22" s="54"/>
      <c r="BE22" s="54"/>
      <c r="BF22" s="54"/>
      <c r="BG22" s="54"/>
      <c r="BI22" s="54"/>
      <c r="BK22" s="54"/>
      <c r="BL22" s="54"/>
      <c r="BM22" s="54"/>
      <c r="BN22" s="54"/>
      <c r="BO22" s="54"/>
      <c r="BP22" s="54"/>
      <c r="BS22" s="54"/>
      <c r="BT22" s="54"/>
      <c r="BU22" s="54"/>
      <c r="BV22" s="54"/>
      <c r="BW22" s="54"/>
    </row>
    <row r="23" spans="1:75" x14ac:dyDescent="0.2">
      <c r="A23" s="86" t="s">
        <v>656</v>
      </c>
      <c r="B23" s="86"/>
      <c r="C23" s="86" t="s">
        <v>6</v>
      </c>
      <c r="D23" s="86" t="s">
        <v>79</v>
      </c>
      <c r="E23" s="54" t="str">
        <f>_xlfn.CONCAT(Table1[[#This Row],[Geographic Scope]],": ",Table1[[#This Row],[Sub-Type/Focus]])</f>
        <v>National: Single-Topic</v>
      </c>
      <c r="F23" s="55">
        <f>Table1[[#This Row],[Total Contributed Income]]+Table1[[#This Row],[Total Earned Income]]</f>
        <v>1131191</v>
      </c>
      <c r="G23" s="87">
        <f>IFERROR((Table1[[#This Row],[Cont. Income - Foundation]]+Table1[[#This Row],[Cont. Income - Membership]]+Table1[[#This Row],[Cont. Income - Small Donors]]+Table1[[#This Row],[Cont. Income - Med. Donors]]+Table1[[#This Row],[Cont. Income - Major Donors]]+Table1[[#This Row],[Cont. Income - Other]]),0)</f>
        <v>471850</v>
      </c>
      <c r="H23" s="87">
        <f>IFERROR((Table1[[#This Row],[Earned Income - Advertising]]+Table1[[#This Row],[Earned Income - Sponsorships/Underwriting]]+Table1[[#This Row],[Earned Income - Events]]+Table1[[#This Row],[Earned Income - Subscriptions]]+Table1[[#This Row],[Earned Income - Syndication]]+Table1[[#This Row],[Earned Income - Other TOTAL]]),0)</f>
        <v>659341</v>
      </c>
      <c r="I23" s="74">
        <v>455820</v>
      </c>
      <c r="J23" s="74">
        <v>0</v>
      </c>
      <c r="K23" s="74">
        <v>13030</v>
      </c>
      <c r="L23" s="74">
        <v>3000</v>
      </c>
      <c r="M23" s="74">
        <v>0</v>
      </c>
      <c r="N23" s="74">
        <v>0</v>
      </c>
      <c r="O23" s="79" t="s">
        <v>617</v>
      </c>
      <c r="P23" s="74">
        <v>418168</v>
      </c>
      <c r="Q23" s="74">
        <v>0</v>
      </c>
      <c r="R23" s="74">
        <v>13200</v>
      </c>
      <c r="S23" s="74">
        <v>227973</v>
      </c>
      <c r="T23" s="74">
        <v>0</v>
      </c>
      <c r="U23" s="88">
        <f>IFERROR(Table1[[#This Row],[Earned Income - Training Fees]]+Table1[[#This Row],[Earned Income - Fees]]+Table1[[#This Row],[Earned Income - Investments]]+Table1[[#This Row],[Earned Income - Other]],0)</f>
        <v>0</v>
      </c>
      <c r="V23" s="74">
        <v>0</v>
      </c>
      <c r="W23" s="74">
        <v>0</v>
      </c>
      <c r="X23" s="86" t="s">
        <v>617</v>
      </c>
      <c r="Y23" s="74">
        <v>0</v>
      </c>
      <c r="Z23" s="74">
        <v>0</v>
      </c>
      <c r="AA23" s="86" t="s">
        <v>617</v>
      </c>
      <c r="AB23" s="88">
        <f t="shared" si="0"/>
        <v>1131190</v>
      </c>
      <c r="AC23" s="74">
        <v>694000</v>
      </c>
      <c r="AD23" s="88">
        <f>SUM(Table1[[#This Row],[Expenses - Revenue Generation]:[Expenses - Admin]])</f>
        <v>437190</v>
      </c>
      <c r="AE23" s="74">
        <v>260000</v>
      </c>
      <c r="AF23" s="74">
        <v>7500</v>
      </c>
      <c r="AG23" s="74">
        <v>169690</v>
      </c>
      <c r="AH23" s="75">
        <f>Table1[[#This Row],[Total FTE - Editorial]]+Table1[[#This Row],[Total FTE - Non-Editorial]]</f>
        <v>7.75</v>
      </c>
      <c r="AI23" s="75">
        <f>Table1[[#This Row],[FTE Salaried - Editorial]]+Table1[[#This Row],[FTE Contractors - Editorial]]</f>
        <v>5</v>
      </c>
      <c r="AJ23" s="57">
        <v>4.5</v>
      </c>
      <c r="AK23" s="57">
        <v>0.5</v>
      </c>
      <c r="AL23" s="60">
        <f>Table1[[#This Row],[FTE Salaried - Non-Editorial]]+Table1[[#This Row],[FTE Contractors - Non-Editorial]]</f>
        <v>2.75</v>
      </c>
      <c r="AM23" s="57">
        <v>1.5</v>
      </c>
      <c r="AN23" s="57">
        <v>1.25</v>
      </c>
      <c r="AO23" s="86" t="s">
        <v>351</v>
      </c>
      <c r="AP23" s="86" t="s">
        <v>617</v>
      </c>
      <c r="AQ23" s="76">
        <v>50000</v>
      </c>
      <c r="AR23" s="76">
        <v>5000</v>
      </c>
      <c r="AS23" s="76">
        <v>2300</v>
      </c>
      <c r="AT23" s="76">
        <v>8</v>
      </c>
      <c r="AU23" s="76">
        <v>0</v>
      </c>
      <c r="AV23" s="86" t="s">
        <v>617</v>
      </c>
      <c r="BC23" s="54"/>
      <c r="BD23" s="54"/>
      <c r="BE23" s="54"/>
      <c r="BF23" s="54"/>
      <c r="BG23" s="54"/>
      <c r="BI23" s="54"/>
      <c r="BK23" s="54"/>
      <c r="BL23" s="54"/>
      <c r="BM23" s="54"/>
      <c r="BN23" s="54"/>
      <c r="BO23" s="54"/>
      <c r="BP23" s="54"/>
      <c r="BS23" s="54"/>
      <c r="BT23" s="54"/>
      <c r="BU23" s="54"/>
      <c r="BV23" s="54"/>
      <c r="BW23" s="54"/>
    </row>
    <row r="24" spans="1:75" x14ac:dyDescent="0.2">
      <c r="A24" s="86" t="s">
        <v>657</v>
      </c>
      <c r="B24" s="86"/>
      <c r="C24" s="83" t="s">
        <v>7</v>
      </c>
      <c r="D24" s="86" t="s">
        <v>79</v>
      </c>
      <c r="E24" s="54" t="str">
        <f>_xlfn.CONCAT(Table1[[#This Row],[Geographic Scope]],": ",Table1[[#This Row],[Sub-Type/Focus]])</f>
        <v>Local: Single-Topic</v>
      </c>
      <c r="F24" s="55">
        <f>Table1[[#This Row],[Total Contributed Income]]+Table1[[#This Row],[Total Earned Income]]</f>
        <v>147716.78999999998</v>
      </c>
      <c r="G24" s="87">
        <f>IFERROR((Table1[[#This Row],[Cont. Income - Foundation]]+Table1[[#This Row],[Cont. Income - Membership]]+Table1[[#This Row],[Cont. Income - Small Donors]]+Table1[[#This Row],[Cont. Income - Med. Donors]]+Table1[[#This Row],[Cont. Income - Major Donors]]+Table1[[#This Row],[Cont. Income - Other]]),0)</f>
        <v>147716.78999999998</v>
      </c>
      <c r="H24" s="87">
        <f>IFERROR((Table1[[#This Row],[Earned Income - Advertising]]+Table1[[#This Row],[Earned Income - Sponsorships/Underwriting]]+Table1[[#This Row],[Earned Income - Events]]+Table1[[#This Row],[Earned Income - Subscriptions]]+Table1[[#This Row],[Earned Income - Syndication]]+Table1[[#This Row],[Earned Income - Other TOTAL]]),0)</f>
        <v>0</v>
      </c>
      <c r="I24" s="74">
        <v>104716.79</v>
      </c>
      <c r="J24" s="74">
        <v>0</v>
      </c>
      <c r="K24" s="74">
        <v>3000</v>
      </c>
      <c r="L24" s="74">
        <v>40000</v>
      </c>
      <c r="M24" s="74">
        <v>0</v>
      </c>
      <c r="N24" s="74">
        <v>0</v>
      </c>
      <c r="O24" s="79" t="s">
        <v>617</v>
      </c>
      <c r="P24" s="74">
        <v>0</v>
      </c>
      <c r="Q24" s="74">
        <v>0</v>
      </c>
      <c r="R24" s="74">
        <v>0</v>
      </c>
      <c r="S24" s="74">
        <v>0</v>
      </c>
      <c r="T24" s="74">
        <v>0</v>
      </c>
      <c r="U24" s="88">
        <f>IFERROR(Table1[[#This Row],[Earned Income - Training Fees]]+Table1[[#This Row],[Earned Income - Fees]]+Table1[[#This Row],[Earned Income - Investments]]+Table1[[#This Row],[Earned Income - Other]],0)</f>
        <v>0</v>
      </c>
      <c r="V24" s="74">
        <v>0</v>
      </c>
      <c r="W24" s="74">
        <v>0</v>
      </c>
      <c r="X24" s="86" t="s">
        <v>617</v>
      </c>
      <c r="Y24" s="74">
        <v>0</v>
      </c>
      <c r="Z24" s="74">
        <v>0</v>
      </c>
      <c r="AA24" s="86" t="s">
        <v>617</v>
      </c>
      <c r="AB24" s="88">
        <f t="shared" si="0"/>
        <v>160646</v>
      </c>
      <c r="AC24" s="74">
        <v>146907</v>
      </c>
      <c r="AD24" s="88">
        <f>SUM(Table1[[#This Row],[Expenses - Revenue Generation]:[Expenses - Admin]])</f>
        <v>13739</v>
      </c>
      <c r="AE24" s="74">
        <v>0</v>
      </c>
      <c r="AF24" s="74">
        <v>13739</v>
      </c>
      <c r="AG24" s="74">
        <v>0</v>
      </c>
      <c r="AH24" s="75">
        <f>Table1[[#This Row],[Total FTE - Editorial]]+Table1[[#This Row],[Total FTE - Non-Editorial]]</f>
        <v>3</v>
      </c>
      <c r="AI24" s="75">
        <f>Table1[[#This Row],[FTE Salaried - Editorial]]+Table1[[#This Row],[FTE Contractors - Editorial]]</f>
        <v>3</v>
      </c>
      <c r="AJ24" s="57">
        <v>2</v>
      </c>
      <c r="AK24" s="57">
        <v>1</v>
      </c>
      <c r="AL24" s="60">
        <f>Table1[[#This Row],[FTE Salaried - Non-Editorial]]+Table1[[#This Row],[FTE Contractors - Non-Editorial]]</f>
        <v>0</v>
      </c>
      <c r="AM24" s="57">
        <v>0</v>
      </c>
      <c r="AN24" s="57">
        <v>0</v>
      </c>
      <c r="AO24" s="86" t="s">
        <v>351</v>
      </c>
      <c r="AP24" s="86" t="s">
        <v>617</v>
      </c>
      <c r="AQ24" s="76">
        <v>20000</v>
      </c>
      <c r="AR24" s="76">
        <v>3300</v>
      </c>
      <c r="AS24" s="76">
        <v>0</v>
      </c>
      <c r="AT24" s="76">
        <v>0</v>
      </c>
      <c r="AU24" s="76">
        <v>0</v>
      </c>
      <c r="AV24" s="86" t="s">
        <v>617</v>
      </c>
      <c r="BC24" s="54"/>
      <c r="BD24" s="54"/>
      <c r="BE24" s="54"/>
      <c r="BF24" s="54"/>
      <c r="BG24" s="54"/>
      <c r="BI24" s="54"/>
      <c r="BK24" s="54"/>
      <c r="BL24" s="54"/>
      <c r="BM24" s="54"/>
      <c r="BN24" s="54"/>
      <c r="BO24" s="54"/>
      <c r="BP24" s="54"/>
      <c r="BS24" s="54"/>
      <c r="BT24" s="54"/>
      <c r="BU24" s="54"/>
      <c r="BV24" s="54"/>
      <c r="BW24" s="54"/>
    </row>
    <row r="25" spans="1:75" x14ac:dyDescent="0.2">
      <c r="A25" s="86" t="s">
        <v>658</v>
      </c>
      <c r="B25" s="86"/>
      <c r="C25" s="86" t="s">
        <v>83</v>
      </c>
      <c r="D25" s="86" t="s">
        <v>79</v>
      </c>
      <c r="E25" s="54" t="str">
        <f>_xlfn.CONCAT(Table1[[#This Row],[Geographic Scope]],": ",Table1[[#This Row],[Sub-Type/Focus]])</f>
        <v>State: Single-Topic</v>
      </c>
      <c r="F25" s="55">
        <f>Table1[[#This Row],[Total Contributed Income]]+Table1[[#This Row],[Total Earned Income]]</f>
        <v>248231</v>
      </c>
      <c r="G25" s="87">
        <f>IFERROR((Table1[[#This Row],[Cont. Income - Foundation]]+Table1[[#This Row],[Cont. Income - Membership]]+Table1[[#This Row],[Cont. Income - Small Donors]]+Table1[[#This Row],[Cont. Income - Med. Donors]]+Table1[[#This Row],[Cont. Income - Major Donors]]+Table1[[#This Row],[Cont. Income - Other]]),0)</f>
        <v>211786</v>
      </c>
      <c r="H25" s="87">
        <f>IFERROR((Table1[[#This Row],[Earned Income - Advertising]]+Table1[[#This Row],[Earned Income - Sponsorships/Underwriting]]+Table1[[#This Row],[Earned Income - Events]]+Table1[[#This Row],[Earned Income - Subscriptions]]+Table1[[#This Row],[Earned Income - Syndication]]+Table1[[#This Row],[Earned Income - Other TOTAL]]),0)</f>
        <v>36445</v>
      </c>
      <c r="I25" s="74">
        <v>115050</v>
      </c>
      <c r="J25" s="74">
        <v>0</v>
      </c>
      <c r="K25" s="74">
        <v>52948</v>
      </c>
      <c r="L25" s="74">
        <v>13788</v>
      </c>
      <c r="M25" s="74">
        <v>30000</v>
      </c>
      <c r="N25" s="74">
        <v>0</v>
      </c>
      <c r="O25" s="79" t="s">
        <v>617</v>
      </c>
      <c r="P25" s="74">
        <v>13504</v>
      </c>
      <c r="Q25" s="74">
        <v>2000</v>
      </c>
      <c r="R25" s="74">
        <v>20891</v>
      </c>
      <c r="S25" s="74">
        <v>0</v>
      </c>
      <c r="T25" s="74">
        <v>50</v>
      </c>
      <c r="U25" s="88">
        <f>IFERROR(Table1[[#This Row],[Earned Income - Training Fees]]+Table1[[#This Row],[Earned Income - Fees]]+Table1[[#This Row],[Earned Income - Investments]]+Table1[[#This Row],[Earned Income - Other]],0)</f>
        <v>0</v>
      </c>
      <c r="V25" s="74">
        <v>0</v>
      </c>
      <c r="W25" s="74">
        <v>0</v>
      </c>
      <c r="X25" s="86" t="s">
        <v>617</v>
      </c>
      <c r="Y25" s="74">
        <v>0</v>
      </c>
      <c r="Z25" s="74">
        <v>0</v>
      </c>
      <c r="AA25" s="86" t="s">
        <v>617</v>
      </c>
      <c r="AB25" s="88">
        <f t="shared" si="0"/>
        <v>178000</v>
      </c>
      <c r="AC25" s="74">
        <v>128000</v>
      </c>
      <c r="AD25" s="88">
        <f>SUM(Table1[[#This Row],[Expenses - Revenue Generation]:[Expenses - Admin]])</f>
        <v>50000</v>
      </c>
      <c r="AE25" s="74">
        <v>30000</v>
      </c>
      <c r="AF25" s="74">
        <v>7000</v>
      </c>
      <c r="AG25" s="74">
        <v>13000</v>
      </c>
      <c r="AH25" s="75">
        <f>Table1[[#This Row],[Total FTE - Editorial]]+Table1[[#This Row],[Total FTE - Non-Editorial]]</f>
        <v>5</v>
      </c>
      <c r="AI25" s="75">
        <f>Table1[[#This Row],[FTE Salaried - Editorial]]+Table1[[#This Row],[FTE Contractors - Editorial]]</f>
        <v>4</v>
      </c>
      <c r="AJ25" s="57">
        <v>3</v>
      </c>
      <c r="AK25" s="57">
        <v>1</v>
      </c>
      <c r="AL25" s="60">
        <f>Table1[[#This Row],[FTE Salaried - Non-Editorial]]+Table1[[#This Row],[FTE Contractors - Non-Editorial]]</f>
        <v>1</v>
      </c>
      <c r="AM25" s="57">
        <v>1</v>
      </c>
      <c r="AN25" s="57">
        <v>0</v>
      </c>
      <c r="AO25" s="86" t="s">
        <v>351</v>
      </c>
      <c r="AP25" s="86" t="s">
        <v>617</v>
      </c>
      <c r="AQ25" s="76">
        <v>28032</v>
      </c>
      <c r="AR25" s="76">
        <v>13000</v>
      </c>
      <c r="AS25" s="76">
        <v>0</v>
      </c>
      <c r="AT25" s="76">
        <v>0</v>
      </c>
      <c r="AU25" s="76">
        <v>0</v>
      </c>
      <c r="AV25" s="86" t="s">
        <v>617</v>
      </c>
      <c r="BC25" s="54"/>
      <c r="BD25" s="54"/>
      <c r="BE25" s="54"/>
      <c r="BF25" s="54"/>
      <c r="BG25" s="54"/>
      <c r="BI25" s="54"/>
      <c r="BK25" s="54"/>
      <c r="BL25" s="54"/>
      <c r="BM25" s="54"/>
      <c r="BN25" s="54"/>
      <c r="BO25" s="54"/>
      <c r="BP25" s="54"/>
      <c r="BS25" s="54"/>
      <c r="BT25" s="54"/>
      <c r="BU25" s="54"/>
      <c r="BV25" s="54"/>
      <c r="BW25" s="54"/>
    </row>
    <row r="26" spans="1:75" x14ac:dyDescent="0.2">
      <c r="A26" s="86" t="s">
        <v>659</v>
      </c>
      <c r="B26" s="86"/>
      <c r="C26" s="86" t="s">
        <v>83</v>
      </c>
      <c r="D26" s="86" t="s">
        <v>78</v>
      </c>
      <c r="E26" s="54" t="str">
        <f>_xlfn.CONCAT(Table1[[#This Row],[Geographic Scope]],": ",Table1[[#This Row],[Sub-Type/Focus]])</f>
        <v>State: Multiple Related Topics</v>
      </c>
      <c r="F26" s="55">
        <f>Table1[[#This Row],[Total Contributed Income]]+Table1[[#This Row],[Total Earned Income]]</f>
        <v>4690848</v>
      </c>
      <c r="G26" s="87">
        <f>IFERROR((Table1[[#This Row],[Cont. Income - Foundation]]+Table1[[#This Row],[Cont. Income - Membership]]+Table1[[#This Row],[Cont. Income - Small Donors]]+Table1[[#This Row],[Cont. Income - Med. Donors]]+Table1[[#This Row],[Cont. Income - Major Donors]]+Table1[[#This Row],[Cont. Income - Other]]),0)</f>
        <v>4433973</v>
      </c>
      <c r="H26" s="87">
        <f>IFERROR((Table1[[#This Row],[Earned Income - Advertising]]+Table1[[#This Row],[Earned Income - Sponsorships/Underwriting]]+Table1[[#This Row],[Earned Income - Events]]+Table1[[#This Row],[Earned Income - Subscriptions]]+Table1[[#This Row],[Earned Income - Syndication]]+Table1[[#This Row],[Earned Income - Other TOTAL]]),0)</f>
        <v>256875</v>
      </c>
      <c r="I26" s="74">
        <v>4415614</v>
      </c>
      <c r="J26" s="74">
        <v>0</v>
      </c>
      <c r="K26" s="74">
        <v>13359</v>
      </c>
      <c r="L26" s="74">
        <v>5000</v>
      </c>
      <c r="M26" s="74">
        <v>0</v>
      </c>
      <c r="N26" s="74">
        <v>0</v>
      </c>
      <c r="O26" s="79" t="s">
        <v>617</v>
      </c>
      <c r="P26" s="74">
        <v>0</v>
      </c>
      <c r="Q26" s="74">
        <v>0</v>
      </c>
      <c r="R26" s="74">
        <v>0</v>
      </c>
      <c r="S26" s="74">
        <v>0</v>
      </c>
      <c r="T26" s="74">
        <v>0</v>
      </c>
      <c r="U26" s="88">
        <f>IFERROR(Table1[[#This Row],[Earned Income - Training Fees]]+Table1[[#This Row],[Earned Income - Fees]]+Table1[[#This Row],[Earned Income - Investments]]+Table1[[#This Row],[Earned Income - Other]],0)</f>
        <v>256875</v>
      </c>
      <c r="V26" s="74">
        <v>0</v>
      </c>
      <c r="W26" s="74">
        <v>243666</v>
      </c>
      <c r="X26" s="86" t="s">
        <v>660</v>
      </c>
      <c r="Y26" s="74">
        <v>571</v>
      </c>
      <c r="Z26" s="74">
        <v>12638</v>
      </c>
      <c r="AA26" s="86" t="s">
        <v>661</v>
      </c>
      <c r="AB26" s="88">
        <f t="shared" si="0"/>
        <v>199371</v>
      </c>
      <c r="AC26" s="74">
        <v>151826</v>
      </c>
      <c r="AD26" s="88">
        <f>SUM(Table1[[#This Row],[Expenses - Revenue Generation]:[Expenses - Admin]])</f>
        <v>47545</v>
      </c>
      <c r="AE26" s="74">
        <v>5063</v>
      </c>
      <c r="AF26" s="74">
        <v>31459</v>
      </c>
      <c r="AG26" s="74">
        <v>11023</v>
      </c>
      <c r="AH26" s="75">
        <f>Table1[[#This Row],[Total FTE - Editorial]]+Table1[[#This Row],[Total FTE - Non-Editorial]]</f>
        <v>23</v>
      </c>
      <c r="AI26" s="75">
        <f>Table1[[#This Row],[FTE Salaried - Editorial]]+Table1[[#This Row],[FTE Contractors - Editorial]]</f>
        <v>19</v>
      </c>
      <c r="AJ26" s="57">
        <v>19</v>
      </c>
      <c r="AK26" s="57">
        <v>0</v>
      </c>
      <c r="AL26" s="60">
        <f>Table1[[#This Row],[FTE Salaried - Non-Editorial]]+Table1[[#This Row],[FTE Contractors - Non-Editorial]]</f>
        <v>4</v>
      </c>
      <c r="AM26" s="57">
        <v>4</v>
      </c>
      <c r="AN26" s="57">
        <v>0</v>
      </c>
      <c r="AO26" s="86" t="s">
        <v>351</v>
      </c>
      <c r="AP26" s="86" t="s">
        <v>617</v>
      </c>
      <c r="AQ26" s="76">
        <v>301639</v>
      </c>
      <c r="AR26" s="76">
        <v>28800</v>
      </c>
      <c r="AS26" s="76">
        <v>0</v>
      </c>
      <c r="AT26" s="76">
        <v>0</v>
      </c>
      <c r="AU26" s="76">
        <v>43474</v>
      </c>
      <c r="AV26" s="86" t="s">
        <v>617</v>
      </c>
      <c r="BC26" s="54"/>
      <c r="BD26" s="54"/>
      <c r="BE26" s="54"/>
      <c r="BF26" s="54"/>
      <c r="BG26" s="54"/>
      <c r="BI26" s="54"/>
      <c r="BK26" s="54"/>
      <c r="BL26" s="54"/>
      <c r="BM26" s="54"/>
      <c r="BN26" s="54"/>
      <c r="BO26" s="54"/>
      <c r="BP26" s="54"/>
      <c r="BS26" s="54"/>
      <c r="BT26" s="54"/>
      <c r="BU26" s="54"/>
      <c r="BV26" s="54"/>
      <c r="BW26" s="54"/>
    </row>
    <row r="27" spans="1:75" x14ac:dyDescent="0.2">
      <c r="A27" s="86" t="s">
        <v>662</v>
      </c>
      <c r="B27" s="86"/>
      <c r="C27" s="86" t="s">
        <v>6</v>
      </c>
      <c r="D27" s="86" t="s">
        <v>79</v>
      </c>
      <c r="E27" s="54" t="str">
        <f>_xlfn.CONCAT(Table1[[#This Row],[Geographic Scope]],": ",Table1[[#This Row],[Sub-Type/Focus]])</f>
        <v>National: Single-Topic</v>
      </c>
      <c r="F27" s="55">
        <f>Table1[[#This Row],[Total Contributed Income]]+Table1[[#This Row],[Total Earned Income]]</f>
        <v>1226000</v>
      </c>
      <c r="G27" s="87">
        <f>IFERROR((Table1[[#This Row],[Cont. Income - Foundation]]+Table1[[#This Row],[Cont. Income - Membership]]+Table1[[#This Row],[Cont. Income - Small Donors]]+Table1[[#This Row],[Cont. Income - Med. Donors]]+Table1[[#This Row],[Cont. Income - Major Donors]]+Table1[[#This Row],[Cont. Income - Other]]),0)</f>
        <v>1205000</v>
      </c>
      <c r="H27" s="87">
        <f>IFERROR((Table1[[#This Row],[Earned Income - Advertising]]+Table1[[#This Row],[Earned Income - Sponsorships/Underwriting]]+Table1[[#This Row],[Earned Income - Events]]+Table1[[#This Row],[Earned Income - Subscriptions]]+Table1[[#This Row],[Earned Income - Syndication]]+Table1[[#This Row],[Earned Income - Other TOTAL]]),0)</f>
        <v>21000</v>
      </c>
      <c r="I27" s="74">
        <v>1200000</v>
      </c>
      <c r="J27" s="74">
        <v>0</v>
      </c>
      <c r="K27" s="74">
        <v>5000</v>
      </c>
      <c r="L27" s="74">
        <v>0</v>
      </c>
      <c r="M27" s="74">
        <v>0</v>
      </c>
      <c r="N27" s="74">
        <v>0</v>
      </c>
      <c r="O27" s="79" t="s">
        <v>617</v>
      </c>
      <c r="P27" s="74">
        <v>11000</v>
      </c>
      <c r="Q27" s="74">
        <v>0</v>
      </c>
      <c r="R27" s="74">
        <v>10000</v>
      </c>
      <c r="S27" s="74">
        <v>0</v>
      </c>
      <c r="T27" s="74">
        <v>0</v>
      </c>
      <c r="U27" s="88">
        <f>IFERROR(Table1[[#This Row],[Earned Income - Training Fees]]+Table1[[#This Row],[Earned Income - Fees]]+Table1[[#This Row],[Earned Income - Investments]]+Table1[[#This Row],[Earned Income - Other]],0)</f>
        <v>0</v>
      </c>
      <c r="V27" s="74">
        <v>0</v>
      </c>
      <c r="W27" s="74">
        <v>0</v>
      </c>
      <c r="X27" s="86" t="s">
        <v>617</v>
      </c>
      <c r="Y27" s="74">
        <v>0</v>
      </c>
      <c r="Z27" s="74">
        <v>0</v>
      </c>
      <c r="AA27" s="86" t="s">
        <v>617</v>
      </c>
      <c r="AB27" s="88">
        <f t="shared" si="0"/>
        <v>1205000</v>
      </c>
      <c r="AC27" s="74">
        <v>705000</v>
      </c>
      <c r="AD27" s="88">
        <f>SUM(Table1[[#This Row],[Expenses - Revenue Generation]:[Expenses - Admin]])</f>
        <v>500000</v>
      </c>
      <c r="AE27" s="74">
        <v>100000</v>
      </c>
      <c r="AF27" s="74">
        <v>20000</v>
      </c>
      <c r="AG27" s="74">
        <v>380000</v>
      </c>
      <c r="AH27" s="75">
        <f>Table1[[#This Row],[Total FTE - Editorial]]+Table1[[#This Row],[Total FTE - Non-Editorial]]</f>
        <v>10.75</v>
      </c>
      <c r="AI27" s="75">
        <f>Table1[[#This Row],[FTE Salaried - Editorial]]+Table1[[#This Row],[FTE Contractors - Editorial]]</f>
        <v>10</v>
      </c>
      <c r="AJ27" s="57">
        <v>3</v>
      </c>
      <c r="AK27" s="57">
        <v>7</v>
      </c>
      <c r="AL27" s="60">
        <f>Table1[[#This Row],[FTE Salaried - Non-Editorial]]+Table1[[#This Row],[FTE Contractors - Non-Editorial]]</f>
        <v>0.75</v>
      </c>
      <c r="AM27" s="57">
        <v>0.5</v>
      </c>
      <c r="AN27" s="57">
        <v>0.25</v>
      </c>
      <c r="AO27" s="86" t="s">
        <v>351</v>
      </c>
      <c r="AP27" s="86" t="s">
        <v>617</v>
      </c>
      <c r="AQ27" s="76">
        <v>95000</v>
      </c>
      <c r="AR27" s="76">
        <v>25000</v>
      </c>
      <c r="AS27" s="76">
        <v>0</v>
      </c>
      <c r="AT27" s="76">
        <v>0</v>
      </c>
      <c r="AU27" s="76">
        <v>0</v>
      </c>
      <c r="AV27" s="86" t="s">
        <v>617</v>
      </c>
      <c r="BC27" s="54"/>
      <c r="BD27" s="54"/>
      <c r="BE27" s="54"/>
      <c r="BF27" s="54"/>
      <c r="BG27" s="54"/>
      <c r="BI27" s="54"/>
      <c r="BK27" s="54"/>
      <c r="BL27" s="54"/>
      <c r="BM27" s="54"/>
      <c r="BN27" s="54"/>
      <c r="BO27" s="54"/>
      <c r="BP27" s="54"/>
      <c r="BS27" s="54"/>
      <c r="BT27" s="54"/>
      <c r="BU27" s="54"/>
      <c r="BV27" s="54"/>
      <c r="BW27" s="54"/>
    </row>
    <row r="28" spans="1:75" x14ac:dyDescent="0.2">
      <c r="A28" s="83" t="s">
        <v>663</v>
      </c>
      <c r="B28" s="83"/>
      <c r="C28" s="83" t="s">
        <v>7</v>
      </c>
      <c r="D28" s="83" t="s">
        <v>77</v>
      </c>
      <c r="E28" s="60" t="str">
        <f>_xlfn.CONCAT(Table1[[#This Row],[Geographic Scope]],": ",Table1[[#This Row],[Sub-Type/Focus]])</f>
        <v>Local: General</v>
      </c>
      <c r="F28" s="71">
        <f>Table1[[#This Row],[Total Contributed Income]]+Table1[[#This Row],[Total Earned Income]]</f>
        <v>0</v>
      </c>
      <c r="G28" s="89">
        <f>IFERROR((Table1[[#This Row],[Cont. Income - Foundation]]+Table1[[#This Row],[Cont. Income - Membership]]+Table1[[#This Row],[Cont. Income - Small Donors]]+Table1[[#This Row],[Cont. Income - Med. Donors]]+Table1[[#This Row],[Cont. Income - Major Donors]]+Table1[[#This Row],[Cont. Income - Other]]),0)</f>
        <v>0</v>
      </c>
      <c r="H28" s="89">
        <f>IFERROR((Table1[[#This Row],[Earned Income - Advertising]]+Table1[[#This Row],[Earned Income - Sponsorships/Underwriting]]+Table1[[#This Row],[Earned Income - Events]]+Table1[[#This Row],[Earned Income - Subscriptions]]+Table1[[#This Row],[Earned Income - Syndication]]+Table1[[#This Row],[Earned Income - Other TOTAL]]),0)</f>
        <v>0</v>
      </c>
      <c r="I28" s="74"/>
      <c r="J28" s="74"/>
      <c r="K28" s="74"/>
      <c r="L28" s="74"/>
      <c r="M28" s="74"/>
      <c r="N28" s="74"/>
      <c r="O28" s="79"/>
      <c r="P28" s="74"/>
      <c r="Q28" s="74"/>
      <c r="R28" s="74"/>
      <c r="S28" s="74"/>
      <c r="T28" s="74"/>
      <c r="U28" s="85">
        <f>IFERROR(Table1[[#This Row],[Earned Income - Training Fees]]+Table1[[#This Row],[Earned Income - Fees]]+Table1[[#This Row],[Earned Income - Investments]]+Table1[[#This Row],[Earned Income - Other]],0)</f>
        <v>0</v>
      </c>
      <c r="V28" s="74"/>
      <c r="W28" s="74"/>
      <c r="X28" s="83"/>
      <c r="Y28" s="74"/>
      <c r="Z28" s="74"/>
      <c r="AA28" s="83"/>
      <c r="AB28" s="85">
        <f t="shared" si="0"/>
        <v>0</v>
      </c>
      <c r="AC28" s="74" t="s">
        <v>617</v>
      </c>
      <c r="AD28" s="85">
        <f>SUM(Table1[[#This Row],[Expenses - Revenue Generation]:[Expenses - Admin]])</f>
        <v>0</v>
      </c>
      <c r="AE28" s="74" t="s">
        <v>617</v>
      </c>
      <c r="AF28" s="74" t="s">
        <v>617</v>
      </c>
      <c r="AG28" s="74" t="s">
        <v>617</v>
      </c>
      <c r="AH28" s="75">
        <f>Table1[[#This Row],[Total FTE - Editorial]]+Table1[[#This Row],[Total FTE - Non-Editorial]]</f>
        <v>2</v>
      </c>
      <c r="AI28" s="75">
        <f>Table1[[#This Row],[FTE Salaried - Editorial]]+Table1[[#This Row],[FTE Contractors - Editorial]]</f>
        <v>2</v>
      </c>
      <c r="AJ28" s="57">
        <v>2</v>
      </c>
      <c r="AK28" s="57">
        <v>0</v>
      </c>
      <c r="AL28" s="60">
        <f>Table1[[#This Row],[FTE Salaried - Non-Editorial]]+Table1[[#This Row],[FTE Contractors - Non-Editorial]]</f>
        <v>0</v>
      </c>
      <c r="AM28" s="57">
        <v>0</v>
      </c>
      <c r="AN28" s="57">
        <v>0</v>
      </c>
      <c r="AO28" s="83"/>
      <c r="AP28" s="83" t="s">
        <v>617</v>
      </c>
      <c r="AQ28" s="76" t="s">
        <v>617</v>
      </c>
      <c r="AR28" s="76" t="s">
        <v>617</v>
      </c>
      <c r="AS28" s="76" t="s">
        <v>617</v>
      </c>
      <c r="AT28" s="76" t="s">
        <v>617</v>
      </c>
      <c r="AU28" s="76" t="s">
        <v>617</v>
      </c>
      <c r="AV28" s="83" t="s">
        <v>617</v>
      </c>
      <c r="BC28" s="54"/>
      <c r="BD28" s="54"/>
      <c r="BE28" s="54"/>
      <c r="BF28" s="54"/>
      <c r="BG28" s="54"/>
      <c r="BI28" s="54"/>
      <c r="BK28" s="54"/>
      <c r="BL28" s="54"/>
      <c r="BM28" s="54"/>
      <c r="BN28" s="54"/>
      <c r="BO28" s="54"/>
      <c r="BP28" s="54"/>
      <c r="BS28" s="54"/>
      <c r="BT28" s="54"/>
      <c r="BU28" s="54"/>
      <c r="BV28" s="54"/>
      <c r="BW28" s="54"/>
    </row>
    <row r="29" spans="1:75" x14ac:dyDescent="0.2">
      <c r="A29" s="86" t="s">
        <v>664</v>
      </c>
      <c r="B29" s="86"/>
      <c r="C29" s="86" t="s">
        <v>6</v>
      </c>
      <c r="D29" s="86" t="s">
        <v>79</v>
      </c>
      <c r="E29" s="54" t="str">
        <f>_xlfn.CONCAT(Table1[[#This Row],[Geographic Scope]],": ",Table1[[#This Row],[Sub-Type/Focus]])</f>
        <v>National: Single-Topic</v>
      </c>
      <c r="F29" s="55">
        <f>Table1[[#This Row],[Total Contributed Income]]+Table1[[#This Row],[Total Earned Income]]</f>
        <v>1203883</v>
      </c>
      <c r="G29" s="87">
        <f>IFERROR((Table1[[#This Row],[Cont. Income - Foundation]]+Table1[[#This Row],[Cont. Income - Membership]]+Table1[[#This Row],[Cont. Income - Small Donors]]+Table1[[#This Row],[Cont. Income - Med. Donors]]+Table1[[#This Row],[Cont. Income - Major Donors]]+Table1[[#This Row],[Cont. Income - Other]]),0)</f>
        <v>1073422</v>
      </c>
      <c r="H29" s="87">
        <f>IFERROR((Table1[[#This Row],[Earned Income - Advertising]]+Table1[[#This Row],[Earned Income - Sponsorships/Underwriting]]+Table1[[#This Row],[Earned Income - Events]]+Table1[[#This Row],[Earned Income - Subscriptions]]+Table1[[#This Row],[Earned Income - Syndication]]+Table1[[#This Row],[Earned Income - Other TOTAL]]),0)</f>
        <v>130461</v>
      </c>
      <c r="I29" s="74">
        <v>587957</v>
      </c>
      <c r="J29" s="74">
        <v>0</v>
      </c>
      <c r="K29" s="74">
        <v>35873</v>
      </c>
      <c r="L29" s="74">
        <v>27784</v>
      </c>
      <c r="M29" s="74">
        <v>421808</v>
      </c>
      <c r="N29" s="74">
        <v>0</v>
      </c>
      <c r="O29" s="79" t="s">
        <v>617</v>
      </c>
      <c r="P29" s="74">
        <v>0</v>
      </c>
      <c r="Q29" s="74">
        <v>0</v>
      </c>
      <c r="R29" s="74">
        <v>12790</v>
      </c>
      <c r="S29" s="74">
        <v>33155</v>
      </c>
      <c r="T29" s="74">
        <v>80037</v>
      </c>
      <c r="U29" s="88">
        <f>IFERROR(Table1[[#This Row],[Earned Income - Training Fees]]+Table1[[#This Row],[Earned Income - Fees]]+Table1[[#This Row],[Earned Income - Investments]]+Table1[[#This Row],[Earned Income - Other]],0)</f>
        <v>4479</v>
      </c>
      <c r="V29" s="74">
        <v>0</v>
      </c>
      <c r="W29" s="74">
        <v>4479</v>
      </c>
      <c r="X29" s="86" t="s">
        <v>665</v>
      </c>
      <c r="Y29" s="74">
        <v>0</v>
      </c>
      <c r="Z29" s="74">
        <v>0</v>
      </c>
      <c r="AA29" s="86" t="s">
        <v>617</v>
      </c>
      <c r="AB29" s="88">
        <f t="shared" si="0"/>
        <v>1115807</v>
      </c>
      <c r="AC29" s="74">
        <v>744673</v>
      </c>
      <c r="AD29" s="88">
        <f>SUM(Table1[[#This Row],[Expenses - Revenue Generation]:[Expenses - Admin]])</f>
        <v>371134</v>
      </c>
      <c r="AE29" s="74">
        <v>46833</v>
      </c>
      <c r="AF29" s="74">
        <v>57766</v>
      </c>
      <c r="AG29" s="74">
        <v>266535</v>
      </c>
      <c r="AH29" s="75">
        <f>Table1[[#This Row],[Total FTE - Editorial]]+Table1[[#This Row],[Total FTE - Non-Editorial]]</f>
        <v>9</v>
      </c>
      <c r="AI29" s="75">
        <f>Table1[[#This Row],[FTE Salaried - Editorial]]+Table1[[#This Row],[FTE Contractors - Editorial]]</f>
        <v>7</v>
      </c>
      <c r="AJ29" s="57">
        <v>5</v>
      </c>
      <c r="AK29" s="57">
        <v>2</v>
      </c>
      <c r="AL29" s="60">
        <f>Table1[[#This Row],[FTE Salaried - Non-Editorial]]+Table1[[#This Row],[FTE Contractors - Non-Editorial]]</f>
        <v>2</v>
      </c>
      <c r="AM29" s="57">
        <v>2</v>
      </c>
      <c r="AN29" s="57">
        <v>0</v>
      </c>
      <c r="AO29" s="86" t="s">
        <v>351</v>
      </c>
      <c r="AP29" s="86" t="s">
        <v>617</v>
      </c>
      <c r="AQ29" s="76">
        <v>15100</v>
      </c>
      <c r="AR29" s="76">
        <v>13594</v>
      </c>
      <c r="AS29" s="76">
        <v>500</v>
      </c>
      <c r="AT29" s="76">
        <v>1</v>
      </c>
      <c r="AU29" s="76">
        <v>0</v>
      </c>
      <c r="AV29" s="86" t="s">
        <v>617</v>
      </c>
      <c r="BC29" s="54"/>
      <c r="BD29" s="54"/>
      <c r="BE29" s="54"/>
      <c r="BF29" s="54"/>
      <c r="BG29" s="54"/>
      <c r="BI29" s="54"/>
      <c r="BK29" s="54"/>
      <c r="BL29" s="54"/>
      <c r="BM29" s="54"/>
      <c r="BN29" s="54"/>
      <c r="BO29" s="54"/>
      <c r="BP29" s="54"/>
      <c r="BS29" s="54"/>
      <c r="BT29" s="54"/>
      <c r="BU29" s="54"/>
      <c r="BV29" s="54"/>
      <c r="BW29" s="54"/>
    </row>
    <row r="30" spans="1:75" x14ac:dyDescent="0.2">
      <c r="A30" s="86" t="s">
        <v>666</v>
      </c>
      <c r="B30" s="86"/>
      <c r="C30" s="86" t="s">
        <v>6</v>
      </c>
      <c r="D30" s="86" t="s">
        <v>77</v>
      </c>
      <c r="E30" s="54" t="str">
        <f>_xlfn.CONCAT(Table1[[#This Row],[Geographic Scope]],": ",Table1[[#This Row],[Sub-Type/Focus]])</f>
        <v>National: General</v>
      </c>
      <c r="F30" s="55">
        <f>Table1[[#This Row],[Total Contributed Income]]+Table1[[#This Row],[Total Earned Income]]</f>
        <v>2626000</v>
      </c>
      <c r="G30" s="87">
        <f>IFERROR((Table1[[#This Row],[Cont. Income - Foundation]]+Table1[[#This Row],[Cont. Income - Membership]]+Table1[[#This Row],[Cont. Income - Small Donors]]+Table1[[#This Row],[Cont. Income - Med. Donors]]+Table1[[#This Row],[Cont. Income - Major Donors]]+Table1[[#This Row],[Cont. Income - Other]]),0)</f>
        <v>2371500</v>
      </c>
      <c r="H30" s="87">
        <f>IFERROR((Table1[[#This Row],[Earned Income - Advertising]]+Table1[[#This Row],[Earned Income - Sponsorships/Underwriting]]+Table1[[#This Row],[Earned Income - Events]]+Table1[[#This Row],[Earned Income - Subscriptions]]+Table1[[#This Row],[Earned Income - Syndication]]+Table1[[#This Row],[Earned Income - Other TOTAL]]),0)</f>
        <v>254500</v>
      </c>
      <c r="I30" s="74">
        <v>2300000</v>
      </c>
      <c r="J30" s="74">
        <v>0</v>
      </c>
      <c r="K30" s="74">
        <v>6500</v>
      </c>
      <c r="L30" s="74">
        <v>55000</v>
      </c>
      <c r="M30" s="74">
        <v>10000</v>
      </c>
      <c r="N30" s="74">
        <v>0</v>
      </c>
      <c r="O30" s="79" t="s">
        <v>617</v>
      </c>
      <c r="P30" s="74">
        <v>4500</v>
      </c>
      <c r="Q30" s="74">
        <v>0</v>
      </c>
      <c r="R30" s="74">
        <v>0</v>
      </c>
      <c r="S30" s="74">
        <v>0</v>
      </c>
      <c r="T30" s="74">
        <v>250000</v>
      </c>
      <c r="U30" s="88">
        <f>IFERROR(Table1[[#This Row],[Earned Income - Training Fees]]+Table1[[#This Row],[Earned Income - Fees]]+Table1[[#This Row],[Earned Income - Investments]]+Table1[[#This Row],[Earned Income - Other]],0)</f>
        <v>0</v>
      </c>
      <c r="V30" s="74">
        <v>0</v>
      </c>
      <c r="W30" s="74">
        <v>0</v>
      </c>
      <c r="X30" s="86" t="s">
        <v>617</v>
      </c>
      <c r="Y30" s="74">
        <v>0</v>
      </c>
      <c r="Z30" s="74">
        <v>0</v>
      </c>
      <c r="AA30" s="86" t="s">
        <v>617</v>
      </c>
      <c r="AB30" s="88">
        <f t="shared" si="0"/>
        <v>2458000</v>
      </c>
      <c r="AC30" s="74">
        <v>1800000</v>
      </c>
      <c r="AD30" s="88">
        <f>SUM(Table1[[#This Row],[Expenses - Revenue Generation]:[Expenses - Admin]])</f>
        <v>658000</v>
      </c>
      <c r="AE30" s="74">
        <v>200000</v>
      </c>
      <c r="AF30" s="74">
        <v>58000</v>
      </c>
      <c r="AG30" s="74">
        <v>400000</v>
      </c>
      <c r="AH30" s="75">
        <f>Table1[[#This Row],[Total FTE - Editorial]]+Table1[[#This Row],[Total FTE - Non-Editorial]]</f>
        <v>23</v>
      </c>
      <c r="AI30" s="75">
        <f>Table1[[#This Row],[FTE Salaried - Editorial]]+Table1[[#This Row],[FTE Contractors - Editorial]]</f>
        <v>16</v>
      </c>
      <c r="AJ30" s="57">
        <v>13</v>
      </c>
      <c r="AK30" s="57">
        <v>3</v>
      </c>
      <c r="AL30" s="60">
        <f>Table1[[#This Row],[FTE Salaried - Non-Editorial]]+Table1[[#This Row],[FTE Contractors - Non-Editorial]]</f>
        <v>7</v>
      </c>
      <c r="AM30" s="57">
        <v>5</v>
      </c>
      <c r="AN30" s="57">
        <v>2</v>
      </c>
      <c r="AO30" s="86" t="s">
        <v>488</v>
      </c>
      <c r="AP30" s="86" t="s">
        <v>617</v>
      </c>
      <c r="AQ30" s="76">
        <v>0</v>
      </c>
      <c r="AR30" s="76">
        <v>0</v>
      </c>
      <c r="AS30" s="76">
        <v>0</v>
      </c>
      <c r="AT30" s="76">
        <v>0</v>
      </c>
      <c r="AU30" s="76">
        <v>0</v>
      </c>
      <c r="AV30" s="86" t="s">
        <v>617</v>
      </c>
      <c r="BC30" s="54"/>
      <c r="BD30" s="54"/>
      <c r="BE30" s="54"/>
      <c r="BF30" s="54"/>
      <c r="BG30" s="54"/>
      <c r="BI30" s="54"/>
      <c r="BK30" s="54"/>
      <c r="BL30" s="54"/>
      <c r="BM30" s="54"/>
      <c r="BN30" s="54"/>
      <c r="BO30" s="54"/>
      <c r="BP30" s="54"/>
      <c r="BS30" s="54"/>
      <c r="BT30" s="54"/>
      <c r="BU30" s="54"/>
      <c r="BV30" s="54"/>
      <c r="BW30" s="54"/>
    </row>
    <row r="31" spans="1:75" x14ac:dyDescent="0.2">
      <c r="A31" s="86" t="s">
        <v>667</v>
      </c>
      <c r="B31" s="86"/>
      <c r="C31" s="86" t="s">
        <v>83</v>
      </c>
      <c r="D31" s="86" t="s">
        <v>77</v>
      </c>
      <c r="E31" s="54" t="str">
        <f>_xlfn.CONCAT(Table1[[#This Row],[Geographic Scope]],": ",Table1[[#This Row],[Sub-Type/Focus]])</f>
        <v>State: General</v>
      </c>
      <c r="F31" s="55">
        <f>Table1[[#This Row],[Total Contributed Income]]+Table1[[#This Row],[Total Earned Income]]</f>
        <v>138800</v>
      </c>
      <c r="G31" s="87">
        <f>IFERROR((Table1[[#This Row],[Cont. Income - Foundation]]+Table1[[#This Row],[Cont. Income - Membership]]+Table1[[#This Row],[Cont. Income - Small Donors]]+Table1[[#This Row],[Cont. Income - Med. Donors]]+Table1[[#This Row],[Cont. Income - Major Donors]]+Table1[[#This Row],[Cont. Income - Other]]),0)</f>
        <v>138800</v>
      </c>
      <c r="H31" s="87">
        <f>IFERROR((Table1[[#This Row],[Earned Income - Advertising]]+Table1[[#This Row],[Earned Income - Sponsorships/Underwriting]]+Table1[[#This Row],[Earned Income - Events]]+Table1[[#This Row],[Earned Income - Subscriptions]]+Table1[[#This Row],[Earned Income - Syndication]]+Table1[[#This Row],[Earned Income - Other TOTAL]]),0)</f>
        <v>0</v>
      </c>
      <c r="I31" s="74">
        <v>106800</v>
      </c>
      <c r="J31" s="74">
        <v>0</v>
      </c>
      <c r="K31" s="74">
        <v>30000</v>
      </c>
      <c r="L31" s="74">
        <v>2000</v>
      </c>
      <c r="M31" s="74">
        <v>0</v>
      </c>
      <c r="N31" s="74">
        <v>0</v>
      </c>
      <c r="O31" s="79" t="s">
        <v>617</v>
      </c>
      <c r="P31" s="74">
        <v>0</v>
      </c>
      <c r="Q31" s="74">
        <v>0</v>
      </c>
      <c r="R31" s="74">
        <v>0</v>
      </c>
      <c r="S31" s="74">
        <v>0</v>
      </c>
      <c r="T31" s="74">
        <v>0</v>
      </c>
      <c r="U31" s="88">
        <f>IFERROR(Table1[[#This Row],[Earned Income - Training Fees]]+Table1[[#This Row],[Earned Income - Fees]]+Table1[[#This Row],[Earned Income - Investments]]+Table1[[#This Row],[Earned Income - Other]],0)</f>
        <v>0</v>
      </c>
      <c r="V31" s="74">
        <v>0</v>
      </c>
      <c r="W31" s="74">
        <v>0</v>
      </c>
      <c r="X31" s="86" t="s">
        <v>617</v>
      </c>
      <c r="Y31" s="74">
        <v>0</v>
      </c>
      <c r="Z31" s="74">
        <v>0</v>
      </c>
      <c r="AA31" s="86" t="s">
        <v>617</v>
      </c>
      <c r="AB31" s="88">
        <f t="shared" si="0"/>
        <v>55000</v>
      </c>
      <c r="AC31" s="74">
        <v>10000</v>
      </c>
      <c r="AD31" s="88">
        <f>SUM(Table1[[#This Row],[Expenses - Revenue Generation]:[Expenses - Admin]])</f>
        <v>45000</v>
      </c>
      <c r="AE31" s="74">
        <v>20000</v>
      </c>
      <c r="AF31" s="74">
        <v>10000</v>
      </c>
      <c r="AG31" s="74">
        <v>15000</v>
      </c>
      <c r="AH31" s="75">
        <f>Table1[[#This Row],[Total FTE - Editorial]]+Table1[[#This Row],[Total FTE - Non-Editorial]]</f>
        <v>0</v>
      </c>
      <c r="AI31" s="75">
        <f>Table1[[#This Row],[FTE Salaried - Editorial]]+Table1[[#This Row],[FTE Contractors - Editorial]]</f>
        <v>0</v>
      </c>
      <c r="AJ31" s="57">
        <v>0</v>
      </c>
      <c r="AK31" s="57">
        <v>0</v>
      </c>
      <c r="AL31" s="60">
        <f>Table1[[#This Row],[FTE Salaried - Non-Editorial]]+Table1[[#This Row],[FTE Contractors - Non-Editorial]]</f>
        <v>0</v>
      </c>
      <c r="AM31" s="57">
        <v>0</v>
      </c>
      <c r="AN31" s="57">
        <v>0</v>
      </c>
      <c r="AO31" s="86" t="s">
        <v>352</v>
      </c>
      <c r="AP31" s="86" t="s">
        <v>668</v>
      </c>
      <c r="AQ31" s="76">
        <v>0</v>
      </c>
      <c r="AR31" s="76">
        <v>0</v>
      </c>
      <c r="AS31" s="76">
        <v>0</v>
      </c>
      <c r="AT31" s="76">
        <v>0</v>
      </c>
      <c r="AU31" s="76">
        <v>0</v>
      </c>
      <c r="AV31" s="86" t="s">
        <v>617</v>
      </c>
      <c r="BC31" s="54"/>
      <c r="BD31" s="54"/>
      <c r="BE31" s="54"/>
      <c r="BF31" s="54"/>
      <c r="BG31" s="54"/>
      <c r="BI31" s="54"/>
      <c r="BK31" s="54"/>
      <c r="BL31" s="54"/>
      <c r="BM31" s="54"/>
      <c r="BN31" s="54"/>
      <c r="BO31" s="54"/>
      <c r="BP31" s="54"/>
      <c r="BS31" s="54"/>
      <c r="BT31" s="54"/>
      <c r="BU31" s="54"/>
      <c r="BV31" s="54"/>
      <c r="BW31" s="54"/>
    </row>
    <row r="32" spans="1:75" x14ac:dyDescent="0.2">
      <c r="A32" s="86" t="s">
        <v>669</v>
      </c>
      <c r="B32" s="86"/>
      <c r="C32" s="86" t="s">
        <v>7</v>
      </c>
      <c r="D32" s="86" t="s">
        <v>79</v>
      </c>
      <c r="E32" s="54" t="str">
        <f>_xlfn.CONCAT(Table1[[#This Row],[Geographic Scope]],": ",Table1[[#This Row],[Sub-Type/Focus]])</f>
        <v>Local: Single-Topic</v>
      </c>
      <c r="F32" s="55">
        <f>Table1[[#This Row],[Total Contributed Income]]+Table1[[#This Row],[Total Earned Income]]</f>
        <v>9470</v>
      </c>
      <c r="G32" s="87">
        <f>IFERROR((Table1[[#This Row],[Cont. Income - Foundation]]+Table1[[#This Row],[Cont. Income - Membership]]+Table1[[#This Row],[Cont. Income - Small Donors]]+Table1[[#This Row],[Cont. Income - Med. Donors]]+Table1[[#This Row],[Cont. Income - Major Donors]]+Table1[[#This Row],[Cont. Income - Other]]),0)</f>
        <v>9450</v>
      </c>
      <c r="H32" s="87">
        <f>IFERROR((Table1[[#This Row],[Earned Income - Advertising]]+Table1[[#This Row],[Earned Income - Sponsorships/Underwriting]]+Table1[[#This Row],[Earned Income - Events]]+Table1[[#This Row],[Earned Income - Subscriptions]]+Table1[[#This Row],[Earned Income - Syndication]]+Table1[[#This Row],[Earned Income - Other TOTAL]]),0)</f>
        <v>20</v>
      </c>
      <c r="I32" s="74">
        <v>2000</v>
      </c>
      <c r="J32" s="74">
        <v>1331</v>
      </c>
      <c r="K32" s="74">
        <v>6119</v>
      </c>
      <c r="L32" s="74">
        <v>0</v>
      </c>
      <c r="M32" s="74">
        <v>0</v>
      </c>
      <c r="N32" s="74">
        <v>0</v>
      </c>
      <c r="O32" s="79" t="s">
        <v>617</v>
      </c>
      <c r="P32" s="74">
        <v>0</v>
      </c>
      <c r="Q32" s="74">
        <v>0</v>
      </c>
      <c r="R32" s="74">
        <v>0</v>
      </c>
      <c r="S32" s="74">
        <v>0</v>
      </c>
      <c r="T32" s="74">
        <v>0</v>
      </c>
      <c r="U32" s="88">
        <f>IFERROR(Table1[[#This Row],[Earned Income - Training Fees]]+Table1[[#This Row],[Earned Income - Fees]]+Table1[[#This Row],[Earned Income - Investments]]+Table1[[#This Row],[Earned Income - Other]],0)</f>
        <v>20</v>
      </c>
      <c r="V32" s="74">
        <v>0</v>
      </c>
      <c r="W32" s="74">
        <v>0</v>
      </c>
      <c r="X32" s="86" t="s">
        <v>617</v>
      </c>
      <c r="Y32" s="74">
        <v>0</v>
      </c>
      <c r="Z32" s="74">
        <v>20</v>
      </c>
      <c r="AA32" s="86" t="s">
        <v>670</v>
      </c>
      <c r="AB32" s="88">
        <f t="shared" si="0"/>
        <v>135</v>
      </c>
      <c r="AC32" s="74">
        <v>0</v>
      </c>
      <c r="AD32" s="88">
        <f>SUM(Table1[[#This Row],[Expenses - Revenue Generation]:[Expenses - Admin]])</f>
        <v>135</v>
      </c>
      <c r="AE32" s="74">
        <v>0</v>
      </c>
      <c r="AF32" s="74">
        <v>0</v>
      </c>
      <c r="AG32" s="74">
        <v>135</v>
      </c>
      <c r="AH32" s="75">
        <f>Table1[[#This Row],[Total FTE - Editorial]]+Table1[[#This Row],[Total FTE - Non-Editorial]]</f>
        <v>0</v>
      </c>
      <c r="AI32" s="75">
        <f>Table1[[#This Row],[FTE Salaried - Editorial]]+Table1[[#This Row],[FTE Contractors - Editorial]]</f>
        <v>0</v>
      </c>
      <c r="AJ32" s="57">
        <v>0</v>
      </c>
      <c r="AK32" s="57">
        <v>0</v>
      </c>
      <c r="AL32" s="60">
        <f>Table1[[#This Row],[FTE Salaried - Non-Editorial]]+Table1[[#This Row],[FTE Contractors - Non-Editorial]]</f>
        <v>0</v>
      </c>
      <c r="AM32" s="57">
        <v>0</v>
      </c>
      <c r="AN32" s="57">
        <v>0</v>
      </c>
      <c r="AO32" s="86" t="s">
        <v>351</v>
      </c>
      <c r="AP32" s="86" t="s">
        <v>617</v>
      </c>
      <c r="AQ32" s="76">
        <v>520</v>
      </c>
      <c r="AR32" s="76">
        <v>704</v>
      </c>
      <c r="AS32" s="76">
        <v>0</v>
      </c>
      <c r="AT32" s="76">
        <v>0</v>
      </c>
      <c r="AU32" s="76">
        <v>0</v>
      </c>
      <c r="AV32" s="86" t="s">
        <v>617</v>
      </c>
      <c r="BC32" s="54"/>
      <c r="BD32" s="54"/>
      <c r="BE32" s="54"/>
      <c r="BF32" s="54"/>
      <c r="BG32" s="54"/>
      <c r="BI32" s="54"/>
      <c r="BK32" s="54"/>
      <c r="BL32" s="54"/>
      <c r="BM32" s="54"/>
      <c r="BN32" s="54"/>
      <c r="BO32" s="54"/>
      <c r="BP32" s="54"/>
      <c r="BS32" s="54"/>
      <c r="BT32" s="54"/>
      <c r="BU32" s="54"/>
      <c r="BV32" s="54"/>
      <c r="BW32" s="54"/>
    </row>
    <row r="33" spans="1:75" x14ac:dyDescent="0.2">
      <c r="A33" s="86" t="s">
        <v>671</v>
      </c>
      <c r="B33" s="86"/>
      <c r="C33" s="86" t="s">
        <v>7</v>
      </c>
      <c r="D33" s="86" t="s">
        <v>78</v>
      </c>
      <c r="E33" s="54" t="str">
        <f>_xlfn.CONCAT(Table1[[#This Row],[Geographic Scope]],": ",Table1[[#This Row],[Sub-Type/Focus]])</f>
        <v>Local: Multiple Related Topics</v>
      </c>
      <c r="F33" s="55">
        <f>Table1[[#This Row],[Total Contributed Income]]+Table1[[#This Row],[Total Earned Income]]</f>
        <v>120279</v>
      </c>
      <c r="G33" s="87">
        <f>IFERROR((Table1[[#This Row],[Cont. Income - Foundation]]+Table1[[#This Row],[Cont. Income - Membership]]+Table1[[#This Row],[Cont. Income - Small Donors]]+Table1[[#This Row],[Cont. Income - Med. Donors]]+Table1[[#This Row],[Cont. Income - Major Donors]]+Table1[[#This Row],[Cont. Income - Other]]),0)</f>
        <v>87444</v>
      </c>
      <c r="H33" s="87">
        <f>IFERROR((Table1[[#This Row],[Earned Income - Advertising]]+Table1[[#This Row],[Earned Income - Sponsorships/Underwriting]]+Table1[[#This Row],[Earned Income - Events]]+Table1[[#This Row],[Earned Income - Subscriptions]]+Table1[[#This Row],[Earned Income - Syndication]]+Table1[[#This Row],[Earned Income - Other TOTAL]]),0)</f>
        <v>32835</v>
      </c>
      <c r="I33" s="74">
        <v>32096</v>
      </c>
      <c r="J33" s="74">
        <v>18520</v>
      </c>
      <c r="K33" s="74">
        <v>36828</v>
      </c>
      <c r="L33" s="74">
        <v>0</v>
      </c>
      <c r="M33" s="74">
        <v>0</v>
      </c>
      <c r="N33" s="74">
        <v>0</v>
      </c>
      <c r="O33" s="79" t="s">
        <v>617</v>
      </c>
      <c r="P33" s="74">
        <v>0</v>
      </c>
      <c r="Q33" s="74">
        <v>0</v>
      </c>
      <c r="R33" s="74">
        <v>17027</v>
      </c>
      <c r="S33" s="74">
        <v>0</v>
      </c>
      <c r="T33" s="74">
        <v>0</v>
      </c>
      <c r="U33" s="88">
        <f>IFERROR(Table1[[#This Row],[Earned Income - Training Fees]]+Table1[[#This Row],[Earned Income - Fees]]+Table1[[#This Row],[Earned Income - Investments]]+Table1[[#This Row],[Earned Income - Other]],0)</f>
        <v>15808</v>
      </c>
      <c r="V33" s="74">
        <v>0</v>
      </c>
      <c r="W33" s="74">
        <v>13011</v>
      </c>
      <c r="X33" s="86" t="s">
        <v>672</v>
      </c>
      <c r="Y33" s="74">
        <v>0</v>
      </c>
      <c r="Z33" s="74">
        <v>2797</v>
      </c>
      <c r="AA33" s="86" t="s">
        <v>350</v>
      </c>
      <c r="AB33" s="88">
        <f t="shared" si="0"/>
        <v>112287</v>
      </c>
      <c r="AC33" s="74">
        <v>65000</v>
      </c>
      <c r="AD33" s="88">
        <f>SUM(Table1[[#This Row],[Expenses - Revenue Generation]:[Expenses - Admin]])</f>
        <v>47287</v>
      </c>
      <c r="AE33" s="74">
        <v>27000</v>
      </c>
      <c r="AF33" s="74">
        <v>4000</v>
      </c>
      <c r="AG33" s="74">
        <v>16287</v>
      </c>
      <c r="AH33" s="75">
        <f>Table1[[#This Row],[Total FTE - Editorial]]+Table1[[#This Row],[Total FTE - Non-Editorial]]</f>
        <v>3</v>
      </c>
      <c r="AI33" s="75">
        <f>Table1[[#This Row],[FTE Salaried - Editorial]]+Table1[[#This Row],[FTE Contractors - Editorial]]</f>
        <v>2</v>
      </c>
      <c r="AJ33" s="57">
        <v>1</v>
      </c>
      <c r="AK33" s="57">
        <v>1</v>
      </c>
      <c r="AL33" s="60">
        <f>Table1[[#This Row],[FTE Salaried - Non-Editorial]]+Table1[[#This Row],[FTE Contractors - Non-Editorial]]</f>
        <v>1</v>
      </c>
      <c r="AM33" s="57">
        <v>1</v>
      </c>
      <c r="AN33" s="57">
        <v>0</v>
      </c>
      <c r="AO33" s="86" t="s">
        <v>351</v>
      </c>
      <c r="AP33" s="86" t="s">
        <v>617</v>
      </c>
      <c r="AQ33" s="76">
        <v>38500</v>
      </c>
      <c r="AR33" s="76">
        <v>10128</v>
      </c>
      <c r="AS33" s="76">
        <v>0</v>
      </c>
      <c r="AT33" s="76">
        <v>0</v>
      </c>
      <c r="AU33" s="76">
        <v>0</v>
      </c>
      <c r="AV33" s="86" t="s">
        <v>617</v>
      </c>
      <c r="BC33" s="54"/>
      <c r="BD33" s="54"/>
      <c r="BE33" s="54"/>
      <c r="BF33" s="54"/>
      <c r="BG33" s="54"/>
      <c r="BI33" s="54"/>
      <c r="BK33" s="54"/>
      <c r="BL33" s="54"/>
      <c r="BM33" s="54"/>
      <c r="BN33" s="54"/>
      <c r="BO33" s="54"/>
      <c r="BP33" s="54"/>
      <c r="BS33" s="54"/>
      <c r="BT33" s="54"/>
      <c r="BU33" s="54"/>
      <c r="BV33" s="54"/>
      <c r="BW33" s="54"/>
    </row>
    <row r="34" spans="1:75" x14ac:dyDescent="0.2">
      <c r="A34" s="86" t="s">
        <v>673</v>
      </c>
      <c r="B34" s="86"/>
      <c r="C34" s="86" t="s">
        <v>505</v>
      </c>
      <c r="D34" s="86" t="s">
        <v>77</v>
      </c>
      <c r="E34" s="54" t="str">
        <f>_xlfn.CONCAT(Table1[[#This Row],[Geographic Scope]],": ",Table1[[#This Row],[Sub-Type/Focus]])</f>
        <v>Regional: General</v>
      </c>
      <c r="F34" s="55">
        <f>Table1[[#This Row],[Total Contributed Income]]+Table1[[#This Row],[Total Earned Income]]</f>
        <v>3375486</v>
      </c>
      <c r="G34" s="87">
        <f>IFERROR((Table1[[#This Row],[Cont. Income - Foundation]]+Table1[[#This Row],[Cont. Income - Membership]]+Table1[[#This Row],[Cont. Income - Small Donors]]+Table1[[#This Row],[Cont. Income - Med. Donors]]+Table1[[#This Row],[Cont. Income - Major Donors]]+Table1[[#This Row],[Cont. Income - Other]]),0)</f>
        <v>2221140</v>
      </c>
      <c r="H34" s="87">
        <f>IFERROR((Table1[[#This Row],[Earned Income - Advertising]]+Table1[[#This Row],[Earned Income - Sponsorships/Underwriting]]+Table1[[#This Row],[Earned Income - Events]]+Table1[[#This Row],[Earned Income - Subscriptions]]+Table1[[#This Row],[Earned Income - Syndication]]+Table1[[#This Row],[Earned Income - Other TOTAL]]),0)</f>
        <v>1154346</v>
      </c>
      <c r="I34" s="74">
        <v>423925</v>
      </c>
      <c r="J34" s="74">
        <v>0</v>
      </c>
      <c r="K34" s="74">
        <v>749385</v>
      </c>
      <c r="L34" s="74">
        <v>214549</v>
      </c>
      <c r="M34" s="74">
        <v>821400</v>
      </c>
      <c r="N34" s="74">
        <v>11881</v>
      </c>
      <c r="O34" s="79" t="s">
        <v>674</v>
      </c>
      <c r="P34" s="74">
        <v>150245</v>
      </c>
      <c r="Q34" s="74">
        <v>22997</v>
      </c>
      <c r="R34" s="74">
        <v>0</v>
      </c>
      <c r="S34" s="74">
        <v>921644</v>
      </c>
      <c r="T34" s="74">
        <v>11854</v>
      </c>
      <c r="U34" s="88">
        <f>IFERROR(Table1[[#This Row],[Earned Income - Training Fees]]+Table1[[#This Row],[Earned Income - Fees]]+Table1[[#This Row],[Earned Income - Investments]]+Table1[[#This Row],[Earned Income - Other]],0)</f>
        <v>47606</v>
      </c>
      <c r="V34" s="74">
        <v>0</v>
      </c>
      <c r="W34" s="74">
        <v>0</v>
      </c>
      <c r="X34" s="86" t="s">
        <v>617</v>
      </c>
      <c r="Y34" s="74">
        <v>37772</v>
      </c>
      <c r="Z34" s="74">
        <v>9834</v>
      </c>
      <c r="AA34" s="86" t="s">
        <v>675</v>
      </c>
      <c r="AB34" s="88">
        <f t="shared" ref="AB34:AB65" si="1">SUM(AC34:AD34)</f>
        <v>3636949</v>
      </c>
      <c r="AC34" s="74">
        <v>1539425</v>
      </c>
      <c r="AD34" s="88">
        <f>SUM(Table1[[#This Row],[Expenses - Revenue Generation]:[Expenses - Admin]])</f>
        <v>2097524</v>
      </c>
      <c r="AE34" s="74">
        <v>960094</v>
      </c>
      <c r="AF34" s="74">
        <v>207429</v>
      </c>
      <c r="AG34" s="74">
        <v>930001</v>
      </c>
      <c r="AH34" s="75">
        <f>Table1[[#This Row],[Total FTE - Editorial]]+Table1[[#This Row],[Total FTE - Non-Editorial]]</f>
        <v>29.5</v>
      </c>
      <c r="AI34" s="75">
        <f>Table1[[#This Row],[FTE Salaried - Editorial]]+Table1[[#This Row],[FTE Contractors - Editorial]]</f>
        <v>16</v>
      </c>
      <c r="AJ34" s="57">
        <v>12</v>
      </c>
      <c r="AK34" s="57">
        <v>4</v>
      </c>
      <c r="AL34" s="60">
        <f>Table1[[#This Row],[FTE Salaried - Non-Editorial]]+Table1[[#This Row],[FTE Contractors - Non-Editorial]]</f>
        <v>13.5</v>
      </c>
      <c r="AM34" s="57">
        <v>11.5</v>
      </c>
      <c r="AN34" s="57">
        <v>2</v>
      </c>
      <c r="AO34" s="86" t="s">
        <v>599</v>
      </c>
      <c r="AP34" s="86" t="s">
        <v>617</v>
      </c>
      <c r="AQ34" s="76">
        <v>3001330</v>
      </c>
      <c r="AR34" s="76">
        <v>164902</v>
      </c>
      <c r="AS34" s="76">
        <v>35192</v>
      </c>
      <c r="AT34" s="76">
        <v>16</v>
      </c>
      <c r="AU34" s="76">
        <v>0</v>
      </c>
      <c r="AV34" s="86" t="s">
        <v>617</v>
      </c>
      <c r="BC34" s="54"/>
      <c r="BD34" s="54"/>
      <c r="BE34" s="54"/>
      <c r="BF34" s="54"/>
      <c r="BG34" s="54"/>
      <c r="BI34" s="54"/>
      <c r="BK34" s="54"/>
      <c r="BL34" s="54"/>
      <c r="BM34" s="54"/>
      <c r="BN34" s="54"/>
      <c r="BO34" s="54"/>
      <c r="BP34" s="54"/>
      <c r="BS34" s="54"/>
      <c r="BT34" s="54"/>
      <c r="BU34" s="54"/>
      <c r="BV34" s="54"/>
      <c r="BW34" s="54"/>
    </row>
    <row r="35" spans="1:75" x14ac:dyDescent="0.2">
      <c r="A35" s="86" t="s">
        <v>676</v>
      </c>
      <c r="B35" s="86"/>
      <c r="C35" s="86" t="s">
        <v>7</v>
      </c>
      <c r="D35" s="86" t="s">
        <v>77</v>
      </c>
      <c r="E35" s="54" t="str">
        <f>_xlfn.CONCAT(Table1[[#This Row],[Geographic Scope]],": ",Table1[[#This Row],[Sub-Type/Focus]])</f>
        <v>Local: General</v>
      </c>
      <c r="F35" s="55">
        <f>Table1[[#This Row],[Total Contributed Income]]+Table1[[#This Row],[Total Earned Income]]</f>
        <v>597000</v>
      </c>
      <c r="G35" s="87">
        <f>IFERROR((Table1[[#This Row],[Cont. Income - Foundation]]+Table1[[#This Row],[Cont. Income - Membership]]+Table1[[#This Row],[Cont. Income - Small Donors]]+Table1[[#This Row],[Cont. Income - Med. Donors]]+Table1[[#This Row],[Cont. Income - Major Donors]]+Table1[[#This Row],[Cont. Income - Other]]),0)</f>
        <v>453000</v>
      </c>
      <c r="H35" s="87">
        <f>IFERROR((Table1[[#This Row],[Earned Income - Advertising]]+Table1[[#This Row],[Earned Income - Sponsorships/Underwriting]]+Table1[[#This Row],[Earned Income - Events]]+Table1[[#This Row],[Earned Income - Subscriptions]]+Table1[[#This Row],[Earned Income - Syndication]]+Table1[[#This Row],[Earned Income - Other TOTAL]]),0)</f>
        <v>144000</v>
      </c>
      <c r="I35" s="74">
        <v>50000</v>
      </c>
      <c r="J35" s="74">
        <v>0</v>
      </c>
      <c r="K35" s="74">
        <v>32000</v>
      </c>
      <c r="L35" s="74">
        <v>35000</v>
      </c>
      <c r="M35" s="74">
        <v>336000</v>
      </c>
      <c r="N35" s="74">
        <v>0</v>
      </c>
      <c r="O35" s="79" t="s">
        <v>617</v>
      </c>
      <c r="P35" s="74">
        <v>133000</v>
      </c>
      <c r="Q35" s="74">
        <v>0</v>
      </c>
      <c r="R35" s="74">
        <v>0</v>
      </c>
      <c r="S35" s="74">
        <v>3000</v>
      </c>
      <c r="T35" s="74">
        <v>0</v>
      </c>
      <c r="U35" s="88">
        <f>IFERROR(Table1[[#This Row],[Earned Income - Training Fees]]+Table1[[#This Row],[Earned Income - Fees]]+Table1[[#This Row],[Earned Income - Investments]]+Table1[[#This Row],[Earned Income - Other]],0)</f>
        <v>8000</v>
      </c>
      <c r="V35" s="74">
        <v>0</v>
      </c>
      <c r="W35" s="74">
        <v>0</v>
      </c>
      <c r="X35" s="86" t="s">
        <v>617</v>
      </c>
      <c r="Y35" s="74">
        <v>8000</v>
      </c>
      <c r="Z35" s="74">
        <v>0</v>
      </c>
      <c r="AA35" s="86" t="s">
        <v>617</v>
      </c>
      <c r="AB35" s="88">
        <f t="shared" si="1"/>
        <v>492000</v>
      </c>
      <c r="AC35" s="74">
        <v>368000</v>
      </c>
      <c r="AD35" s="88">
        <f>SUM(Table1[[#This Row],[Expenses - Revenue Generation]:[Expenses - Admin]])</f>
        <v>124000</v>
      </c>
      <c r="AE35" s="74">
        <v>18000</v>
      </c>
      <c r="AF35" s="74">
        <v>3000</v>
      </c>
      <c r="AG35" s="74">
        <v>103000</v>
      </c>
      <c r="AH35" s="75">
        <f>Table1[[#This Row],[Total FTE - Editorial]]+Table1[[#This Row],[Total FTE - Non-Editorial]]</f>
        <v>6.5</v>
      </c>
      <c r="AI35" s="75">
        <f>Table1[[#This Row],[FTE Salaried - Editorial]]+Table1[[#This Row],[FTE Contractors - Editorial]]</f>
        <v>5.5</v>
      </c>
      <c r="AJ35" s="57">
        <v>3</v>
      </c>
      <c r="AK35" s="57">
        <v>2.5</v>
      </c>
      <c r="AL35" s="60">
        <f>Table1[[#This Row],[FTE Salaried - Non-Editorial]]+Table1[[#This Row],[FTE Contractors - Non-Editorial]]</f>
        <v>1</v>
      </c>
      <c r="AM35" s="57">
        <v>0.75</v>
      </c>
      <c r="AN35" s="57">
        <v>0.25</v>
      </c>
      <c r="AO35" s="86" t="s">
        <v>599</v>
      </c>
      <c r="AP35" s="86" t="s">
        <v>617</v>
      </c>
      <c r="AQ35" s="76">
        <v>35000</v>
      </c>
      <c r="AR35" s="76">
        <v>1000</v>
      </c>
      <c r="AS35" s="76">
        <v>4000</v>
      </c>
      <c r="AT35" s="76">
        <v>52</v>
      </c>
      <c r="AU35" s="76">
        <v>0</v>
      </c>
      <c r="AV35" s="86" t="s">
        <v>617</v>
      </c>
      <c r="BC35" s="54"/>
      <c r="BD35" s="54"/>
      <c r="BE35" s="54"/>
      <c r="BF35" s="54"/>
      <c r="BG35" s="54"/>
      <c r="BI35" s="54"/>
      <c r="BK35" s="54"/>
      <c r="BL35" s="54"/>
      <c r="BM35" s="54"/>
      <c r="BN35" s="54"/>
      <c r="BO35" s="54"/>
      <c r="BP35" s="54"/>
      <c r="BS35" s="54"/>
      <c r="BT35" s="54"/>
      <c r="BU35" s="54"/>
      <c r="BV35" s="54"/>
      <c r="BW35" s="54"/>
    </row>
    <row r="36" spans="1:75" x14ac:dyDescent="0.2">
      <c r="A36" s="86" t="s">
        <v>677</v>
      </c>
      <c r="B36" s="86"/>
      <c r="C36" s="86" t="s">
        <v>6</v>
      </c>
      <c r="D36" s="86" t="s">
        <v>78</v>
      </c>
      <c r="E36" s="54" t="str">
        <f>_xlfn.CONCAT(Table1[[#This Row],[Geographic Scope]],": ",Table1[[#This Row],[Sub-Type/Focus]])</f>
        <v>National: Multiple Related Topics</v>
      </c>
      <c r="F36" s="55">
        <f>Table1[[#This Row],[Total Contributed Income]]+Table1[[#This Row],[Total Earned Income]]</f>
        <v>1757000</v>
      </c>
      <c r="G36" s="87">
        <f>IFERROR((Table1[[#This Row],[Cont. Income - Foundation]]+Table1[[#This Row],[Cont. Income - Membership]]+Table1[[#This Row],[Cont. Income - Small Donors]]+Table1[[#This Row],[Cont. Income - Med. Donors]]+Table1[[#This Row],[Cont. Income - Major Donors]]+Table1[[#This Row],[Cont. Income - Other]]),0)</f>
        <v>1447000</v>
      </c>
      <c r="H36" s="87">
        <f>IFERROR((Table1[[#This Row],[Earned Income - Advertising]]+Table1[[#This Row],[Earned Income - Sponsorships/Underwriting]]+Table1[[#This Row],[Earned Income - Events]]+Table1[[#This Row],[Earned Income - Subscriptions]]+Table1[[#This Row],[Earned Income - Syndication]]+Table1[[#This Row],[Earned Income - Other TOTAL]]),0)</f>
        <v>310000</v>
      </c>
      <c r="I36" s="74">
        <v>470000</v>
      </c>
      <c r="J36" s="74">
        <v>0</v>
      </c>
      <c r="K36" s="74">
        <v>350000</v>
      </c>
      <c r="L36" s="74">
        <v>367000</v>
      </c>
      <c r="M36" s="74">
        <v>260000</v>
      </c>
      <c r="N36" s="74">
        <v>0</v>
      </c>
      <c r="O36" s="79" t="s">
        <v>617</v>
      </c>
      <c r="P36" s="74">
        <v>19000</v>
      </c>
      <c r="Q36" s="74">
        <v>0</v>
      </c>
      <c r="R36" s="74">
        <v>0</v>
      </c>
      <c r="S36" s="74">
        <v>291000</v>
      </c>
      <c r="T36" s="74">
        <v>0</v>
      </c>
      <c r="U36" s="88">
        <f>IFERROR(Table1[[#This Row],[Earned Income - Training Fees]]+Table1[[#This Row],[Earned Income - Fees]]+Table1[[#This Row],[Earned Income - Investments]]+Table1[[#This Row],[Earned Income - Other]],0)</f>
        <v>0</v>
      </c>
      <c r="V36" s="74">
        <v>0</v>
      </c>
      <c r="W36" s="74">
        <v>0</v>
      </c>
      <c r="X36" s="86" t="s">
        <v>617</v>
      </c>
      <c r="Y36" s="74">
        <v>0</v>
      </c>
      <c r="Z36" s="74">
        <v>0</v>
      </c>
      <c r="AA36" s="86" t="s">
        <v>617</v>
      </c>
      <c r="AB36" s="88">
        <f t="shared" si="1"/>
        <v>1667000</v>
      </c>
      <c r="AC36" s="74">
        <v>635000</v>
      </c>
      <c r="AD36" s="88">
        <f>SUM(Table1[[#This Row],[Expenses - Revenue Generation]:[Expenses - Admin]])</f>
        <v>1032000</v>
      </c>
      <c r="AE36" s="74">
        <v>900000</v>
      </c>
      <c r="AF36" s="74">
        <v>44000</v>
      </c>
      <c r="AG36" s="74">
        <v>88000</v>
      </c>
      <c r="AH36" s="75">
        <f>Table1[[#This Row],[Total FTE - Editorial]]+Table1[[#This Row],[Total FTE - Non-Editorial]]</f>
        <v>11</v>
      </c>
      <c r="AI36" s="75">
        <f>Table1[[#This Row],[FTE Salaried - Editorial]]+Table1[[#This Row],[FTE Contractors - Editorial]]</f>
        <v>6</v>
      </c>
      <c r="AJ36" s="57">
        <v>5</v>
      </c>
      <c r="AK36" s="57">
        <v>1</v>
      </c>
      <c r="AL36" s="60">
        <f>Table1[[#This Row],[FTE Salaried - Non-Editorial]]+Table1[[#This Row],[FTE Contractors - Non-Editorial]]</f>
        <v>5</v>
      </c>
      <c r="AM36" s="57">
        <v>5</v>
      </c>
      <c r="AN36" s="57">
        <v>0</v>
      </c>
      <c r="AO36" s="86" t="s">
        <v>599</v>
      </c>
      <c r="AP36" s="86" t="s">
        <v>617</v>
      </c>
      <c r="AQ36" s="76">
        <v>500000</v>
      </c>
      <c r="AR36" s="76">
        <v>60000</v>
      </c>
      <c r="AS36" s="76">
        <v>35000</v>
      </c>
      <c r="AT36" s="76">
        <v>12</v>
      </c>
      <c r="AU36" s="76">
        <v>0</v>
      </c>
      <c r="AV36" s="86" t="s">
        <v>617</v>
      </c>
      <c r="BC36" s="54"/>
      <c r="BD36" s="54"/>
      <c r="BE36" s="54"/>
      <c r="BF36" s="54"/>
      <c r="BG36" s="54"/>
      <c r="BI36" s="54"/>
      <c r="BK36" s="54"/>
      <c r="BL36" s="54"/>
      <c r="BM36" s="54"/>
      <c r="BN36" s="54"/>
      <c r="BO36" s="54"/>
      <c r="BP36" s="54"/>
      <c r="BS36" s="54"/>
      <c r="BT36" s="54"/>
      <c r="BU36" s="54"/>
      <c r="BV36" s="54"/>
      <c r="BW36" s="54"/>
    </row>
    <row r="37" spans="1:75" x14ac:dyDescent="0.2">
      <c r="A37" s="86" t="s">
        <v>678</v>
      </c>
      <c r="B37" s="86"/>
      <c r="C37" s="86" t="s">
        <v>7</v>
      </c>
      <c r="D37" s="86" t="s">
        <v>78</v>
      </c>
      <c r="E37" s="54" t="str">
        <f>_xlfn.CONCAT(Table1[[#This Row],[Geographic Scope]],": ",Table1[[#This Row],[Sub-Type/Focus]])</f>
        <v>Local: Multiple Related Topics</v>
      </c>
      <c r="F37" s="55">
        <f>Table1[[#This Row],[Total Contributed Income]]+Table1[[#This Row],[Total Earned Income]]</f>
        <v>1202367.26</v>
      </c>
      <c r="G37" s="87">
        <f>IFERROR((Table1[[#This Row],[Cont. Income - Foundation]]+Table1[[#This Row],[Cont. Income - Membership]]+Table1[[#This Row],[Cont. Income - Small Donors]]+Table1[[#This Row],[Cont. Income - Med. Donors]]+Table1[[#This Row],[Cont. Income - Major Donors]]+Table1[[#This Row],[Cont. Income - Other]]),0)</f>
        <v>1192986.26</v>
      </c>
      <c r="H37" s="87">
        <f>IFERROR((Table1[[#This Row],[Earned Income - Advertising]]+Table1[[#This Row],[Earned Income - Sponsorships/Underwriting]]+Table1[[#This Row],[Earned Income - Events]]+Table1[[#This Row],[Earned Income - Subscriptions]]+Table1[[#This Row],[Earned Income - Syndication]]+Table1[[#This Row],[Earned Income - Other TOTAL]]),0)</f>
        <v>9381</v>
      </c>
      <c r="I37" s="74">
        <v>411888.66</v>
      </c>
      <c r="J37" s="74">
        <v>0</v>
      </c>
      <c r="K37" s="74">
        <v>28831.69</v>
      </c>
      <c r="L37" s="74">
        <v>181036.92</v>
      </c>
      <c r="M37" s="74">
        <v>555693.98</v>
      </c>
      <c r="N37" s="74">
        <v>15535.01</v>
      </c>
      <c r="O37" s="79" t="s">
        <v>679</v>
      </c>
      <c r="P37" s="74">
        <v>0</v>
      </c>
      <c r="Q37" s="74">
        <v>0</v>
      </c>
      <c r="R37" s="74">
        <v>0</v>
      </c>
      <c r="S37" s="74">
        <v>0</v>
      </c>
      <c r="T37" s="74">
        <v>0</v>
      </c>
      <c r="U37" s="88">
        <f>IFERROR(Table1[[#This Row],[Earned Income - Training Fees]]+Table1[[#This Row],[Earned Income - Fees]]+Table1[[#This Row],[Earned Income - Investments]]+Table1[[#This Row],[Earned Income - Other]],0)</f>
        <v>9381</v>
      </c>
      <c r="V37" s="74">
        <v>0</v>
      </c>
      <c r="W37" s="74">
        <v>5762</v>
      </c>
      <c r="X37" s="86" t="s">
        <v>680</v>
      </c>
      <c r="Y37" s="74">
        <v>919</v>
      </c>
      <c r="Z37" s="74">
        <v>2700</v>
      </c>
      <c r="AA37" s="86" t="s">
        <v>681</v>
      </c>
      <c r="AB37" s="88">
        <f t="shared" si="1"/>
        <v>1139189</v>
      </c>
      <c r="AC37" s="74">
        <v>828673</v>
      </c>
      <c r="AD37" s="88">
        <f>SUM(Table1[[#This Row],[Expenses - Revenue Generation]:[Expenses - Admin]])</f>
        <v>310516</v>
      </c>
      <c r="AE37" s="74">
        <v>167630</v>
      </c>
      <c r="AF37" s="74">
        <v>41826</v>
      </c>
      <c r="AG37" s="74">
        <v>101060</v>
      </c>
      <c r="AH37" s="75">
        <f>Table1[[#This Row],[Total FTE - Editorial]]+Table1[[#This Row],[Total FTE - Non-Editorial]]</f>
        <v>13.5</v>
      </c>
      <c r="AI37" s="75">
        <f>Table1[[#This Row],[FTE Salaried - Editorial]]+Table1[[#This Row],[FTE Contractors - Editorial]]</f>
        <v>10</v>
      </c>
      <c r="AJ37" s="57">
        <v>10</v>
      </c>
      <c r="AK37" s="57">
        <v>0</v>
      </c>
      <c r="AL37" s="60">
        <f>Table1[[#This Row],[FTE Salaried - Non-Editorial]]+Table1[[#This Row],[FTE Contractors - Non-Editorial]]</f>
        <v>3.5</v>
      </c>
      <c r="AM37" s="57">
        <v>2.5</v>
      </c>
      <c r="AN37" s="57">
        <v>1</v>
      </c>
      <c r="AO37" s="86" t="s">
        <v>351</v>
      </c>
      <c r="AP37" s="86" t="s">
        <v>617</v>
      </c>
      <c r="AQ37" s="76">
        <v>16265</v>
      </c>
      <c r="AR37" s="76">
        <v>3497</v>
      </c>
      <c r="AS37" s="76">
        <v>0</v>
      </c>
      <c r="AT37" s="76">
        <v>0</v>
      </c>
      <c r="AU37" s="76">
        <v>0</v>
      </c>
      <c r="AV37" s="86" t="s">
        <v>617</v>
      </c>
      <c r="BC37" s="54"/>
      <c r="BD37" s="54"/>
      <c r="BE37" s="54"/>
      <c r="BF37" s="54"/>
      <c r="BG37" s="54"/>
      <c r="BI37" s="54"/>
      <c r="BK37" s="54"/>
      <c r="BL37" s="54"/>
      <c r="BM37" s="54"/>
      <c r="BN37" s="54"/>
      <c r="BO37" s="54"/>
      <c r="BP37" s="54"/>
      <c r="BS37" s="54"/>
      <c r="BT37" s="54"/>
      <c r="BU37" s="54"/>
      <c r="BV37" s="54"/>
      <c r="BW37" s="54"/>
    </row>
    <row r="38" spans="1:75" x14ac:dyDescent="0.2">
      <c r="A38" s="86" t="s">
        <v>682</v>
      </c>
      <c r="B38" s="86"/>
      <c r="C38" s="86" t="s">
        <v>7</v>
      </c>
      <c r="D38" s="86" t="s">
        <v>78</v>
      </c>
      <c r="E38" s="54" t="str">
        <f>_xlfn.CONCAT(Table1[[#This Row],[Geographic Scope]],": ",Table1[[#This Row],[Sub-Type/Focus]])</f>
        <v>Local: Multiple Related Topics</v>
      </c>
      <c r="F38" s="55">
        <f>Table1[[#This Row],[Total Contributed Income]]+Table1[[#This Row],[Total Earned Income]]</f>
        <v>1009967</v>
      </c>
      <c r="G38" s="87">
        <f>IFERROR((Table1[[#This Row],[Cont. Income - Foundation]]+Table1[[#This Row],[Cont. Income - Membership]]+Table1[[#This Row],[Cont. Income - Small Donors]]+Table1[[#This Row],[Cont. Income - Med. Donors]]+Table1[[#This Row],[Cont. Income - Major Donors]]+Table1[[#This Row],[Cont. Income - Other]]),0)</f>
        <v>1009779</v>
      </c>
      <c r="H38" s="87">
        <f>IFERROR((Table1[[#This Row],[Earned Income - Advertising]]+Table1[[#This Row],[Earned Income - Sponsorships/Underwriting]]+Table1[[#This Row],[Earned Income - Events]]+Table1[[#This Row],[Earned Income - Subscriptions]]+Table1[[#This Row],[Earned Income - Syndication]]+Table1[[#This Row],[Earned Income - Other TOTAL]]),0)</f>
        <v>188</v>
      </c>
      <c r="I38" s="74">
        <v>249500</v>
      </c>
      <c r="J38" s="74">
        <v>0</v>
      </c>
      <c r="K38" s="74">
        <v>0</v>
      </c>
      <c r="L38" s="74">
        <v>105779</v>
      </c>
      <c r="M38" s="74">
        <v>315000</v>
      </c>
      <c r="N38" s="74">
        <v>339500</v>
      </c>
      <c r="O38" s="79" t="s">
        <v>683</v>
      </c>
      <c r="P38" s="74">
        <v>0</v>
      </c>
      <c r="Q38" s="74">
        <v>0</v>
      </c>
      <c r="R38" s="74">
        <v>0</v>
      </c>
      <c r="S38" s="74">
        <v>0</v>
      </c>
      <c r="T38" s="74">
        <v>188</v>
      </c>
      <c r="U38" s="88">
        <f>IFERROR(Table1[[#This Row],[Earned Income - Training Fees]]+Table1[[#This Row],[Earned Income - Fees]]+Table1[[#This Row],[Earned Income - Investments]]+Table1[[#This Row],[Earned Income - Other]],0)</f>
        <v>0</v>
      </c>
      <c r="V38" s="74">
        <v>0</v>
      </c>
      <c r="W38" s="74">
        <v>0</v>
      </c>
      <c r="X38" s="86" t="s">
        <v>617</v>
      </c>
      <c r="Y38" s="74">
        <v>0</v>
      </c>
      <c r="Z38" s="74">
        <v>0</v>
      </c>
      <c r="AA38" s="86" t="s">
        <v>617</v>
      </c>
      <c r="AB38" s="88">
        <f t="shared" si="1"/>
        <v>851000</v>
      </c>
      <c r="AC38" s="74">
        <v>470000</v>
      </c>
      <c r="AD38" s="88">
        <f>SUM(Table1[[#This Row],[Expenses - Revenue Generation]:[Expenses - Admin]])</f>
        <v>381000</v>
      </c>
      <c r="AE38" s="74">
        <v>75000</v>
      </c>
      <c r="AF38" s="74">
        <v>0</v>
      </c>
      <c r="AG38" s="74">
        <v>306000</v>
      </c>
      <c r="AH38" s="75">
        <f>Table1[[#This Row],[Total FTE - Editorial]]+Table1[[#This Row],[Total FTE - Non-Editorial]]</f>
        <v>9</v>
      </c>
      <c r="AI38" s="75">
        <f>Table1[[#This Row],[FTE Salaried - Editorial]]+Table1[[#This Row],[FTE Contractors - Editorial]]</f>
        <v>6</v>
      </c>
      <c r="AJ38" s="57">
        <v>6</v>
      </c>
      <c r="AK38" s="57">
        <v>0</v>
      </c>
      <c r="AL38" s="60">
        <f>Table1[[#This Row],[FTE Salaried - Non-Editorial]]+Table1[[#This Row],[FTE Contractors - Non-Editorial]]</f>
        <v>3</v>
      </c>
      <c r="AM38" s="57">
        <v>3</v>
      </c>
      <c r="AN38" s="57">
        <v>0</v>
      </c>
      <c r="AO38" s="86" t="s">
        <v>351</v>
      </c>
      <c r="AP38" s="86" t="s">
        <v>617</v>
      </c>
      <c r="AQ38" s="76">
        <v>31583</v>
      </c>
      <c r="AR38" s="76">
        <v>2000</v>
      </c>
      <c r="AS38" s="76">
        <v>0</v>
      </c>
      <c r="AT38" s="76">
        <v>0</v>
      </c>
      <c r="AU38" s="76">
        <v>0</v>
      </c>
      <c r="AV38" s="86" t="s">
        <v>617</v>
      </c>
      <c r="BC38" s="54"/>
      <c r="BD38" s="54"/>
      <c r="BE38" s="54"/>
      <c r="BF38" s="54"/>
      <c r="BG38" s="54"/>
      <c r="BI38" s="54"/>
      <c r="BK38" s="54"/>
      <c r="BL38" s="54"/>
      <c r="BM38" s="54"/>
      <c r="BN38" s="54"/>
      <c r="BO38" s="54"/>
      <c r="BP38" s="54"/>
      <c r="BS38" s="54"/>
      <c r="BT38" s="54"/>
      <c r="BU38" s="54"/>
      <c r="BV38" s="54"/>
      <c r="BW38" s="54"/>
    </row>
    <row r="39" spans="1:75" x14ac:dyDescent="0.2">
      <c r="A39" s="86" t="s">
        <v>684</v>
      </c>
      <c r="B39" s="86"/>
      <c r="C39" s="86" t="s">
        <v>505</v>
      </c>
      <c r="D39" s="86" t="s">
        <v>78</v>
      </c>
      <c r="E39" s="54" t="str">
        <f>_xlfn.CONCAT(Table1[[#This Row],[Geographic Scope]],": ",Table1[[#This Row],[Sub-Type/Focus]])</f>
        <v>Regional: Multiple Related Topics</v>
      </c>
      <c r="F39" s="55">
        <f>Table1[[#This Row],[Total Contributed Income]]+Table1[[#This Row],[Total Earned Income]]</f>
        <v>203983.02000000002</v>
      </c>
      <c r="G39" s="87">
        <f>IFERROR((Table1[[#This Row],[Cont. Income - Foundation]]+Table1[[#This Row],[Cont. Income - Membership]]+Table1[[#This Row],[Cont. Income - Small Donors]]+Table1[[#This Row],[Cont. Income - Med. Donors]]+Table1[[#This Row],[Cont. Income - Major Donors]]+Table1[[#This Row],[Cont. Income - Other]]),0)</f>
        <v>197529.7</v>
      </c>
      <c r="H39" s="87">
        <f>IFERROR((Table1[[#This Row],[Earned Income - Advertising]]+Table1[[#This Row],[Earned Income - Sponsorships/Underwriting]]+Table1[[#This Row],[Earned Income - Events]]+Table1[[#This Row],[Earned Income - Subscriptions]]+Table1[[#This Row],[Earned Income - Syndication]]+Table1[[#This Row],[Earned Income - Other TOTAL]]),0)</f>
        <v>6453.3200000000006</v>
      </c>
      <c r="I39" s="74">
        <v>132359.76</v>
      </c>
      <c r="J39" s="74">
        <v>0</v>
      </c>
      <c r="K39" s="74">
        <v>25843.75</v>
      </c>
      <c r="L39" s="74">
        <v>24326.19</v>
      </c>
      <c r="M39" s="74">
        <v>15000</v>
      </c>
      <c r="N39" s="74">
        <v>0</v>
      </c>
      <c r="O39" s="79" t="s">
        <v>617</v>
      </c>
      <c r="P39" s="74">
        <v>0</v>
      </c>
      <c r="Q39" s="74">
        <v>0</v>
      </c>
      <c r="R39" s="74">
        <v>0</v>
      </c>
      <c r="S39" s="74">
        <v>0</v>
      </c>
      <c r="T39" s="74">
        <v>468.96</v>
      </c>
      <c r="U39" s="88">
        <f>IFERROR(Table1[[#This Row],[Earned Income - Training Fees]]+Table1[[#This Row],[Earned Income - Fees]]+Table1[[#This Row],[Earned Income - Investments]]+Table1[[#This Row],[Earned Income - Other]],0)</f>
        <v>5984.3600000000006</v>
      </c>
      <c r="V39" s="74">
        <v>0</v>
      </c>
      <c r="W39" s="74">
        <v>212.55</v>
      </c>
      <c r="X39" s="86" t="s">
        <v>617</v>
      </c>
      <c r="Y39" s="74">
        <v>5000.04</v>
      </c>
      <c r="Z39" s="74">
        <v>771.77</v>
      </c>
      <c r="AA39" s="86" t="s">
        <v>617</v>
      </c>
      <c r="AB39" s="88">
        <f t="shared" si="1"/>
        <v>194135.19</v>
      </c>
      <c r="AC39" s="74">
        <v>88770.54</v>
      </c>
      <c r="AD39" s="88">
        <f>SUM(Table1[[#This Row],[Expenses - Revenue Generation]:[Expenses - Admin]])</f>
        <v>105364.65</v>
      </c>
      <c r="AE39" s="74">
        <v>43947.49</v>
      </c>
      <c r="AF39" s="74">
        <v>4793.41</v>
      </c>
      <c r="AG39" s="74">
        <v>56623.75</v>
      </c>
      <c r="AH39" s="75">
        <f>Table1[[#This Row],[Total FTE - Editorial]]+Table1[[#This Row],[Total FTE - Non-Editorial]]</f>
        <v>6.25</v>
      </c>
      <c r="AI39" s="75">
        <f>Table1[[#This Row],[FTE Salaried - Editorial]]+Table1[[#This Row],[FTE Contractors - Editorial]]</f>
        <v>4.5</v>
      </c>
      <c r="AJ39" s="57">
        <v>1</v>
      </c>
      <c r="AK39" s="57">
        <v>3.5</v>
      </c>
      <c r="AL39" s="60">
        <f>Table1[[#This Row],[FTE Salaried - Non-Editorial]]+Table1[[#This Row],[FTE Contractors - Non-Editorial]]</f>
        <v>1.75</v>
      </c>
      <c r="AM39" s="57">
        <v>0.75</v>
      </c>
      <c r="AN39" s="57">
        <v>1</v>
      </c>
      <c r="AO39" s="86" t="s">
        <v>351</v>
      </c>
      <c r="AP39" s="86" t="s">
        <v>617</v>
      </c>
      <c r="AQ39" s="76">
        <v>9350</v>
      </c>
      <c r="AR39" s="76">
        <v>1176</v>
      </c>
      <c r="AS39" s="76">
        <v>0</v>
      </c>
      <c r="AT39" s="76">
        <v>0</v>
      </c>
      <c r="AU39" s="76">
        <v>0</v>
      </c>
      <c r="AV39" s="86" t="s">
        <v>617</v>
      </c>
      <c r="BC39" s="54"/>
      <c r="BD39" s="54"/>
      <c r="BE39" s="54"/>
      <c r="BF39" s="54"/>
      <c r="BG39" s="54"/>
      <c r="BI39" s="54"/>
      <c r="BK39" s="54"/>
      <c r="BL39" s="54"/>
      <c r="BM39" s="54"/>
      <c r="BN39" s="54"/>
      <c r="BO39" s="54"/>
      <c r="BP39" s="54"/>
      <c r="BS39" s="54"/>
      <c r="BT39" s="54"/>
      <c r="BU39" s="54"/>
      <c r="BV39" s="54"/>
      <c r="BW39" s="54"/>
    </row>
    <row r="40" spans="1:75" x14ac:dyDescent="0.2">
      <c r="A40" s="86" t="s">
        <v>685</v>
      </c>
      <c r="B40" s="86"/>
      <c r="C40" s="86" t="s">
        <v>7</v>
      </c>
      <c r="D40" s="86" t="s">
        <v>78</v>
      </c>
      <c r="E40" s="54" t="str">
        <f>_xlfn.CONCAT(Table1[[#This Row],[Geographic Scope]],": ",Table1[[#This Row],[Sub-Type/Focus]])</f>
        <v>Local: Multiple Related Topics</v>
      </c>
      <c r="F40" s="55">
        <f>Table1[[#This Row],[Total Contributed Income]]+Table1[[#This Row],[Total Earned Income]]</f>
        <v>262020</v>
      </c>
      <c r="G40" s="87">
        <f>IFERROR((Table1[[#This Row],[Cont. Income - Foundation]]+Table1[[#This Row],[Cont. Income - Membership]]+Table1[[#This Row],[Cont. Income - Small Donors]]+Table1[[#This Row],[Cont. Income - Med. Donors]]+Table1[[#This Row],[Cont. Income - Major Donors]]+Table1[[#This Row],[Cont. Income - Other]]),0)</f>
        <v>167525</v>
      </c>
      <c r="H40" s="87">
        <f>IFERROR((Table1[[#This Row],[Earned Income - Advertising]]+Table1[[#This Row],[Earned Income - Sponsorships/Underwriting]]+Table1[[#This Row],[Earned Income - Events]]+Table1[[#This Row],[Earned Income - Subscriptions]]+Table1[[#This Row],[Earned Income - Syndication]]+Table1[[#This Row],[Earned Income - Other TOTAL]]),0)</f>
        <v>94495</v>
      </c>
      <c r="I40" s="74">
        <v>62300</v>
      </c>
      <c r="J40" s="74">
        <v>0</v>
      </c>
      <c r="K40" s="74">
        <v>33525</v>
      </c>
      <c r="L40" s="74">
        <v>47200</v>
      </c>
      <c r="M40" s="74">
        <v>24500</v>
      </c>
      <c r="N40" s="74">
        <v>0</v>
      </c>
      <c r="O40" s="79" t="s">
        <v>617</v>
      </c>
      <c r="P40" s="74">
        <v>0</v>
      </c>
      <c r="Q40" s="74">
        <v>0</v>
      </c>
      <c r="R40" s="74">
        <v>20230</v>
      </c>
      <c r="S40" s="74">
        <v>0</v>
      </c>
      <c r="T40" s="74">
        <v>74265</v>
      </c>
      <c r="U40" s="88">
        <f>IFERROR(Table1[[#This Row],[Earned Income - Training Fees]]+Table1[[#This Row],[Earned Income - Fees]]+Table1[[#This Row],[Earned Income - Investments]]+Table1[[#This Row],[Earned Income - Other]],0)</f>
        <v>0</v>
      </c>
      <c r="V40" s="74">
        <v>0</v>
      </c>
      <c r="W40" s="74">
        <v>0</v>
      </c>
      <c r="X40" s="86" t="s">
        <v>617</v>
      </c>
      <c r="Y40" s="74">
        <v>0</v>
      </c>
      <c r="Z40" s="74">
        <v>0</v>
      </c>
      <c r="AA40" s="86" t="s">
        <v>617</v>
      </c>
      <c r="AB40" s="88">
        <f t="shared" si="1"/>
        <v>334420</v>
      </c>
      <c r="AC40" s="74">
        <v>238683</v>
      </c>
      <c r="AD40" s="88">
        <f>SUM(Table1[[#This Row],[Expenses - Revenue Generation]:[Expenses - Admin]])</f>
        <v>95737</v>
      </c>
      <c r="AE40" s="74">
        <v>20088</v>
      </c>
      <c r="AF40" s="74">
        <v>11856</v>
      </c>
      <c r="AG40" s="74">
        <v>63793</v>
      </c>
      <c r="AH40" s="75">
        <f>Table1[[#This Row],[Total FTE - Editorial]]+Table1[[#This Row],[Total FTE - Non-Editorial]]</f>
        <v>4</v>
      </c>
      <c r="AI40" s="75">
        <f>Table1[[#This Row],[FTE Salaried - Editorial]]+Table1[[#This Row],[FTE Contractors - Editorial]]</f>
        <v>4</v>
      </c>
      <c r="AJ40" s="57">
        <v>4</v>
      </c>
      <c r="AK40" s="57">
        <v>0</v>
      </c>
      <c r="AL40" s="60">
        <f>Table1[[#This Row],[FTE Salaried - Non-Editorial]]+Table1[[#This Row],[FTE Contractors - Non-Editorial]]</f>
        <v>0</v>
      </c>
      <c r="AM40" s="57">
        <v>0</v>
      </c>
      <c r="AN40" s="57">
        <v>0</v>
      </c>
      <c r="AO40" s="86" t="s">
        <v>351</v>
      </c>
      <c r="AP40" s="86" t="s">
        <v>617</v>
      </c>
      <c r="AQ40" s="76">
        <v>3500</v>
      </c>
      <c r="AR40" s="76">
        <v>2900</v>
      </c>
      <c r="AS40" s="76">
        <v>0</v>
      </c>
      <c r="AT40" s="76">
        <v>0</v>
      </c>
      <c r="AU40" s="76">
        <v>200000</v>
      </c>
      <c r="AV40" s="86" t="s">
        <v>686</v>
      </c>
      <c r="BC40" s="54"/>
      <c r="BD40" s="54"/>
      <c r="BE40" s="54"/>
      <c r="BF40" s="54"/>
      <c r="BG40" s="54"/>
      <c r="BI40" s="54"/>
      <c r="BK40" s="54"/>
      <c r="BL40" s="54"/>
      <c r="BM40" s="54"/>
      <c r="BN40" s="54"/>
      <c r="BO40" s="54"/>
      <c r="BP40" s="54"/>
      <c r="BS40" s="54"/>
      <c r="BT40" s="54"/>
      <c r="BU40" s="54"/>
      <c r="BV40" s="54"/>
      <c r="BW40" s="54"/>
    </row>
    <row r="41" spans="1:75" x14ac:dyDescent="0.2">
      <c r="A41" s="86" t="s">
        <v>687</v>
      </c>
      <c r="B41" s="86"/>
      <c r="C41" s="86" t="s">
        <v>6</v>
      </c>
      <c r="D41" s="86" t="s">
        <v>78</v>
      </c>
      <c r="E41" s="54" t="str">
        <f>_xlfn.CONCAT(Table1[[#This Row],[Geographic Scope]],": ",Table1[[#This Row],[Sub-Type/Focus]])</f>
        <v>National: Multiple Related Topics</v>
      </c>
      <c r="F41" s="55">
        <f>Table1[[#This Row],[Total Contributed Income]]+Table1[[#This Row],[Total Earned Income]]</f>
        <v>1871539</v>
      </c>
      <c r="G41" s="87">
        <f>IFERROR((Table1[[#This Row],[Cont. Income - Foundation]]+Table1[[#This Row],[Cont. Income - Membership]]+Table1[[#This Row],[Cont. Income - Small Donors]]+Table1[[#This Row],[Cont. Income - Med. Donors]]+Table1[[#This Row],[Cont. Income - Major Donors]]+Table1[[#This Row],[Cont. Income - Other]]),0)</f>
        <v>1203760</v>
      </c>
      <c r="H41" s="87">
        <f>IFERROR((Table1[[#This Row],[Earned Income - Advertising]]+Table1[[#This Row],[Earned Income - Sponsorships/Underwriting]]+Table1[[#This Row],[Earned Income - Events]]+Table1[[#This Row],[Earned Income - Subscriptions]]+Table1[[#This Row],[Earned Income - Syndication]]+Table1[[#This Row],[Earned Income - Other TOTAL]]),0)</f>
        <v>667779</v>
      </c>
      <c r="I41" s="74">
        <v>925000</v>
      </c>
      <c r="J41" s="74">
        <v>0</v>
      </c>
      <c r="K41" s="74">
        <v>168760</v>
      </c>
      <c r="L41" s="74">
        <v>0</v>
      </c>
      <c r="M41" s="74">
        <v>110000</v>
      </c>
      <c r="N41" s="74">
        <v>0</v>
      </c>
      <c r="O41" s="79" t="s">
        <v>617</v>
      </c>
      <c r="P41" s="74">
        <v>0</v>
      </c>
      <c r="Q41" s="74">
        <v>0</v>
      </c>
      <c r="R41" s="74">
        <v>0</v>
      </c>
      <c r="S41" s="74">
        <v>0</v>
      </c>
      <c r="T41" s="74">
        <v>2118</v>
      </c>
      <c r="U41" s="88">
        <f>IFERROR(Table1[[#This Row],[Earned Income - Training Fees]]+Table1[[#This Row],[Earned Income - Fees]]+Table1[[#This Row],[Earned Income - Investments]]+Table1[[#This Row],[Earned Income - Other]],0)</f>
        <v>665661</v>
      </c>
      <c r="V41" s="74">
        <v>0</v>
      </c>
      <c r="W41" s="74">
        <v>0</v>
      </c>
      <c r="X41" s="86" t="s">
        <v>617</v>
      </c>
      <c r="Y41" s="74">
        <v>0</v>
      </c>
      <c r="Z41" s="74">
        <v>665661</v>
      </c>
      <c r="AA41" s="86" t="s">
        <v>688</v>
      </c>
      <c r="AB41" s="88">
        <f t="shared" si="1"/>
        <v>1873835</v>
      </c>
      <c r="AC41" s="74">
        <v>1468256</v>
      </c>
      <c r="AD41" s="88">
        <f>SUM(Table1[[#This Row],[Expenses - Revenue Generation]:[Expenses - Admin]])</f>
        <v>405579</v>
      </c>
      <c r="AE41" s="74">
        <v>174010</v>
      </c>
      <c r="AF41" s="74">
        <v>22884</v>
      </c>
      <c r="AG41" s="74">
        <v>208685</v>
      </c>
      <c r="AH41" s="75">
        <f>Table1[[#This Row],[Total FTE - Editorial]]+Table1[[#This Row],[Total FTE - Non-Editorial]]</f>
        <v>15</v>
      </c>
      <c r="AI41" s="75">
        <f>Table1[[#This Row],[FTE Salaried - Editorial]]+Table1[[#This Row],[FTE Contractors - Editorial]]</f>
        <v>11</v>
      </c>
      <c r="AJ41" s="57">
        <v>6</v>
      </c>
      <c r="AK41" s="57">
        <v>5</v>
      </c>
      <c r="AL41" s="60">
        <f>Table1[[#This Row],[FTE Salaried - Non-Editorial]]+Table1[[#This Row],[FTE Contractors - Non-Editorial]]</f>
        <v>4</v>
      </c>
      <c r="AM41" s="57">
        <v>4</v>
      </c>
      <c r="AN41" s="57">
        <v>0</v>
      </c>
      <c r="AO41" s="86" t="s">
        <v>351</v>
      </c>
      <c r="AP41" s="86" t="s">
        <v>617</v>
      </c>
      <c r="AQ41" s="76">
        <v>6872</v>
      </c>
      <c r="AR41" s="76">
        <v>1250</v>
      </c>
      <c r="AS41" s="76">
        <v>0</v>
      </c>
      <c r="AT41" s="76">
        <v>0</v>
      </c>
      <c r="AU41" s="76">
        <v>1600000</v>
      </c>
      <c r="AV41" s="86" t="s">
        <v>686</v>
      </c>
      <c r="BC41" s="54"/>
      <c r="BD41" s="54"/>
      <c r="BE41" s="54"/>
      <c r="BF41" s="54"/>
      <c r="BG41" s="54"/>
      <c r="BI41" s="54"/>
      <c r="BK41" s="54"/>
      <c r="BL41" s="54"/>
      <c r="BM41" s="54"/>
      <c r="BN41" s="54"/>
      <c r="BO41" s="54"/>
      <c r="BP41" s="54"/>
      <c r="BS41" s="54"/>
      <c r="BT41" s="54"/>
      <c r="BU41" s="54"/>
      <c r="BV41" s="54"/>
      <c r="BW41" s="54"/>
    </row>
    <row r="42" spans="1:75" x14ac:dyDescent="0.2">
      <c r="A42" s="86" t="s">
        <v>689</v>
      </c>
      <c r="B42" s="86"/>
      <c r="C42" s="86" t="s">
        <v>83</v>
      </c>
      <c r="D42" s="86" t="s">
        <v>77</v>
      </c>
      <c r="E42" s="54" t="str">
        <f>_xlfn.CONCAT(Table1[[#This Row],[Geographic Scope]],": ",Table1[[#This Row],[Sub-Type/Focus]])</f>
        <v>State: General</v>
      </c>
      <c r="F42" s="55">
        <f>Table1[[#This Row],[Total Contributed Income]]+Table1[[#This Row],[Total Earned Income]]</f>
        <v>127508.23</v>
      </c>
      <c r="G42" s="87">
        <f>IFERROR((Table1[[#This Row],[Cont. Income - Foundation]]+Table1[[#This Row],[Cont. Income - Membership]]+Table1[[#This Row],[Cont. Income - Small Donors]]+Table1[[#This Row],[Cont. Income - Med. Donors]]+Table1[[#This Row],[Cont. Income - Major Donors]]+Table1[[#This Row],[Cont. Income - Other]]),0)</f>
        <v>116508.23</v>
      </c>
      <c r="H42" s="87">
        <f>IFERROR((Table1[[#This Row],[Earned Income - Advertising]]+Table1[[#This Row],[Earned Income - Sponsorships/Underwriting]]+Table1[[#This Row],[Earned Income - Events]]+Table1[[#This Row],[Earned Income - Subscriptions]]+Table1[[#This Row],[Earned Income - Syndication]]+Table1[[#This Row],[Earned Income - Other TOTAL]]),0)</f>
        <v>11000</v>
      </c>
      <c r="I42" s="74">
        <v>79844.92</v>
      </c>
      <c r="J42" s="74">
        <v>0</v>
      </c>
      <c r="K42" s="74">
        <v>15501.11</v>
      </c>
      <c r="L42" s="74">
        <v>3000</v>
      </c>
      <c r="M42" s="74">
        <v>10162.200000000001</v>
      </c>
      <c r="N42" s="74">
        <v>8000</v>
      </c>
      <c r="O42" s="79" t="s">
        <v>690</v>
      </c>
      <c r="P42" s="74">
        <v>0</v>
      </c>
      <c r="Q42" s="74">
        <v>0</v>
      </c>
      <c r="R42" s="74">
        <v>5000</v>
      </c>
      <c r="S42" s="74">
        <v>6000</v>
      </c>
      <c r="T42" s="74">
        <v>0</v>
      </c>
      <c r="U42" s="88">
        <f>IFERROR(Table1[[#This Row],[Earned Income - Training Fees]]+Table1[[#This Row],[Earned Income - Fees]]+Table1[[#This Row],[Earned Income - Investments]]+Table1[[#This Row],[Earned Income - Other]],0)</f>
        <v>0</v>
      </c>
      <c r="V42" s="74">
        <v>0</v>
      </c>
      <c r="W42" s="74">
        <v>0</v>
      </c>
      <c r="X42" s="86" t="s">
        <v>617</v>
      </c>
      <c r="Y42" s="74">
        <v>0</v>
      </c>
      <c r="Z42" s="74">
        <v>0</v>
      </c>
      <c r="AA42" s="86" t="s">
        <v>617</v>
      </c>
      <c r="AB42" s="88">
        <f t="shared" si="1"/>
        <v>107065.37</v>
      </c>
      <c r="AC42" s="74">
        <v>92065.37</v>
      </c>
      <c r="AD42" s="88">
        <f>SUM(Table1[[#This Row],[Expenses - Revenue Generation]:[Expenses - Admin]])</f>
        <v>15000</v>
      </c>
      <c r="AE42" s="74">
        <v>4000</v>
      </c>
      <c r="AF42" s="74">
        <v>1000</v>
      </c>
      <c r="AG42" s="74">
        <v>10000</v>
      </c>
      <c r="AH42" s="75">
        <f>Table1[[#This Row],[Total FTE - Editorial]]+Table1[[#This Row],[Total FTE - Non-Editorial]]</f>
        <v>2</v>
      </c>
      <c r="AI42" s="75">
        <f>Table1[[#This Row],[FTE Salaried - Editorial]]+Table1[[#This Row],[FTE Contractors - Editorial]]</f>
        <v>0.75</v>
      </c>
      <c r="AJ42" s="57">
        <v>0.25</v>
      </c>
      <c r="AK42" s="57">
        <v>0.5</v>
      </c>
      <c r="AL42" s="60">
        <f>Table1[[#This Row],[FTE Salaried - Non-Editorial]]+Table1[[#This Row],[FTE Contractors - Non-Editorial]]</f>
        <v>1.25</v>
      </c>
      <c r="AM42" s="57">
        <v>0.75</v>
      </c>
      <c r="AN42" s="57">
        <v>0.5</v>
      </c>
      <c r="AO42" s="86" t="s">
        <v>599</v>
      </c>
      <c r="AP42" s="86" t="s">
        <v>617</v>
      </c>
      <c r="AQ42" s="76">
        <v>0</v>
      </c>
      <c r="AR42" s="76">
        <v>242</v>
      </c>
      <c r="AS42" s="76">
        <v>0</v>
      </c>
      <c r="AT42" s="76">
        <v>0</v>
      </c>
      <c r="AU42" s="76">
        <v>0</v>
      </c>
      <c r="AV42" s="86" t="s">
        <v>617</v>
      </c>
      <c r="BC42" s="54"/>
      <c r="BD42" s="54"/>
      <c r="BE42" s="54"/>
      <c r="BF42" s="54"/>
      <c r="BG42" s="54"/>
      <c r="BI42" s="54"/>
      <c r="BK42" s="54"/>
      <c r="BL42" s="54"/>
      <c r="BM42" s="54"/>
      <c r="BN42" s="54"/>
      <c r="BO42" s="54"/>
      <c r="BP42" s="54"/>
      <c r="BS42" s="54"/>
      <c r="BT42" s="54"/>
      <c r="BU42" s="54"/>
      <c r="BV42" s="54"/>
      <c r="BW42" s="54"/>
    </row>
    <row r="43" spans="1:75" x14ac:dyDescent="0.2">
      <c r="A43" s="86" t="s">
        <v>691</v>
      </c>
      <c r="B43" s="86"/>
      <c r="C43" s="86" t="s">
        <v>6</v>
      </c>
      <c r="D43" s="86" t="s">
        <v>79</v>
      </c>
      <c r="E43" s="54" t="str">
        <f>_xlfn.CONCAT(Table1[[#This Row],[Geographic Scope]],": ",Table1[[#This Row],[Sub-Type/Focus]])</f>
        <v>National: Single-Topic</v>
      </c>
      <c r="F43" s="55">
        <f>Table1[[#This Row],[Total Contributed Income]]+Table1[[#This Row],[Total Earned Income]]</f>
        <v>768479.25</v>
      </c>
      <c r="G43" s="87">
        <f>IFERROR((Table1[[#This Row],[Cont. Income - Foundation]]+Table1[[#This Row],[Cont. Income - Membership]]+Table1[[#This Row],[Cont. Income - Small Donors]]+Table1[[#This Row],[Cont. Income - Med. Donors]]+Table1[[#This Row],[Cont. Income - Major Donors]]+Table1[[#This Row],[Cont. Income - Other]]),0)</f>
        <v>436205.25</v>
      </c>
      <c r="H43" s="87">
        <f>IFERROR((Table1[[#This Row],[Earned Income - Advertising]]+Table1[[#This Row],[Earned Income - Sponsorships/Underwriting]]+Table1[[#This Row],[Earned Income - Events]]+Table1[[#This Row],[Earned Income - Subscriptions]]+Table1[[#This Row],[Earned Income - Syndication]]+Table1[[#This Row],[Earned Income - Other TOTAL]]),0)</f>
        <v>332274</v>
      </c>
      <c r="I43" s="74">
        <v>374485</v>
      </c>
      <c r="J43" s="74">
        <v>0</v>
      </c>
      <c r="K43" s="74">
        <v>13210</v>
      </c>
      <c r="L43" s="74">
        <v>6000</v>
      </c>
      <c r="M43" s="74">
        <v>42510.25</v>
      </c>
      <c r="N43" s="74">
        <v>0</v>
      </c>
      <c r="O43" s="79" t="s">
        <v>617</v>
      </c>
      <c r="P43" s="74">
        <v>20000</v>
      </c>
      <c r="Q43" s="74">
        <v>0</v>
      </c>
      <c r="R43" s="74">
        <v>0</v>
      </c>
      <c r="S43" s="74">
        <v>30000</v>
      </c>
      <c r="T43" s="74">
        <v>11000</v>
      </c>
      <c r="U43" s="88">
        <f>IFERROR(Table1[[#This Row],[Earned Income - Training Fees]]+Table1[[#This Row],[Earned Income - Fees]]+Table1[[#This Row],[Earned Income - Investments]]+Table1[[#This Row],[Earned Income - Other]],0)</f>
        <v>271274</v>
      </c>
      <c r="V43" s="74">
        <v>0</v>
      </c>
      <c r="W43" s="74">
        <v>0</v>
      </c>
      <c r="X43" s="86" t="s">
        <v>617</v>
      </c>
      <c r="Y43" s="74">
        <v>0</v>
      </c>
      <c r="Z43" s="74">
        <v>271274</v>
      </c>
      <c r="AA43" s="86" t="s">
        <v>692</v>
      </c>
      <c r="AB43" s="88">
        <f t="shared" si="1"/>
        <v>769500</v>
      </c>
      <c r="AC43" s="74">
        <v>659000</v>
      </c>
      <c r="AD43" s="88">
        <f>SUM(Table1[[#This Row],[Expenses - Revenue Generation]:[Expenses - Admin]])</f>
        <v>110500</v>
      </c>
      <c r="AE43" s="74">
        <v>45000</v>
      </c>
      <c r="AF43" s="74">
        <v>26500</v>
      </c>
      <c r="AG43" s="74">
        <v>39000</v>
      </c>
      <c r="AH43" s="75">
        <f>Table1[[#This Row],[Total FTE - Editorial]]+Table1[[#This Row],[Total FTE - Non-Editorial]]</f>
        <v>25</v>
      </c>
      <c r="AI43" s="75">
        <f>Table1[[#This Row],[FTE Salaried - Editorial]]+Table1[[#This Row],[FTE Contractors - Editorial]]</f>
        <v>18.5</v>
      </c>
      <c r="AJ43" s="57">
        <v>5.5</v>
      </c>
      <c r="AK43" s="57">
        <v>13</v>
      </c>
      <c r="AL43" s="60">
        <f>Table1[[#This Row],[FTE Salaried - Non-Editorial]]+Table1[[#This Row],[FTE Contractors - Non-Editorial]]</f>
        <v>6.5</v>
      </c>
      <c r="AM43" s="57">
        <v>5</v>
      </c>
      <c r="AN43" s="57">
        <v>1.5</v>
      </c>
      <c r="AO43" s="86" t="s">
        <v>351</v>
      </c>
      <c r="AP43" s="86" t="s">
        <v>617</v>
      </c>
      <c r="AQ43" s="76">
        <v>50000</v>
      </c>
      <c r="AR43" s="76">
        <v>10000</v>
      </c>
      <c r="AS43" s="76">
        <v>10000</v>
      </c>
      <c r="AT43" s="76">
        <v>1</v>
      </c>
      <c r="AU43" s="76">
        <v>0</v>
      </c>
      <c r="AV43" s="86" t="s">
        <v>617</v>
      </c>
      <c r="BC43" s="54"/>
      <c r="BD43" s="54"/>
      <c r="BE43" s="54"/>
      <c r="BF43" s="54"/>
      <c r="BG43" s="54"/>
      <c r="BI43" s="54"/>
      <c r="BK43" s="54"/>
      <c r="BL43" s="54"/>
      <c r="BM43" s="54"/>
      <c r="BN43" s="54"/>
      <c r="BO43" s="54"/>
      <c r="BP43" s="54"/>
      <c r="BS43" s="54"/>
      <c r="BT43" s="54"/>
      <c r="BU43" s="54"/>
      <c r="BV43" s="54"/>
      <c r="BW43" s="54"/>
    </row>
    <row r="44" spans="1:75" x14ac:dyDescent="0.2">
      <c r="A44" s="86" t="s">
        <v>693</v>
      </c>
      <c r="B44" s="86"/>
      <c r="C44" s="86" t="s">
        <v>7</v>
      </c>
      <c r="D44" s="86" t="s">
        <v>77</v>
      </c>
      <c r="E44" s="54" t="str">
        <f>_xlfn.CONCAT(Table1[[#This Row],[Geographic Scope]],": ",Table1[[#This Row],[Sub-Type/Focus]])</f>
        <v>Local: General</v>
      </c>
      <c r="F44" s="55">
        <f>Table1[[#This Row],[Total Contributed Income]]+Table1[[#This Row],[Total Earned Income]]</f>
        <v>59583</v>
      </c>
      <c r="G44" s="87">
        <f>IFERROR((Table1[[#This Row],[Cont. Income - Foundation]]+Table1[[#This Row],[Cont. Income - Membership]]+Table1[[#This Row],[Cont. Income - Small Donors]]+Table1[[#This Row],[Cont. Income - Med. Donors]]+Table1[[#This Row],[Cont. Income - Major Donors]]+Table1[[#This Row],[Cont. Income - Other]]),0)</f>
        <v>48583</v>
      </c>
      <c r="H44" s="87">
        <f>IFERROR((Table1[[#This Row],[Earned Income - Advertising]]+Table1[[#This Row],[Earned Income - Sponsorships/Underwriting]]+Table1[[#This Row],[Earned Income - Events]]+Table1[[#This Row],[Earned Income - Subscriptions]]+Table1[[#This Row],[Earned Income - Syndication]]+Table1[[#This Row],[Earned Income - Other TOTAL]]),0)</f>
        <v>11000</v>
      </c>
      <c r="I44" s="74">
        <v>16021</v>
      </c>
      <c r="J44" s="74">
        <v>0</v>
      </c>
      <c r="K44" s="74">
        <v>15746</v>
      </c>
      <c r="L44" s="74">
        <v>10579</v>
      </c>
      <c r="M44" s="74">
        <v>6237</v>
      </c>
      <c r="N44" s="74">
        <v>0</v>
      </c>
      <c r="O44" s="79" t="s">
        <v>617</v>
      </c>
      <c r="P44" s="74">
        <v>0</v>
      </c>
      <c r="Q44" s="74">
        <v>11000</v>
      </c>
      <c r="R44" s="74">
        <v>0</v>
      </c>
      <c r="S44" s="74">
        <v>0</v>
      </c>
      <c r="T44" s="74">
        <v>0</v>
      </c>
      <c r="U44" s="88">
        <f>IFERROR(Table1[[#This Row],[Earned Income - Training Fees]]+Table1[[#This Row],[Earned Income - Fees]]+Table1[[#This Row],[Earned Income - Investments]]+Table1[[#This Row],[Earned Income - Other]],0)</f>
        <v>0</v>
      </c>
      <c r="V44" s="74">
        <v>0</v>
      </c>
      <c r="W44" s="74">
        <v>0</v>
      </c>
      <c r="X44" s="86" t="s">
        <v>617</v>
      </c>
      <c r="Y44" s="74">
        <v>0</v>
      </c>
      <c r="Z44" s="74">
        <v>0</v>
      </c>
      <c r="AA44" s="86" t="s">
        <v>617</v>
      </c>
      <c r="AB44" s="88">
        <f t="shared" si="1"/>
        <v>37898</v>
      </c>
      <c r="AC44" s="74">
        <v>15113</v>
      </c>
      <c r="AD44" s="88">
        <f>SUM(Table1[[#This Row],[Expenses - Revenue Generation]:[Expenses - Admin]])</f>
        <v>22785</v>
      </c>
      <c r="AE44" s="74">
        <v>1093</v>
      </c>
      <c r="AF44" s="74">
        <v>1500</v>
      </c>
      <c r="AG44" s="74">
        <v>20192</v>
      </c>
      <c r="AH44" s="75">
        <f>Table1[[#This Row],[Total FTE - Editorial]]+Table1[[#This Row],[Total FTE - Non-Editorial]]</f>
        <v>1.5</v>
      </c>
      <c r="AI44" s="75">
        <f>Table1[[#This Row],[FTE Salaried - Editorial]]+Table1[[#This Row],[FTE Contractors - Editorial]]</f>
        <v>1</v>
      </c>
      <c r="AJ44" s="57">
        <v>0</v>
      </c>
      <c r="AK44" s="57">
        <v>1</v>
      </c>
      <c r="AL44" s="60">
        <f>Table1[[#This Row],[FTE Salaried - Non-Editorial]]+Table1[[#This Row],[FTE Contractors - Non-Editorial]]</f>
        <v>0.5</v>
      </c>
      <c r="AM44" s="57">
        <v>0.5</v>
      </c>
      <c r="AN44" s="57">
        <v>0</v>
      </c>
      <c r="AO44" s="86" t="s">
        <v>351</v>
      </c>
      <c r="AP44" s="86" t="s">
        <v>617</v>
      </c>
      <c r="AQ44" s="76">
        <v>42045</v>
      </c>
      <c r="AR44" s="76">
        <v>0</v>
      </c>
      <c r="AS44" s="76">
        <v>0</v>
      </c>
      <c r="AT44" s="76">
        <v>0</v>
      </c>
      <c r="AU44" s="76">
        <v>0</v>
      </c>
      <c r="AV44" s="86" t="s">
        <v>617</v>
      </c>
      <c r="BC44" s="54"/>
      <c r="BD44" s="54"/>
      <c r="BE44" s="54"/>
      <c r="BF44" s="54"/>
      <c r="BG44" s="54"/>
      <c r="BI44" s="54"/>
      <c r="BK44" s="54"/>
      <c r="BL44" s="54"/>
      <c r="BM44" s="54"/>
      <c r="BN44" s="54"/>
      <c r="BO44" s="54"/>
      <c r="BP44" s="54"/>
      <c r="BS44" s="54"/>
      <c r="BT44" s="54"/>
      <c r="BU44" s="54"/>
      <c r="BV44" s="54"/>
      <c r="BW44" s="54"/>
    </row>
    <row r="45" spans="1:75" x14ac:dyDescent="0.2">
      <c r="A45" s="86" t="s">
        <v>694</v>
      </c>
      <c r="B45" s="86"/>
      <c r="C45" s="86" t="s">
        <v>83</v>
      </c>
      <c r="D45" s="86" t="s">
        <v>78</v>
      </c>
      <c r="E45" s="54" t="str">
        <f>_xlfn.CONCAT(Table1[[#This Row],[Geographic Scope]],": ",Table1[[#This Row],[Sub-Type/Focus]])</f>
        <v>State: Multiple Related Topics</v>
      </c>
      <c r="F45" s="55">
        <f>Table1[[#This Row],[Total Contributed Income]]+Table1[[#This Row],[Total Earned Income]]</f>
        <v>66768</v>
      </c>
      <c r="G45" s="87">
        <f>IFERROR((Table1[[#This Row],[Cont. Income - Foundation]]+Table1[[#This Row],[Cont. Income - Membership]]+Table1[[#This Row],[Cont. Income - Small Donors]]+Table1[[#This Row],[Cont. Income - Med. Donors]]+Table1[[#This Row],[Cont. Income - Major Donors]]+Table1[[#This Row],[Cont. Income - Other]]),0)</f>
        <v>60937</v>
      </c>
      <c r="H45" s="87">
        <f>IFERROR((Table1[[#This Row],[Earned Income - Advertising]]+Table1[[#This Row],[Earned Income - Sponsorships/Underwriting]]+Table1[[#This Row],[Earned Income - Events]]+Table1[[#This Row],[Earned Income - Subscriptions]]+Table1[[#This Row],[Earned Income - Syndication]]+Table1[[#This Row],[Earned Income - Other TOTAL]]),0)</f>
        <v>5831</v>
      </c>
      <c r="I45" s="74">
        <v>27500</v>
      </c>
      <c r="J45" s="74">
        <v>0</v>
      </c>
      <c r="K45" s="74">
        <v>28437</v>
      </c>
      <c r="L45" s="74">
        <v>5000</v>
      </c>
      <c r="M45" s="74">
        <v>0</v>
      </c>
      <c r="N45" s="74">
        <v>0</v>
      </c>
      <c r="O45" s="79" t="s">
        <v>617</v>
      </c>
      <c r="P45" s="74">
        <v>2764</v>
      </c>
      <c r="Q45" s="74">
        <v>0</v>
      </c>
      <c r="R45" s="74">
        <v>0</v>
      </c>
      <c r="S45" s="74">
        <v>0</v>
      </c>
      <c r="T45" s="74">
        <v>0</v>
      </c>
      <c r="U45" s="88">
        <f>IFERROR(Table1[[#This Row],[Earned Income - Training Fees]]+Table1[[#This Row],[Earned Income - Fees]]+Table1[[#This Row],[Earned Income - Investments]]+Table1[[#This Row],[Earned Income - Other]],0)</f>
        <v>3067</v>
      </c>
      <c r="V45" s="74">
        <v>0</v>
      </c>
      <c r="W45" s="74">
        <v>3050</v>
      </c>
      <c r="X45" s="86" t="s">
        <v>695</v>
      </c>
      <c r="Y45" s="74">
        <v>17</v>
      </c>
      <c r="Z45" s="74">
        <v>0</v>
      </c>
      <c r="AA45" s="86" t="s">
        <v>617</v>
      </c>
      <c r="AB45" s="88">
        <f t="shared" si="1"/>
        <v>77014</v>
      </c>
      <c r="AC45" s="74">
        <v>50500</v>
      </c>
      <c r="AD45" s="88">
        <f>SUM(Table1[[#This Row],[Expenses - Revenue Generation]:[Expenses - Admin]])</f>
        <v>26514</v>
      </c>
      <c r="AE45" s="74">
        <v>9112</v>
      </c>
      <c r="AF45" s="74">
        <v>4002</v>
      </c>
      <c r="AG45" s="74">
        <v>13400</v>
      </c>
      <c r="AH45" s="75">
        <f>Table1[[#This Row],[Total FTE - Editorial]]+Table1[[#This Row],[Total FTE - Non-Editorial]]</f>
        <v>4</v>
      </c>
      <c r="AI45" s="75">
        <f>Table1[[#This Row],[FTE Salaried - Editorial]]+Table1[[#This Row],[FTE Contractors - Editorial]]</f>
        <v>4</v>
      </c>
      <c r="AJ45" s="57">
        <v>2</v>
      </c>
      <c r="AK45" s="57">
        <v>2</v>
      </c>
      <c r="AL45" s="60">
        <f>Table1[[#This Row],[FTE Salaried - Non-Editorial]]+Table1[[#This Row],[FTE Contractors - Non-Editorial]]</f>
        <v>0</v>
      </c>
      <c r="AM45" s="57">
        <v>0</v>
      </c>
      <c r="AN45" s="57">
        <v>0</v>
      </c>
      <c r="AO45" s="86" t="s">
        <v>351</v>
      </c>
      <c r="AP45" s="86" t="s">
        <v>617</v>
      </c>
      <c r="AQ45" s="76">
        <v>529000</v>
      </c>
      <c r="AR45" s="76">
        <v>7500</v>
      </c>
      <c r="AS45" s="76">
        <v>0</v>
      </c>
      <c r="AT45" s="76">
        <v>0</v>
      </c>
      <c r="AU45" s="76">
        <v>0</v>
      </c>
      <c r="AV45" s="86" t="s">
        <v>617</v>
      </c>
      <c r="BC45" s="54"/>
      <c r="BD45" s="54"/>
      <c r="BE45" s="54"/>
      <c r="BF45" s="54"/>
      <c r="BG45" s="54"/>
      <c r="BI45" s="54"/>
      <c r="BK45" s="54"/>
      <c r="BL45" s="54"/>
      <c r="BM45" s="54"/>
      <c r="BN45" s="54"/>
      <c r="BO45" s="54"/>
      <c r="BP45" s="54"/>
      <c r="BS45" s="54"/>
      <c r="BT45" s="54"/>
      <c r="BU45" s="54"/>
      <c r="BV45" s="54"/>
      <c r="BW45" s="54"/>
    </row>
    <row r="46" spans="1:75" x14ac:dyDescent="0.2">
      <c r="A46" s="86" t="s">
        <v>696</v>
      </c>
      <c r="B46" s="86"/>
      <c r="C46" s="86" t="s">
        <v>505</v>
      </c>
      <c r="D46" s="86" t="s">
        <v>78</v>
      </c>
      <c r="E46" s="54" t="str">
        <f>_xlfn.CONCAT(Table1[[#This Row],[Geographic Scope]],": ",Table1[[#This Row],[Sub-Type/Focus]])</f>
        <v>Regional: Multiple Related Topics</v>
      </c>
      <c r="F46" s="55">
        <f>Table1[[#This Row],[Total Contributed Income]]+Table1[[#This Row],[Total Earned Income]]</f>
        <v>217000</v>
      </c>
      <c r="G46" s="87">
        <f>IFERROR((Table1[[#This Row],[Cont. Income - Foundation]]+Table1[[#This Row],[Cont. Income - Membership]]+Table1[[#This Row],[Cont. Income - Small Donors]]+Table1[[#This Row],[Cont. Income - Med. Donors]]+Table1[[#This Row],[Cont. Income - Major Donors]]+Table1[[#This Row],[Cont. Income - Other]]),0)</f>
        <v>188500</v>
      </c>
      <c r="H46" s="87">
        <f>IFERROR((Table1[[#This Row],[Earned Income - Advertising]]+Table1[[#This Row],[Earned Income - Sponsorships/Underwriting]]+Table1[[#This Row],[Earned Income - Events]]+Table1[[#This Row],[Earned Income - Subscriptions]]+Table1[[#This Row],[Earned Income - Syndication]]+Table1[[#This Row],[Earned Income - Other TOTAL]]),0)</f>
        <v>28500</v>
      </c>
      <c r="I46" s="74">
        <v>175400</v>
      </c>
      <c r="J46" s="74">
        <v>0</v>
      </c>
      <c r="K46" s="74">
        <v>13100</v>
      </c>
      <c r="L46" s="74">
        <v>0</v>
      </c>
      <c r="M46" s="74">
        <v>0</v>
      </c>
      <c r="N46" s="74">
        <v>0</v>
      </c>
      <c r="O46" s="79" t="s">
        <v>617</v>
      </c>
      <c r="P46" s="74">
        <v>0</v>
      </c>
      <c r="Q46" s="74">
        <v>5000</v>
      </c>
      <c r="R46" s="74">
        <v>600</v>
      </c>
      <c r="S46" s="74">
        <v>0</v>
      </c>
      <c r="T46" s="74">
        <v>0</v>
      </c>
      <c r="U46" s="90">
        <f>IFERROR(Table1[[#This Row],[Earned Income - Training Fees]]+Table1[[#This Row],[Earned Income - Fees]]+Table1[[#This Row],[Earned Income - Investments]]+Table1[[#This Row],[Earned Income - Other]],0)</f>
        <v>22900</v>
      </c>
      <c r="V46" s="74">
        <v>0</v>
      </c>
      <c r="W46" s="74">
        <v>2900</v>
      </c>
      <c r="X46" s="86" t="s">
        <v>697</v>
      </c>
      <c r="Y46" s="74">
        <v>0</v>
      </c>
      <c r="Z46" s="74">
        <v>20000</v>
      </c>
      <c r="AA46" s="86" t="s">
        <v>698</v>
      </c>
      <c r="AB46" s="88">
        <f t="shared" si="1"/>
        <v>238010</v>
      </c>
      <c r="AC46" s="74">
        <v>159300</v>
      </c>
      <c r="AD46" s="88">
        <f>SUM(Table1[[#This Row],[Expenses - Revenue Generation]:[Expenses - Admin]])</f>
        <v>78710</v>
      </c>
      <c r="AE46" s="74">
        <v>16810</v>
      </c>
      <c r="AF46" s="74">
        <v>8700</v>
      </c>
      <c r="AG46" s="74">
        <v>53200</v>
      </c>
      <c r="AH46" s="75">
        <f>Table1[[#This Row],[Total FTE - Editorial]]+Table1[[#This Row],[Total FTE - Non-Editorial]]</f>
        <v>4</v>
      </c>
      <c r="AI46" s="75">
        <f>Table1[[#This Row],[FTE Salaried - Editorial]]+Table1[[#This Row],[FTE Contractors - Editorial]]</f>
        <v>4</v>
      </c>
      <c r="AJ46" s="57">
        <v>0</v>
      </c>
      <c r="AK46" s="57">
        <v>4</v>
      </c>
      <c r="AL46" s="60">
        <f>Table1[[#This Row],[FTE Salaried - Non-Editorial]]+Table1[[#This Row],[FTE Contractors - Non-Editorial]]</f>
        <v>0</v>
      </c>
      <c r="AM46" s="57">
        <v>0</v>
      </c>
      <c r="AN46" s="57">
        <v>0</v>
      </c>
      <c r="AO46" s="86" t="s">
        <v>351</v>
      </c>
      <c r="AP46" s="86" t="s">
        <v>617</v>
      </c>
      <c r="AQ46" s="76">
        <v>5500</v>
      </c>
      <c r="AR46" s="76">
        <v>1600</v>
      </c>
      <c r="AS46" s="76">
        <v>0</v>
      </c>
      <c r="AT46" s="76">
        <v>0</v>
      </c>
      <c r="AU46" s="76">
        <v>0</v>
      </c>
      <c r="AV46" s="86" t="s">
        <v>617</v>
      </c>
      <c r="BC46" s="54"/>
      <c r="BD46" s="54"/>
      <c r="BE46" s="54"/>
      <c r="BF46" s="54"/>
      <c r="BG46" s="54"/>
      <c r="BI46" s="54"/>
      <c r="BK46" s="54"/>
      <c r="BL46" s="54"/>
      <c r="BM46" s="54"/>
      <c r="BN46" s="54"/>
      <c r="BO46" s="54"/>
      <c r="BP46" s="54"/>
      <c r="BS46" s="54"/>
      <c r="BT46" s="54"/>
      <c r="BU46" s="54"/>
      <c r="BV46" s="54"/>
      <c r="BW46" s="54"/>
    </row>
    <row r="47" spans="1:75" x14ac:dyDescent="0.2">
      <c r="A47" s="86" t="s">
        <v>699</v>
      </c>
      <c r="B47" s="86"/>
      <c r="C47" s="86" t="s">
        <v>83</v>
      </c>
      <c r="D47" s="86" t="s">
        <v>78</v>
      </c>
      <c r="E47" s="54" t="str">
        <f>_xlfn.CONCAT(Table1[[#This Row],[Geographic Scope]],": ",Table1[[#This Row],[Sub-Type/Focus]])</f>
        <v>State: Multiple Related Topics</v>
      </c>
      <c r="F47" s="55">
        <f>Table1[[#This Row],[Total Contributed Income]]+Table1[[#This Row],[Total Earned Income]]</f>
        <v>1454911</v>
      </c>
      <c r="G47" s="87">
        <f>IFERROR((Table1[[#This Row],[Cont. Income - Foundation]]+Table1[[#This Row],[Cont. Income - Membership]]+Table1[[#This Row],[Cont. Income - Small Donors]]+Table1[[#This Row],[Cont. Income - Med. Donors]]+Table1[[#This Row],[Cont. Income - Major Donors]]+Table1[[#This Row],[Cont. Income - Other]]),0)</f>
        <v>864716</v>
      </c>
      <c r="H47" s="87">
        <f>IFERROR((Table1[[#This Row],[Earned Income - Advertising]]+Table1[[#This Row],[Earned Income - Sponsorships/Underwriting]]+Table1[[#This Row],[Earned Income - Events]]+Table1[[#This Row],[Earned Income - Subscriptions]]+Table1[[#This Row],[Earned Income - Syndication]]+Table1[[#This Row],[Earned Income - Other TOTAL]]),0)</f>
        <v>590195</v>
      </c>
      <c r="I47" s="74">
        <v>450418</v>
      </c>
      <c r="J47" s="74">
        <v>0</v>
      </c>
      <c r="K47" s="74">
        <v>414298</v>
      </c>
      <c r="L47" s="74">
        <v>0</v>
      </c>
      <c r="M47" s="74">
        <v>0</v>
      </c>
      <c r="N47" s="74">
        <v>0</v>
      </c>
      <c r="O47" s="79" t="s">
        <v>617</v>
      </c>
      <c r="P47" s="74">
        <v>275483</v>
      </c>
      <c r="Q47" s="74">
        <v>60283</v>
      </c>
      <c r="R47" s="74">
        <v>240295</v>
      </c>
      <c r="S47" s="74">
        <v>0</v>
      </c>
      <c r="T47" s="74">
        <v>0</v>
      </c>
      <c r="U47" s="88">
        <f>IFERROR(Table1[[#This Row],[Earned Income - Training Fees]]+Table1[[#This Row],[Earned Income - Fees]]+Table1[[#This Row],[Earned Income - Investments]]+Table1[[#This Row],[Earned Income - Other]],0)</f>
        <v>14134</v>
      </c>
      <c r="V47" s="74">
        <v>0</v>
      </c>
      <c r="W47" s="74">
        <v>0</v>
      </c>
      <c r="X47" s="86" t="s">
        <v>617</v>
      </c>
      <c r="Y47" s="74">
        <v>6900</v>
      </c>
      <c r="Z47" s="74">
        <v>7234</v>
      </c>
      <c r="AA47" s="86" t="s">
        <v>617</v>
      </c>
      <c r="AB47" s="88">
        <f t="shared" si="1"/>
        <v>2103976</v>
      </c>
      <c r="AC47" s="74">
        <v>1045980</v>
      </c>
      <c r="AD47" s="88">
        <f>SUM(Table1[[#This Row],[Expenses - Revenue Generation]:[Expenses - Admin]])</f>
        <v>1057996</v>
      </c>
      <c r="AE47" s="74">
        <v>656045</v>
      </c>
      <c r="AF47" s="74">
        <v>11212</v>
      </c>
      <c r="AG47" s="74">
        <v>390739</v>
      </c>
      <c r="AH47" s="75">
        <f>Table1[[#This Row],[Total FTE - Editorial]]+Table1[[#This Row],[Total FTE - Non-Editorial]]</f>
        <v>20</v>
      </c>
      <c r="AI47" s="75">
        <f>Table1[[#This Row],[FTE Salaried - Editorial]]+Table1[[#This Row],[FTE Contractors - Editorial]]</f>
        <v>12</v>
      </c>
      <c r="AJ47" s="57">
        <v>10</v>
      </c>
      <c r="AK47" s="57">
        <v>2</v>
      </c>
      <c r="AL47" s="60">
        <f>Table1[[#This Row],[FTE Salaried - Non-Editorial]]+Table1[[#This Row],[FTE Contractors - Non-Editorial]]</f>
        <v>8</v>
      </c>
      <c r="AM47" s="57">
        <v>8</v>
      </c>
      <c r="AN47" s="57">
        <v>0</v>
      </c>
      <c r="AO47" s="86" t="s">
        <v>351</v>
      </c>
      <c r="AP47" s="86" t="s">
        <v>617</v>
      </c>
      <c r="AQ47" s="76" t="s">
        <v>617</v>
      </c>
      <c r="AR47" s="76">
        <v>0</v>
      </c>
      <c r="AS47" s="76">
        <v>0</v>
      </c>
      <c r="AT47" s="76">
        <v>0</v>
      </c>
      <c r="AU47" s="76">
        <v>0</v>
      </c>
      <c r="AV47" s="86" t="s">
        <v>617</v>
      </c>
      <c r="BC47" s="54"/>
      <c r="BD47" s="54"/>
      <c r="BE47" s="54"/>
      <c r="BF47" s="54"/>
      <c r="BG47" s="54"/>
      <c r="BI47" s="54"/>
      <c r="BK47" s="54"/>
      <c r="BL47" s="54"/>
      <c r="BM47" s="54"/>
      <c r="BN47" s="54"/>
      <c r="BO47" s="54"/>
      <c r="BP47" s="54"/>
      <c r="BS47" s="54"/>
      <c r="BT47" s="54"/>
      <c r="BU47" s="54"/>
      <c r="BV47" s="54"/>
      <c r="BW47" s="54"/>
    </row>
    <row r="48" spans="1:75" x14ac:dyDescent="0.2">
      <c r="A48" s="86" t="s">
        <v>700</v>
      </c>
      <c r="B48" s="86"/>
      <c r="C48" s="83" t="s">
        <v>7</v>
      </c>
      <c r="D48" s="86" t="s">
        <v>77</v>
      </c>
      <c r="E48" s="54" t="str">
        <f>_xlfn.CONCAT(Table1[[#This Row],[Geographic Scope]],": ",Table1[[#This Row],[Sub-Type/Focus]])</f>
        <v>Local: General</v>
      </c>
      <c r="F48" s="55">
        <f>Table1[[#This Row],[Total Contributed Income]]+Table1[[#This Row],[Total Earned Income]]</f>
        <v>228649</v>
      </c>
      <c r="G48" s="87">
        <f>IFERROR((Table1[[#This Row],[Cont. Income - Foundation]]+Table1[[#This Row],[Cont. Income - Membership]]+Table1[[#This Row],[Cont. Income - Small Donors]]+Table1[[#This Row],[Cont. Income - Med. Donors]]+Table1[[#This Row],[Cont. Income - Major Donors]]+Table1[[#This Row],[Cont. Income - Other]]),0)</f>
        <v>189649</v>
      </c>
      <c r="H48" s="87">
        <f>IFERROR((Table1[[#This Row],[Earned Income - Advertising]]+Table1[[#This Row],[Earned Income - Sponsorships/Underwriting]]+Table1[[#This Row],[Earned Income - Events]]+Table1[[#This Row],[Earned Income - Subscriptions]]+Table1[[#This Row],[Earned Income - Syndication]]+Table1[[#This Row],[Earned Income - Other TOTAL]]),0)</f>
        <v>39000</v>
      </c>
      <c r="I48" s="74">
        <v>55000</v>
      </c>
      <c r="J48" s="74">
        <v>0</v>
      </c>
      <c r="K48" s="74">
        <v>37669</v>
      </c>
      <c r="L48" s="74">
        <v>16980</v>
      </c>
      <c r="M48" s="74">
        <v>10000</v>
      </c>
      <c r="N48" s="74">
        <v>70000</v>
      </c>
      <c r="O48" s="79" t="s">
        <v>701</v>
      </c>
      <c r="P48" s="74">
        <v>39000</v>
      </c>
      <c r="Q48" s="74">
        <v>0</v>
      </c>
      <c r="R48" s="74">
        <v>0</v>
      </c>
      <c r="S48" s="74">
        <v>0</v>
      </c>
      <c r="T48" s="74">
        <v>0</v>
      </c>
      <c r="U48" s="88">
        <f>IFERROR(Table1[[#This Row],[Earned Income - Training Fees]]+Table1[[#This Row],[Earned Income - Fees]]+Table1[[#This Row],[Earned Income - Investments]]+Table1[[#This Row],[Earned Income - Other]],0)</f>
        <v>0</v>
      </c>
      <c r="V48" s="74">
        <v>0</v>
      </c>
      <c r="W48" s="74">
        <v>0</v>
      </c>
      <c r="X48" s="86" t="s">
        <v>617</v>
      </c>
      <c r="Y48" s="74">
        <v>0</v>
      </c>
      <c r="Z48" s="74">
        <v>0</v>
      </c>
      <c r="AA48" s="86" t="s">
        <v>617</v>
      </c>
      <c r="AB48" s="88">
        <f t="shared" si="1"/>
        <v>262349</v>
      </c>
      <c r="AC48" s="74">
        <v>192613</v>
      </c>
      <c r="AD48" s="88">
        <f>SUM(Table1[[#This Row],[Expenses - Revenue Generation]:[Expenses - Admin]])</f>
        <v>69736</v>
      </c>
      <c r="AE48" s="74">
        <v>17223</v>
      </c>
      <c r="AF48" s="74">
        <v>17513</v>
      </c>
      <c r="AG48" s="74">
        <v>35000</v>
      </c>
      <c r="AH48" s="75">
        <f>Table1[[#This Row],[Total FTE - Editorial]]+Table1[[#This Row],[Total FTE - Non-Editorial]]</f>
        <v>4</v>
      </c>
      <c r="AI48" s="75">
        <f>Table1[[#This Row],[FTE Salaried - Editorial]]+Table1[[#This Row],[FTE Contractors - Editorial]]</f>
        <v>4</v>
      </c>
      <c r="AJ48" s="57">
        <v>4</v>
      </c>
      <c r="AK48" s="57">
        <v>0</v>
      </c>
      <c r="AL48" s="60">
        <f>Table1[[#This Row],[FTE Salaried - Non-Editorial]]+Table1[[#This Row],[FTE Contractors - Non-Editorial]]</f>
        <v>0</v>
      </c>
      <c r="AM48" s="57">
        <v>0</v>
      </c>
      <c r="AN48" s="57">
        <v>0</v>
      </c>
      <c r="AO48" s="86" t="s">
        <v>351</v>
      </c>
      <c r="AP48" s="86" t="s">
        <v>617</v>
      </c>
      <c r="AQ48" s="76">
        <v>173000</v>
      </c>
      <c r="AR48" s="76">
        <v>5548</v>
      </c>
      <c r="AS48" s="76">
        <v>0</v>
      </c>
      <c r="AT48" s="76">
        <v>0</v>
      </c>
      <c r="AU48" s="76">
        <v>0</v>
      </c>
      <c r="AV48" s="86" t="s">
        <v>617</v>
      </c>
      <c r="BC48" s="54"/>
      <c r="BD48" s="54"/>
      <c r="BE48" s="54"/>
      <c r="BF48" s="54"/>
      <c r="BG48" s="54"/>
      <c r="BI48" s="54"/>
      <c r="BK48" s="54"/>
      <c r="BL48" s="54"/>
      <c r="BM48" s="54"/>
      <c r="BN48" s="54"/>
      <c r="BO48" s="54"/>
      <c r="BP48" s="54"/>
      <c r="BS48" s="54"/>
      <c r="BT48" s="54"/>
      <c r="BU48" s="54"/>
      <c r="BV48" s="54"/>
      <c r="BW48" s="54"/>
    </row>
    <row r="49" spans="1:75" x14ac:dyDescent="0.2">
      <c r="A49" s="86" t="s">
        <v>702</v>
      </c>
      <c r="B49" s="86"/>
      <c r="C49" s="86" t="s">
        <v>83</v>
      </c>
      <c r="D49" s="86" t="s">
        <v>78</v>
      </c>
      <c r="E49" s="54" t="str">
        <f>_xlfn.CONCAT(Table1[[#This Row],[Geographic Scope]],": ",Table1[[#This Row],[Sub-Type/Focus]])</f>
        <v>State: Multiple Related Topics</v>
      </c>
      <c r="F49" s="55">
        <f>Table1[[#This Row],[Total Contributed Income]]+Table1[[#This Row],[Total Earned Income]]</f>
        <v>1564005</v>
      </c>
      <c r="G49" s="87">
        <f>IFERROR((Table1[[#This Row],[Cont. Income - Foundation]]+Table1[[#This Row],[Cont. Income - Membership]]+Table1[[#This Row],[Cont. Income - Small Donors]]+Table1[[#This Row],[Cont. Income - Med. Donors]]+Table1[[#This Row],[Cont. Income - Major Donors]]+Table1[[#This Row],[Cont. Income - Other]]),0)</f>
        <v>1545732</v>
      </c>
      <c r="H49" s="87">
        <f>IFERROR((Table1[[#This Row],[Earned Income - Advertising]]+Table1[[#This Row],[Earned Income - Sponsorships/Underwriting]]+Table1[[#This Row],[Earned Income - Events]]+Table1[[#This Row],[Earned Income - Subscriptions]]+Table1[[#This Row],[Earned Income - Syndication]]+Table1[[#This Row],[Earned Income - Other TOTAL]]),0)</f>
        <v>18273</v>
      </c>
      <c r="I49" s="74">
        <v>322838</v>
      </c>
      <c r="J49" s="74">
        <v>0</v>
      </c>
      <c r="K49" s="74">
        <v>77312</v>
      </c>
      <c r="L49" s="74">
        <v>30285</v>
      </c>
      <c r="M49" s="74">
        <v>1115297</v>
      </c>
      <c r="N49" s="74">
        <v>0</v>
      </c>
      <c r="O49" s="79" t="s">
        <v>703</v>
      </c>
      <c r="P49" s="74">
        <v>10807</v>
      </c>
      <c r="Q49" s="74">
        <v>0</v>
      </c>
      <c r="R49" s="74">
        <v>7063</v>
      </c>
      <c r="S49" s="74">
        <v>0</v>
      </c>
      <c r="T49" s="74">
        <v>0</v>
      </c>
      <c r="U49" s="88">
        <f>IFERROR(Table1[[#This Row],[Earned Income - Training Fees]]+Table1[[#This Row],[Earned Income - Fees]]+Table1[[#This Row],[Earned Income - Investments]]+Table1[[#This Row],[Earned Income - Other]],0)</f>
        <v>403</v>
      </c>
      <c r="V49" s="74">
        <v>0</v>
      </c>
      <c r="W49" s="74">
        <v>333</v>
      </c>
      <c r="X49" s="86" t="s">
        <v>704</v>
      </c>
      <c r="Y49" s="74">
        <v>70</v>
      </c>
      <c r="Z49" s="74">
        <v>0</v>
      </c>
      <c r="AA49" s="86" t="s">
        <v>617</v>
      </c>
      <c r="AB49" s="88">
        <f t="shared" si="1"/>
        <v>1987277</v>
      </c>
      <c r="AC49" s="74">
        <v>1444013</v>
      </c>
      <c r="AD49" s="88">
        <f>SUM(Table1[[#This Row],[Expenses - Revenue Generation]:[Expenses - Admin]])</f>
        <v>543264</v>
      </c>
      <c r="AE49" s="74">
        <v>186131</v>
      </c>
      <c r="AF49" s="74">
        <v>86996</v>
      </c>
      <c r="AG49" s="74">
        <v>270137</v>
      </c>
      <c r="AH49" s="75">
        <f>Table1[[#This Row],[Total FTE - Editorial]]+Table1[[#This Row],[Total FTE - Non-Editorial]]</f>
        <v>20</v>
      </c>
      <c r="AI49" s="75">
        <f>Table1[[#This Row],[FTE Salaried - Editorial]]+Table1[[#This Row],[FTE Contractors - Editorial]]</f>
        <v>15</v>
      </c>
      <c r="AJ49" s="57">
        <v>14</v>
      </c>
      <c r="AK49" s="57">
        <v>1</v>
      </c>
      <c r="AL49" s="60">
        <f>Table1[[#This Row],[FTE Salaried - Non-Editorial]]+Table1[[#This Row],[FTE Contractors - Non-Editorial]]</f>
        <v>5</v>
      </c>
      <c r="AM49" s="57">
        <v>5</v>
      </c>
      <c r="AN49" s="57">
        <v>0</v>
      </c>
      <c r="AO49" s="86" t="s">
        <v>351</v>
      </c>
      <c r="AP49" s="86" t="s">
        <v>617</v>
      </c>
      <c r="AQ49" s="76">
        <v>221000</v>
      </c>
      <c r="AR49" s="76">
        <v>12741</v>
      </c>
      <c r="AS49" s="76">
        <v>0</v>
      </c>
      <c r="AT49" s="76">
        <v>0</v>
      </c>
      <c r="AU49" s="76">
        <v>0</v>
      </c>
      <c r="AV49" s="86" t="s">
        <v>617</v>
      </c>
      <c r="BC49" s="54"/>
      <c r="BD49" s="54"/>
      <c r="BE49" s="54"/>
      <c r="BF49" s="54"/>
      <c r="BG49" s="54"/>
      <c r="BI49" s="54"/>
      <c r="BK49" s="54"/>
      <c r="BL49" s="54"/>
      <c r="BM49" s="54"/>
      <c r="BN49" s="54"/>
      <c r="BO49" s="54"/>
      <c r="BP49" s="54"/>
      <c r="BS49" s="54"/>
      <c r="BT49" s="54"/>
      <c r="BU49" s="54"/>
      <c r="BV49" s="54"/>
      <c r="BW49" s="54"/>
    </row>
    <row r="50" spans="1:75" x14ac:dyDescent="0.2">
      <c r="A50" s="83" t="s">
        <v>705</v>
      </c>
      <c r="B50" s="83"/>
      <c r="C50" s="83" t="s">
        <v>7</v>
      </c>
      <c r="D50" s="83" t="s">
        <v>78</v>
      </c>
      <c r="E50" s="60" t="str">
        <f>_xlfn.CONCAT(Table1[[#This Row],[Geographic Scope]],": ",Table1[[#This Row],[Sub-Type/Focus]])</f>
        <v>Local: Multiple Related Topics</v>
      </c>
      <c r="F50" s="71">
        <f>Table1[[#This Row],[Total Contributed Income]]+Table1[[#This Row],[Total Earned Income]]</f>
        <v>0</v>
      </c>
      <c r="G50" s="89">
        <f>IFERROR((Table1[[#This Row],[Cont. Income - Foundation]]+Table1[[#This Row],[Cont. Income - Membership]]+Table1[[#This Row],[Cont. Income - Small Donors]]+Table1[[#This Row],[Cont. Income - Med. Donors]]+Table1[[#This Row],[Cont. Income - Major Donors]]+Table1[[#This Row],[Cont. Income - Other]]),0)</f>
        <v>0</v>
      </c>
      <c r="H50" s="89">
        <f>IFERROR((Table1[[#This Row],[Earned Income - Advertising]]+Table1[[#This Row],[Earned Income - Sponsorships/Underwriting]]+Table1[[#This Row],[Earned Income - Events]]+Table1[[#This Row],[Earned Income - Subscriptions]]+Table1[[#This Row],[Earned Income - Syndication]]+Table1[[#This Row],[Earned Income - Other TOTAL]]),0)</f>
        <v>0</v>
      </c>
      <c r="I50" s="74" t="s">
        <v>617</v>
      </c>
      <c r="J50" s="74" t="s">
        <v>617</v>
      </c>
      <c r="K50" s="74" t="s">
        <v>617</v>
      </c>
      <c r="L50" s="74" t="s">
        <v>617</v>
      </c>
      <c r="M50" s="74" t="s">
        <v>617</v>
      </c>
      <c r="N50" s="74" t="s">
        <v>617</v>
      </c>
      <c r="O50" s="79" t="s">
        <v>617</v>
      </c>
      <c r="P50" s="74" t="s">
        <v>617</v>
      </c>
      <c r="Q50" s="74" t="s">
        <v>617</v>
      </c>
      <c r="R50" s="74" t="s">
        <v>617</v>
      </c>
      <c r="S50" s="74" t="s">
        <v>617</v>
      </c>
      <c r="T50" s="74" t="s">
        <v>617</v>
      </c>
      <c r="U50" s="85">
        <f>IFERROR(Table1[[#This Row],[Earned Income - Training Fees]]+Table1[[#This Row],[Earned Income - Fees]]+Table1[[#This Row],[Earned Income - Investments]]+Table1[[#This Row],[Earned Income - Other]],0)</f>
        <v>0</v>
      </c>
      <c r="V50" s="74" t="s">
        <v>617</v>
      </c>
      <c r="W50" s="74" t="s">
        <v>617</v>
      </c>
      <c r="X50" s="83" t="s">
        <v>617</v>
      </c>
      <c r="Y50" s="74" t="s">
        <v>617</v>
      </c>
      <c r="Z50" s="74" t="s">
        <v>617</v>
      </c>
      <c r="AA50" s="83" t="s">
        <v>617</v>
      </c>
      <c r="AB50" s="85">
        <f t="shared" si="1"/>
        <v>0</v>
      </c>
      <c r="AC50" s="74" t="s">
        <v>617</v>
      </c>
      <c r="AD50" s="85">
        <f>SUM(Table1[[#This Row],[Expenses - Revenue Generation]:[Expenses - Admin]])</f>
        <v>0</v>
      </c>
      <c r="AE50" s="74" t="s">
        <v>617</v>
      </c>
      <c r="AF50" s="74" t="s">
        <v>617</v>
      </c>
      <c r="AG50" s="74" t="s">
        <v>617</v>
      </c>
      <c r="AH50" s="75">
        <f>Table1[[#This Row],[Total FTE - Editorial]]+Table1[[#This Row],[Total FTE - Non-Editorial]]</f>
        <v>1.8</v>
      </c>
      <c r="AI50" s="75">
        <f>Table1[[#This Row],[FTE Salaried - Editorial]]+Table1[[#This Row],[FTE Contractors - Editorial]]</f>
        <v>1.8</v>
      </c>
      <c r="AJ50" s="57">
        <v>0</v>
      </c>
      <c r="AK50" s="57">
        <v>1.8</v>
      </c>
      <c r="AL50" s="60">
        <f>Table1[[#This Row],[FTE Salaried - Non-Editorial]]+Table1[[#This Row],[FTE Contractors - Non-Editorial]]</f>
        <v>0</v>
      </c>
      <c r="AM50" s="57">
        <v>0</v>
      </c>
      <c r="AN50" s="57">
        <v>0</v>
      </c>
      <c r="AO50" s="83"/>
      <c r="AP50" s="83" t="s">
        <v>617</v>
      </c>
      <c r="AQ50" s="76" t="s">
        <v>617</v>
      </c>
      <c r="AR50" s="76" t="s">
        <v>617</v>
      </c>
      <c r="AS50" s="76" t="s">
        <v>617</v>
      </c>
      <c r="AT50" s="76" t="s">
        <v>617</v>
      </c>
      <c r="AU50" s="76" t="s">
        <v>617</v>
      </c>
      <c r="AV50" s="83" t="s">
        <v>617</v>
      </c>
      <c r="BC50" s="54"/>
      <c r="BD50" s="54"/>
      <c r="BE50" s="54"/>
      <c r="BF50" s="54"/>
      <c r="BG50" s="54"/>
      <c r="BI50" s="54"/>
      <c r="BK50" s="54"/>
      <c r="BL50" s="54"/>
      <c r="BM50" s="54"/>
      <c r="BN50" s="54"/>
      <c r="BO50" s="54"/>
      <c r="BP50" s="54"/>
      <c r="BS50" s="54"/>
      <c r="BT50" s="54"/>
      <c r="BU50" s="54"/>
      <c r="BV50" s="54"/>
      <c r="BW50" s="54"/>
    </row>
    <row r="51" spans="1:75" x14ac:dyDescent="0.2">
      <c r="A51" s="86" t="s">
        <v>706</v>
      </c>
      <c r="B51" s="86"/>
      <c r="C51" s="86" t="s">
        <v>83</v>
      </c>
      <c r="D51" s="86" t="s">
        <v>78</v>
      </c>
      <c r="E51" s="54" t="str">
        <f>_xlfn.CONCAT(Table1[[#This Row],[Geographic Scope]],": ",Table1[[#This Row],[Sub-Type/Focus]])</f>
        <v>State: Multiple Related Topics</v>
      </c>
      <c r="F51" s="55">
        <f>Table1[[#This Row],[Total Contributed Income]]+Table1[[#This Row],[Total Earned Income]]</f>
        <v>286979</v>
      </c>
      <c r="G51" s="87">
        <f>IFERROR((Table1[[#This Row],[Cont. Income - Foundation]]+Table1[[#This Row],[Cont. Income - Membership]]+Table1[[#This Row],[Cont. Income - Small Donors]]+Table1[[#This Row],[Cont. Income - Med. Donors]]+Table1[[#This Row],[Cont. Income - Major Donors]]+Table1[[#This Row],[Cont. Income - Other]]),0)</f>
        <v>286979</v>
      </c>
      <c r="H51" s="87">
        <f>IFERROR((Table1[[#This Row],[Earned Income - Advertising]]+Table1[[#This Row],[Earned Income - Sponsorships/Underwriting]]+Table1[[#This Row],[Earned Income - Events]]+Table1[[#This Row],[Earned Income - Subscriptions]]+Table1[[#This Row],[Earned Income - Syndication]]+Table1[[#This Row],[Earned Income - Other TOTAL]]),0)</f>
        <v>0</v>
      </c>
      <c r="I51" s="74">
        <v>61000</v>
      </c>
      <c r="J51" s="74">
        <v>0</v>
      </c>
      <c r="K51" s="74">
        <v>53974</v>
      </c>
      <c r="L51" s="74">
        <v>17005</v>
      </c>
      <c r="M51" s="74">
        <v>155000</v>
      </c>
      <c r="N51" s="74">
        <v>0</v>
      </c>
      <c r="O51" s="79" t="s">
        <v>617</v>
      </c>
      <c r="P51" s="74">
        <v>0</v>
      </c>
      <c r="Q51" s="74">
        <v>0</v>
      </c>
      <c r="R51" s="74">
        <v>0</v>
      </c>
      <c r="S51" s="74">
        <v>0</v>
      </c>
      <c r="T51" s="74">
        <v>0</v>
      </c>
      <c r="U51" s="88">
        <f>IFERROR(Table1[[#This Row],[Earned Income - Training Fees]]+Table1[[#This Row],[Earned Income - Fees]]+Table1[[#This Row],[Earned Income - Investments]]+Table1[[#This Row],[Earned Income - Other]],0)</f>
        <v>0</v>
      </c>
      <c r="V51" s="74">
        <v>0</v>
      </c>
      <c r="W51" s="74">
        <v>0</v>
      </c>
      <c r="X51" s="86" t="s">
        <v>617</v>
      </c>
      <c r="Y51" s="74">
        <v>0</v>
      </c>
      <c r="Z51" s="74">
        <v>0</v>
      </c>
      <c r="AA51" s="86" t="s">
        <v>617</v>
      </c>
      <c r="AB51" s="88">
        <f t="shared" si="1"/>
        <v>274500</v>
      </c>
      <c r="AC51" s="74">
        <v>160000</v>
      </c>
      <c r="AD51" s="88">
        <f>SUM(Table1[[#This Row],[Expenses - Revenue Generation]:[Expenses - Admin]])</f>
        <v>114500</v>
      </c>
      <c r="AE51" s="74">
        <v>15000</v>
      </c>
      <c r="AF51" s="74">
        <v>8500</v>
      </c>
      <c r="AG51" s="74">
        <v>91000</v>
      </c>
      <c r="AH51" s="75">
        <f>Table1[[#This Row],[Total FTE - Editorial]]+Table1[[#This Row],[Total FTE - Non-Editorial]]</f>
        <v>3.75</v>
      </c>
      <c r="AI51" s="75">
        <f>Table1[[#This Row],[FTE Salaried - Editorial]]+Table1[[#This Row],[FTE Contractors - Editorial]]</f>
        <v>2.5</v>
      </c>
      <c r="AJ51" s="57">
        <v>2.25</v>
      </c>
      <c r="AK51" s="57">
        <v>0.25</v>
      </c>
      <c r="AL51" s="60">
        <f>Table1[[#This Row],[FTE Salaried - Non-Editorial]]+Table1[[#This Row],[FTE Contractors - Non-Editorial]]</f>
        <v>1.25</v>
      </c>
      <c r="AM51" s="57">
        <v>0.75</v>
      </c>
      <c r="AN51" s="57">
        <v>0.5</v>
      </c>
      <c r="AO51" s="86" t="s">
        <v>351</v>
      </c>
      <c r="AP51" s="86" t="s">
        <v>617</v>
      </c>
      <c r="AQ51" s="76">
        <v>9000</v>
      </c>
      <c r="AR51" s="76">
        <v>3800</v>
      </c>
      <c r="AS51" s="76">
        <v>0</v>
      </c>
      <c r="AT51" s="76">
        <v>0</v>
      </c>
      <c r="AU51" s="76">
        <v>3000</v>
      </c>
      <c r="AV51" s="86" t="s">
        <v>707</v>
      </c>
      <c r="BC51" s="54"/>
      <c r="BD51" s="54"/>
      <c r="BE51" s="54"/>
      <c r="BF51" s="54"/>
      <c r="BG51" s="54"/>
      <c r="BI51" s="54"/>
      <c r="BK51" s="54"/>
      <c r="BL51" s="54"/>
      <c r="BM51" s="54"/>
      <c r="BN51" s="54"/>
      <c r="BO51" s="54"/>
      <c r="BP51" s="54"/>
      <c r="BS51" s="54"/>
      <c r="BT51" s="54"/>
      <c r="BU51" s="54"/>
      <c r="BV51" s="54"/>
      <c r="BW51" s="54"/>
    </row>
    <row r="52" spans="1:75" x14ac:dyDescent="0.2">
      <c r="A52" s="86" t="s">
        <v>708</v>
      </c>
      <c r="B52" s="86"/>
      <c r="C52" s="86" t="s">
        <v>6</v>
      </c>
      <c r="D52" s="86" t="s">
        <v>78</v>
      </c>
      <c r="E52" s="54" t="str">
        <f>_xlfn.CONCAT(Table1[[#This Row],[Geographic Scope]],": ",Table1[[#This Row],[Sub-Type/Focus]])</f>
        <v>National: Multiple Related Topics</v>
      </c>
      <c r="F52" s="55">
        <f>Table1[[#This Row],[Total Contributed Income]]+Table1[[#This Row],[Total Earned Income]]</f>
        <v>674046.26</v>
      </c>
      <c r="G52" s="87">
        <f>IFERROR((Table1[[#This Row],[Cont. Income - Foundation]]+Table1[[#This Row],[Cont. Income - Membership]]+Table1[[#This Row],[Cont. Income - Small Donors]]+Table1[[#This Row],[Cont. Income - Med. Donors]]+Table1[[#This Row],[Cont. Income - Major Donors]]+Table1[[#This Row],[Cont. Income - Other]]),0)</f>
        <v>502311</v>
      </c>
      <c r="H52" s="87">
        <f>IFERROR((Table1[[#This Row],[Earned Income - Advertising]]+Table1[[#This Row],[Earned Income - Sponsorships/Underwriting]]+Table1[[#This Row],[Earned Income - Events]]+Table1[[#This Row],[Earned Income - Subscriptions]]+Table1[[#This Row],[Earned Income - Syndication]]+Table1[[#This Row],[Earned Income - Other TOTAL]]),0)</f>
        <v>171735.26</v>
      </c>
      <c r="I52" s="74">
        <v>471837</v>
      </c>
      <c r="J52" s="74">
        <v>0</v>
      </c>
      <c r="K52" s="74">
        <v>20474</v>
      </c>
      <c r="L52" s="74">
        <v>0</v>
      </c>
      <c r="M52" s="74">
        <v>10000</v>
      </c>
      <c r="N52" s="74">
        <v>0</v>
      </c>
      <c r="O52" s="79" t="s">
        <v>617</v>
      </c>
      <c r="P52" s="74">
        <v>0</v>
      </c>
      <c r="Q52" s="74">
        <v>0</v>
      </c>
      <c r="R52" s="74">
        <v>0</v>
      </c>
      <c r="S52" s="74">
        <v>139681</v>
      </c>
      <c r="T52" s="74">
        <v>0</v>
      </c>
      <c r="U52" s="88">
        <f>IFERROR(Table1[[#This Row],[Earned Income - Training Fees]]+Table1[[#This Row],[Earned Income - Fees]]+Table1[[#This Row],[Earned Income - Investments]]+Table1[[#This Row],[Earned Income - Other]],0)</f>
        <v>32054.26</v>
      </c>
      <c r="V52" s="74">
        <v>0</v>
      </c>
      <c r="W52" s="74">
        <v>0</v>
      </c>
      <c r="X52" s="86" t="s">
        <v>617</v>
      </c>
      <c r="Y52" s="74">
        <v>0</v>
      </c>
      <c r="Z52" s="74">
        <v>32054.26</v>
      </c>
      <c r="AA52" s="86" t="s">
        <v>709</v>
      </c>
      <c r="AB52" s="88">
        <f t="shared" si="1"/>
        <v>775171</v>
      </c>
      <c r="AC52" s="74">
        <v>300000</v>
      </c>
      <c r="AD52" s="88">
        <f>SUM(Table1[[#This Row],[Expenses - Revenue Generation]:[Expenses - Admin]])</f>
        <v>475171</v>
      </c>
      <c r="AE52" s="74">
        <v>100000</v>
      </c>
      <c r="AF52" s="74">
        <v>300000</v>
      </c>
      <c r="AG52" s="74">
        <v>75171</v>
      </c>
      <c r="AH52" s="75">
        <f>Table1[[#This Row],[Total FTE - Editorial]]+Table1[[#This Row],[Total FTE - Non-Editorial]]</f>
        <v>9</v>
      </c>
      <c r="AI52" s="75">
        <f>Table1[[#This Row],[FTE Salaried - Editorial]]+Table1[[#This Row],[FTE Contractors - Editorial]]</f>
        <v>3.5</v>
      </c>
      <c r="AJ52" s="57">
        <v>3</v>
      </c>
      <c r="AK52" s="57">
        <v>0.5</v>
      </c>
      <c r="AL52" s="60">
        <f>Table1[[#This Row],[FTE Salaried - Non-Editorial]]+Table1[[#This Row],[FTE Contractors - Non-Editorial]]</f>
        <v>5.5</v>
      </c>
      <c r="AM52" s="57">
        <v>5.5</v>
      </c>
      <c r="AN52" s="57">
        <v>0</v>
      </c>
      <c r="AO52" s="86" t="s">
        <v>351</v>
      </c>
      <c r="AP52" s="86" t="s">
        <v>617</v>
      </c>
      <c r="AQ52" s="76">
        <v>33000000</v>
      </c>
      <c r="AR52" s="76">
        <v>12000</v>
      </c>
      <c r="AS52" s="76">
        <v>0</v>
      </c>
      <c r="AT52" s="76">
        <v>0</v>
      </c>
      <c r="AU52" s="76">
        <v>0</v>
      </c>
      <c r="AV52" s="86" t="s">
        <v>617</v>
      </c>
      <c r="BC52" s="54"/>
      <c r="BD52" s="54"/>
      <c r="BE52" s="54"/>
      <c r="BF52" s="54"/>
      <c r="BG52" s="54"/>
      <c r="BI52" s="54"/>
      <c r="BK52" s="54"/>
      <c r="BL52" s="54"/>
      <c r="BM52" s="54"/>
      <c r="BN52" s="54"/>
      <c r="BO52" s="54"/>
      <c r="BP52" s="54"/>
      <c r="BS52" s="54"/>
      <c r="BT52" s="54"/>
      <c r="BU52" s="54"/>
      <c r="BV52" s="54"/>
      <c r="BW52" s="54"/>
    </row>
    <row r="53" spans="1:75" x14ac:dyDescent="0.2">
      <c r="A53" s="86" t="s">
        <v>710</v>
      </c>
      <c r="B53" s="86"/>
      <c r="C53" s="86" t="s">
        <v>7</v>
      </c>
      <c r="D53" s="86" t="s">
        <v>78</v>
      </c>
      <c r="E53" s="54" t="str">
        <f>_xlfn.CONCAT(Table1[[#This Row],[Geographic Scope]],": ",Table1[[#This Row],[Sub-Type/Focus]])</f>
        <v>Local: Multiple Related Topics</v>
      </c>
      <c r="F53" s="55">
        <f>Table1[[#This Row],[Total Contributed Income]]+Table1[[#This Row],[Total Earned Income]]</f>
        <v>77355</v>
      </c>
      <c r="G53" s="87">
        <f>IFERROR((Table1[[#This Row],[Cont. Income - Foundation]]+Table1[[#This Row],[Cont. Income - Membership]]+Table1[[#This Row],[Cont. Income - Small Donors]]+Table1[[#This Row],[Cont. Income - Med. Donors]]+Table1[[#This Row],[Cont. Income - Major Donors]]+Table1[[#This Row],[Cont. Income - Other]]),0)</f>
        <v>68777</v>
      </c>
      <c r="H53" s="87">
        <f>IFERROR((Table1[[#This Row],[Earned Income - Advertising]]+Table1[[#This Row],[Earned Income - Sponsorships/Underwriting]]+Table1[[#This Row],[Earned Income - Events]]+Table1[[#This Row],[Earned Income - Subscriptions]]+Table1[[#This Row],[Earned Income - Syndication]]+Table1[[#This Row],[Earned Income - Other TOTAL]]),0)</f>
        <v>8578</v>
      </c>
      <c r="I53" s="74">
        <v>32188</v>
      </c>
      <c r="J53" s="74">
        <v>0</v>
      </c>
      <c r="K53" s="74">
        <v>0</v>
      </c>
      <c r="L53" s="74">
        <v>28602</v>
      </c>
      <c r="M53" s="74">
        <v>7987</v>
      </c>
      <c r="N53" s="74">
        <v>0</v>
      </c>
      <c r="O53" s="79" t="s">
        <v>617</v>
      </c>
      <c r="P53" s="74">
        <v>8578</v>
      </c>
      <c r="Q53" s="74">
        <v>0</v>
      </c>
      <c r="R53" s="74">
        <v>0</v>
      </c>
      <c r="S53" s="74">
        <v>0</v>
      </c>
      <c r="T53" s="74">
        <v>0</v>
      </c>
      <c r="U53" s="88">
        <f>IFERROR(Table1[[#This Row],[Earned Income - Training Fees]]+Table1[[#This Row],[Earned Income - Fees]]+Table1[[#This Row],[Earned Income - Investments]]+Table1[[#This Row],[Earned Income - Other]],0)</f>
        <v>0</v>
      </c>
      <c r="V53" s="74">
        <v>0</v>
      </c>
      <c r="W53" s="74">
        <v>0</v>
      </c>
      <c r="X53" s="86" t="s">
        <v>617</v>
      </c>
      <c r="Y53" s="74">
        <v>0</v>
      </c>
      <c r="Z53" s="74">
        <v>0</v>
      </c>
      <c r="AA53" s="86" t="s">
        <v>617</v>
      </c>
      <c r="AB53" s="88">
        <f t="shared" si="1"/>
        <v>67214</v>
      </c>
      <c r="AC53" s="74">
        <v>52518</v>
      </c>
      <c r="AD53" s="88">
        <f>SUM(Table1[[#This Row],[Expenses - Revenue Generation]:[Expenses - Admin]])</f>
        <v>14696</v>
      </c>
      <c r="AE53" s="74">
        <v>40</v>
      </c>
      <c r="AF53" s="74">
        <v>2976</v>
      </c>
      <c r="AG53" s="74">
        <v>11680</v>
      </c>
      <c r="AH53" s="75">
        <f>Table1[[#This Row],[Total FTE - Editorial]]+Table1[[#This Row],[Total FTE - Non-Editorial]]</f>
        <v>1.2</v>
      </c>
      <c r="AI53" s="75">
        <f>Table1[[#This Row],[FTE Salaried - Editorial]]+Table1[[#This Row],[FTE Contractors - Editorial]]</f>
        <v>1.2</v>
      </c>
      <c r="AJ53" s="57">
        <v>0</v>
      </c>
      <c r="AK53" s="57">
        <v>1.2</v>
      </c>
      <c r="AL53" s="60">
        <f>Table1[[#This Row],[FTE Salaried - Non-Editorial]]+Table1[[#This Row],[FTE Contractors - Non-Editorial]]</f>
        <v>0</v>
      </c>
      <c r="AM53" s="57">
        <v>0</v>
      </c>
      <c r="AN53" s="57">
        <v>0</v>
      </c>
      <c r="AO53" s="86" t="s">
        <v>351</v>
      </c>
      <c r="AP53" s="86" t="s">
        <v>617</v>
      </c>
      <c r="AQ53" s="76">
        <v>24000</v>
      </c>
      <c r="AR53" s="76">
        <v>1500</v>
      </c>
      <c r="AS53" s="76">
        <v>0</v>
      </c>
      <c r="AT53" s="76">
        <v>0</v>
      </c>
      <c r="AU53" s="76">
        <v>0</v>
      </c>
      <c r="AV53" s="86" t="s">
        <v>617</v>
      </c>
      <c r="BC53" s="54"/>
      <c r="BD53" s="54"/>
      <c r="BE53" s="54"/>
      <c r="BF53" s="54"/>
      <c r="BG53" s="54"/>
      <c r="BI53" s="54"/>
      <c r="BK53" s="54"/>
      <c r="BL53" s="54"/>
      <c r="BM53" s="54"/>
      <c r="BN53" s="54"/>
      <c r="BO53" s="54"/>
      <c r="BP53" s="54"/>
      <c r="BS53" s="54"/>
      <c r="BT53" s="54"/>
      <c r="BU53" s="54"/>
      <c r="BV53" s="54"/>
      <c r="BW53" s="54"/>
    </row>
    <row r="54" spans="1:75" x14ac:dyDescent="0.2">
      <c r="A54" s="86" t="s">
        <v>711</v>
      </c>
      <c r="B54" s="86"/>
      <c r="C54" s="86" t="s">
        <v>7</v>
      </c>
      <c r="D54" s="86" t="s">
        <v>77</v>
      </c>
      <c r="E54" s="54" t="str">
        <f>_xlfn.CONCAT(Table1[[#This Row],[Geographic Scope]],": ",Table1[[#This Row],[Sub-Type/Focus]])</f>
        <v>Local: General</v>
      </c>
      <c r="F54" s="55">
        <f>Table1[[#This Row],[Total Contributed Income]]+Table1[[#This Row],[Total Earned Income]]</f>
        <v>675000</v>
      </c>
      <c r="G54" s="87">
        <f>IFERROR((Table1[[#This Row],[Cont. Income - Foundation]]+Table1[[#This Row],[Cont. Income - Membership]]+Table1[[#This Row],[Cont. Income - Small Donors]]+Table1[[#This Row],[Cont. Income - Med. Donors]]+Table1[[#This Row],[Cont. Income - Major Donors]]+Table1[[#This Row],[Cont. Income - Other]]),0)</f>
        <v>570000</v>
      </c>
      <c r="H54" s="87">
        <f>IFERROR((Table1[[#This Row],[Earned Income - Advertising]]+Table1[[#This Row],[Earned Income - Sponsorships/Underwriting]]+Table1[[#This Row],[Earned Income - Events]]+Table1[[#This Row],[Earned Income - Subscriptions]]+Table1[[#This Row],[Earned Income - Syndication]]+Table1[[#This Row],[Earned Income - Other TOTAL]]),0)</f>
        <v>105000</v>
      </c>
      <c r="I54" s="74">
        <v>175000</v>
      </c>
      <c r="J54" s="74">
        <v>0</v>
      </c>
      <c r="K54" s="74">
        <v>0</v>
      </c>
      <c r="L54" s="74">
        <v>0</v>
      </c>
      <c r="M54" s="74">
        <v>395000</v>
      </c>
      <c r="N54" s="74">
        <v>0</v>
      </c>
      <c r="O54" s="79" t="s">
        <v>617</v>
      </c>
      <c r="P54" s="74">
        <v>30000</v>
      </c>
      <c r="Q54" s="74">
        <v>75000</v>
      </c>
      <c r="R54" s="74">
        <v>0</v>
      </c>
      <c r="S54" s="74">
        <v>0</v>
      </c>
      <c r="T54" s="74">
        <v>0</v>
      </c>
      <c r="U54" s="88">
        <f>IFERROR(Table1[[#This Row],[Earned Income - Training Fees]]+Table1[[#This Row],[Earned Income - Fees]]+Table1[[#This Row],[Earned Income - Investments]]+Table1[[#This Row],[Earned Income - Other]],0)</f>
        <v>0</v>
      </c>
      <c r="V54" s="74">
        <v>0</v>
      </c>
      <c r="W54" s="74">
        <v>0</v>
      </c>
      <c r="X54" s="86" t="s">
        <v>617</v>
      </c>
      <c r="Y54" s="74">
        <v>0</v>
      </c>
      <c r="Z54" s="74">
        <v>0</v>
      </c>
      <c r="AA54" s="86" t="s">
        <v>617</v>
      </c>
      <c r="AB54" s="88">
        <f t="shared" si="1"/>
        <v>606173.78</v>
      </c>
      <c r="AC54" s="74">
        <v>556173.78</v>
      </c>
      <c r="AD54" s="88">
        <f>SUM(Table1[[#This Row],[Expenses - Revenue Generation]:[Expenses - Admin]])</f>
        <v>50000</v>
      </c>
      <c r="AE54" s="74">
        <v>0</v>
      </c>
      <c r="AF54" s="74">
        <v>0</v>
      </c>
      <c r="AG54" s="74">
        <v>50000</v>
      </c>
      <c r="AH54" s="75">
        <f>Table1[[#This Row],[Total FTE - Editorial]]+Table1[[#This Row],[Total FTE - Non-Editorial]]</f>
        <v>8.6000000000000014</v>
      </c>
      <c r="AI54" s="75">
        <f>Table1[[#This Row],[FTE Salaried - Editorial]]+Table1[[#This Row],[FTE Contractors - Editorial]]</f>
        <v>8.3000000000000007</v>
      </c>
      <c r="AJ54" s="57">
        <v>8.3000000000000007</v>
      </c>
      <c r="AK54" s="57">
        <v>0</v>
      </c>
      <c r="AL54" s="60">
        <f>Table1[[#This Row],[FTE Salaried - Non-Editorial]]+Table1[[#This Row],[FTE Contractors - Non-Editorial]]</f>
        <v>0.3</v>
      </c>
      <c r="AM54" s="57">
        <v>0</v>
      </c>
      <c r="AN54" s="57">
        <v>0.3</v>
      </c>
      <c r="AO54" s="86" t="s">
        <v>351</v>
      </c>
      <c r="AP54" s="86" t="s">
        <v>617</v>
      </c>
      <c r="AQ54" s="76">
        <v>180000</v>
      </c>
      <c r="AR54" s="76">
        <v>3850</v>
      </c>
      <c r="AS54" s="76">
        <v>0</v>
      </c>
      <c r="AT54" s="76">
        <v>0</v>
      </c>
      <c r="AU54" s="76">
        <v>150000</v>
      </c>
      <c r="AV54" s="86" t="s">
        <v>686</v>
      </c>
      <c r="BC54" s="54"/>
      <c r="BD54" s="54"/>
      <c r="BE54" s="54"/>
      <c r="BF54" s="54"/>
      <c r="BG54" s="54"/>
      <c r="BI54" s="54"/>
      <c r="BK54" s="54"/>
      <c r="BL54" s="54"/>
      <c r="BM54" s="54"/>
      <c r="BN54" s="54"/>
      <c r="BO54" s="54"/>
      <c r="BP54" s="54"/>
      <c r="BS54" s="54"/>
      <c r="BT54" s="54"/>
      <c r="BU54" s="54"/>
      <c r="BV54" s="54"/>
      <c r="BW54" s="54"/>
    </row>
    <row r="55" spans="1:75" x14ac:dyDescent="0.2">
      <c r="A55" s="86" t="s">
        <v>712</v>
      </c>
      <c r="B55" s="86"/>
      <c r="C55" s="86" t="s">
        <v>83</v>
      </c>
      <c r="D55" s="86" t="s">
        <v>78</v>
      </c>
      <c r="E55" s="54" t="str">
        <f>_xlfn.CONCAT(Table1[[#This Row],[Geographic Scope]],": ",Table1[[#This Row],[Sub-Type/Focus]])</f>
        <v>State: Multiple Related Topics</v>
      </c>
      <c r="F55" s="55">
        <f>Table1[[#This Row],[Total Contributed Income]]+Table1[[#This Row],[Total Earned Income]]</f>
        <v>394651</v>
      </c>
      <c r="G55" s="87">
        <f>IFERROR((Table1[[#This Row],[Cont. Income - Foundation]]+Table1[[#This Row],[Cont. Income - Membership]]+Table1[[#This Row],[Cont. Income - Small Donors]]+Table1[[#This Row],[Cont. Income - Med. Donors]]+Table1[[#This Row],[Cont. Income - Major Donors]]+Table1[[#This Row],[Cont. Income - Other]]),0)</f>
        <v>381331</v>
      </c>
      <c r="H55" s="87">
        <f>IFERROR((Table1[[#This Row],[Earned Income - Advertising]]+Table1[[#This Row],[Earned Income - Sponsorships/Underwriting]]+Table1[[#This Row],[Earned Income - Events]]+Table1[[#This Row],[Earned Income - Subscriptions]]+Table1[[#This Row],[Earned Income - Syndication]]+Table1[[#This Row],[Earned Income - Other TOTAL]]),0)</f>
        <v>13320</v>
      </c>
      <c r="I55" s="74">
        <v>361125</v>
      </c>
      <c r="J55" s="74">
        <v>0</v>
      </c>
      <c r="K55" s="74">
        <v>20206</v>
      </c>
      <c r="L55" s="74">
        <v>0</v>
      </c>
      <c r="M55" s="74">
        <v>0</v>
      </c>
      <c r="N55" s="74">
        <v>0</v>
      </c>
      <c r="O55" s="79" t="s">
        <v>617</v>
      </c>
      <c r="P55" s="74">
        <v>0</v>
      </c>
      <c r="Q55" s="74">
        <v>13320</v>
      </c>
      <c r="R55" s="74">
        <v>0</v>
      </c>
      <c r="S55" s="74">
        <v>0</v>
      </c>
      <c r="T55" s="74">
        <v>0</v>
      </c>
      <c r="U55" s="88">
        <f>IFERROR(Table1[[#This Row],[Earned Income - Training Fees]]+Table1[[#This Row],[Earned Income - Fees]]+Table1[[#This Row],[Earned Income - Investments]]+Table1[[#This Row],[Earned Income - Other]],0)</f>
        <v>0</v>
      </c>
      <c r="V55" s="74">
        <v>0</v>
      </c>
      <c r="W55" s="74">
        <v>0</v>
      </c>
      <c r="X55" s="86" t="s">
        <v>617</v>
      </c>
      <c r="Y55" s="74">
        <v>0</v>
      </c>
      <c r="Z55" s="74">
        <v>0</v>
      </c>
      <c r="AA55" s="86" t="s">
        <v>617</v>
      </c>
      <c r="AB55" s="88">
        <f t="shared" si="1"/>
        <v>394651</v>
      </c>
      <c r="AC55" s="74">
        <v>298216</v>
      </c>
      <c r="AD55" s="88">
        <f>SUM(Table1[[#This Row],[Expenses - Revenue Generation]:[Expenses - Admin]])</f>
        <v>96435</v>
      </c>
      <c r="AE55" s="74">
        <v>31000</v>
      </c>
      <c r="AF55" s="74">
        <v>15000</v>
      </c>
      <c r="AG55" s="74">
        <v>50435</v>
      </c>
      <c r="AH55" s="75">
        <f>Table1[[#This Row],[Total FTE - Editorial]]+Table1[[#This Row],[Total FTE - Non-Editorial]]</f>
        <v>3.5</v>
      </c>
      <c r="AI55" s="75">
        <f>Table1[[#This Row],[FTE Salaried - Editorial]]+Table1[[#This Row],[FTE Contractors - Editorial]]</f>
        <v>2.5</v>
      </c>
      <c r="AJ55" s="57">
        <v>2.5</v>
      </c>
      <c r="AK55" s="57">
        <v>0</v>
      </c>
      <c r="AL55" s="60">
        <f>Table1[[#This Row],[FTE Salaried - Non-Editorial]]+Table1[[#This Row],[FTE Contractors - Non-Editorial]]</f>
        <v>1</v>
      </c>
      <c r="AM55" s="57">
        <v>1</v>
      </c>
      <c r="AN55" s="57">
        <v>0</v>
      </c>
      <c r="AO55" s="86" t="s">
        <v>351</v>
      </c>
      <c r="AP55" s="86" t="s">
        <v>617</v>
      </c>
      <c r="AQ55" s="76">
        <v>9551</v>
      </c>
      <c r="AR55" s="76">
        <v>8435</v>
      </c>
      <c r="AS55" s="76">
        <v>100000</v>
      </c>
      <c r="AT55" s="76">
        <v>1</v>
      </c>
      <c r="AU55" s="76">
        <v>0</v>
      </c>
      <c r="AV55" s="86" t="s">
        <v>617</v>
      </c>
      <c r="BC55" s="54"/>
      <c r="BD55" s="54"/>
      <c r="BE55" s="54"/>
      <c r="BF55" s="54"/>
      <c r="BG55" s="54"/>
      <c r="BI55" s="54"/>
      <c r="BK55" s="54"/>
      <c r="BL55" s="54"/>
      <c r="BM55" s="54"/>
      <c r="BN55" s="54"/>
      <c r="BO55" s="54"/>
      <c r="BP55" s="54"/>
      <c r="BS55" s="54"/>
      <c r="BT55" s="54"/>
      <c r="BU55" s="54"/>
      <c r="BV55" s="54"/>
      <c r="BW55" s="54"/>
    </row>
    <row r="56" spans="1:75" x14ac:dyDescent="0.2">
      <c r="A56" s="86" t="s">
        <v>713</v>
      </c>
      <c r="B56" s="86"/>
      <c r="C56" s="86" t="s">
        <v>6</v>
      </c>
      <c r="D56" s="86" t="s">
        <v>78</v>
      </c>
      <c r="E56" s="54" t="str">
        <f>_xlfn.CONCAT(Table1[[#This Row],[Geographic Scope]],": ",Table1[[#This Row],[Sub-Type/Focus]])</f>
        <v>National: Multiple Related Topics</v>
      </c>
      <c r="F56" s="55">
        <f>Table1[[#This Row],[Total Contributed Income]]+Table1[[#This Row],[Total Earned Income]]</f>
        <v>741028</v>
      </c>
      <c r="G56" s="87">
        <f>IFERROR((Table1[[#This Row],[Cont. Income - Foundation]]+Table1[[#This Row],[Cont. Income - Membership]]+Table1[[#This Row],[Cont. Income - Small Donors]]+Table1[[#This Row],[Cont. Income - Med. Donors]]+Table1[[#This Row],[Cont. Income - Major Donors]]+Table1[[#This Row],[Cont. Income - Other]]),0)</f>
        <v>545561</v>
      </c>
      <c r="H56" s="87">
        <f>IFERROR((Table1[[#This Row],[Earned Income - Advertising]]+Table1[[#This Row],[Earned Income - Sponsorships/Underwriting]]+Table1[[#This Row],[Earned Income - Events]]+Table1[[#This Row],[Earned Income - Subscriptions]]+Table1[[#This Row],[Earned Income - Syndication]]+Table1[[#This Row],[Earned Income - Other TOTAL]]),0)</f>
        <v>195467</v>
      </c>
      <c r="I56" s="74">
        <v>465933</v>
      </c>
      <c r="J56" s="74">
        <v>0</v>
      </c>
      <c r="K56" s="74">
        <v>74628</v>
      </c>
      <c r="L56" s="74">
        <v>5000</v>
      </c>
      <c r="M56" s="74">
        <v>0</v>
      </c>
      <c r="N56" s="74">
        <v>0</v>
      </c>
      <c r="O56" s="79" t="s">
        <v>617</v>
      </c>
      <c r="P56" s="74">
        <v>153953</v>
      </c>
      <c r="Q56" s="74">
        <v>0</v>
      </c>
      <c r="R56" s="74">
        <v>41514</v>
      </c>
      <c r="S56" s="74">
        <v>0</v>
      </c>
      <c r="T56" s="74">
        <v>0</v>
      </c>
      <c r="U56" s="88">
        <f>IFERROR(Table1[[#This Row],[Earned Income - Training Fees]]+Table1[[#This Row],[Earned Income - Fees]]+Table1[[#This Row],[Earned Income - Investments]]+Table1[[#This Row],[Earned Income - Other]],0)</f>
        <v>0</v>
      </c>
      <c r="V56" s="74">
        <v>0</v>
      </c>
      <c r="W56" s="74">
        <v>0</v>
      </c>
      <c r="X56" s="86" t="s">
        <v>617</v>
      </c>
      <c r="Y56" s="74">
        <v>0</v>
      </c>
      <c r="Z56" s="74">
        <v>0</v>
      </c>
      <c r="AA56" s="86" t="s">
        <v>617</v>
      </c>
      <c r="AB56" s="88">
        <f t="shared" si="1"/>
        <v>1146707</v>
      </c>
      <c r="AC56" s="74">
        <v>184818</v>
      </c>
      <c r="AD56" s="88">
        <f>SUM(Table1[[#This Row],[Expenses - Revenue Generation]:[Expenses - Admin]])</f>
        <v>961889</v>
      </c>
      <c r="AE56" s="74">
        <v>0</v>
      </c>
      <c r="AF56" s="74">
        <v>750</v>
      </c>
      <c r="AG56" s="74">
        <v>961139</v>
      </c>
      <c r="AH56" s="75">
        <f>Table1[[#This Row],[Total FTE - Editorial]]+Table1[[#This Row],[Total FTE - Non-Editorial]]</f>
        <v>7</v>
      </c>
      <c r="AI56" s="75">
        <f>Table1[[#This Row],[FTE Salaried - Editorial]]+Table1[[#This Row],[FTE Contractors - Editorial]]</f>
        <v>4</v>
      </c>
      <c r="AJ56" s="57">
        <v>4</v>
      </c>
      <c r="AK56" s="57">
        <v>0</v>
      </c>
      <c r="AL56" s="60">
        <f>Table1[[#This Row],[FTE Salaried - Non-Editorial]]+Table1[[#This Row],[FTE Contractors - Non-Editorial]]</f>
        <v>3</v>
      </c>
      <c r="AM56" s="57">
        <v>3</v>
      </c>
      <c r="AN56" s="57">
        <v>0</v>
      </c>
      <c r="AO56" s="86" t="s">
        <v>351</v>
      </c>
      <c r="AP56" s="86" t="s">
        <v>617</v>
      </c>
      <c r="AQ56" s="76">
        <v>161051</v>
      </c>
      <c r="AR56" s="76">
        <v>50682</v>
      </c>
      <c r="AS56" s="76">
        <v>5000</v>
      </c>
      <c r="AT56" s="76">
        <v>1</v>
      </c>
      <c r="AU56" s="76">
        <v>0</v>
      </c>
      <c r="AV56" s="86" t="s">
        <v>617</v>
      </c>
      <c r="BC56" s="54"/>
      <c r="BD56" s="54"/>
      <c r="BE56" s="54"/>
      <c r="BF56" s="54"/>
      <c r="BG56" s="54"/>
      <c r="BI56" s="54"/>
      <c r="BK56" s="54"/>
      <c r="BL56" s="54"/>
      <c r="BM56" s="54"/>
      <c r="BN56" s="54"/>
      <c r="BO56" s="54"/>
      <c r="BP56" s="54"/>
      <c r="BS56" s="54"/>
      <c r="BT56" s="54"/>
      <c r="BU56" s="54"/>
      <c r="BV56" s="54"/>
      <c r="BW56" s="54"/>
    </row>
    <row r="57" spans="1:75" x14ac:dyDescent="0.2">
      <c r="A57" s="86" t="s">
        <v>714</v>
      </c>
      <c r="B57" s="86"/>
      <c r="C57" s="86" t="s">
        <v>6</v>
      </c>
      <c r="D57" s="86" t="s">
        <v>78</v>
      </c>
      <c r="E57" s="54" t="str">
        <f>_xlfn.CONCAT(Table1[[#This Row],[Geographic Scope]],": ",Table1[[#This Row],[Sub-Type/Focus]])</f>
        <v>National: Multiple Related Topics</v>
      </c>
      <c r="F57" s="55">
        <f>Table1[[#This Row],[Total Contributed Income]]+Table1[[#This Row],[Total Earned Income]]</f>
        <v>2070019</v>
      </c>
      <c r="G57" s="87">
        <f>IFERROR((Table1[[#This Row],[Cont. Income - Foundation]]+Table1[[#This Row],[Cont. Income - Membership]]+Table1[[#This Row],[Cont. Income - Small Donors]]+Table1[[#This Row],[Cont. Income - Med. Donors]]+Table1[[#This Row],[Cont. Income - Major Donors]]+Table1[[#This Row],[Cont. Income - Other]]),0)</f>
        <v>1224263</v>
      </c>
      <c r="H57" s="87">
        <f>IFERROR((Table1[[#This Row],[Earned Income - Advertising]]+Table1[[#This Row],[Earned Income - Sponsorships/Underwriting]]+Table1[[#This Row],[Earned Income - Events]]+Table1[[#This Row],[Earned Income - Subscriptions]]+Table1[[#This Row],[Earned Income - Syndication]]+Table1[[#This Row],[Earned Income - Other TOTAL]]),0)</f>
        <v>845756</v>
      </c>
      <c r="I57" s="74">
        <v>1083525</v>
      </c>
      <c r="J57" s="74">
        <v>100508</v>
      </c>
      <c r="K57" s="74">
        <v>40230</v>
      </c>
      <c r="L57" s="74">
        <v>0</v>
      </c>
      <c r="M57" s="74">
        <v>0</v>
      </c>
      <c r="N57" s="74">
        <v>0</v>
      </c>
      <c r="O57" s="79" t="s">
        <v>617</v>
      </c>
      <c r="P57" s="74">
        <v>653456</v>
      </c>
      <c r="Q57" s="74">
        <v>0</v>
      </c>
      <c r="R57" s="74">
        <v>0</v>
      </c>
      <c r="S57" s="74">
        <v>157630</v>
      </c>
      <c r="T57" s="74">
        <v>34670</v>
      </c>
      <c r="U57" s="88">
        <f>IFERROR(Table1[[#This Row],[Earned Income - Training Fees]]+Table1[[#This Row],[Earned Income - Fees]]+Table1[[#This Row],[Earned Income - Investments]]+Table1[[#This Row],[Earned Income - Other]],0)</f>
        <v>0</v>
      </c>
      <c r="V57" s="74">
        <v>0</v>
      </c>
      <c r="W57" s="74">
        <v>0</v>
      </c>
      <c r="X57" s="86" t="s">
        <v>617</v>
      </c>
      <c r="Y57" s="74">
        <v>0</v>
      </c>
      <c r="Z57" s="74">
        <v>0</v>
      </c>
      <c r="AA57" s="86" t="s">
        <v>617</v>
      </c>
      <c r="AB57" s="88">
        <f t="shared" si="1"/>
        <v>2100143</v>
      </c>
      <c r="AC57" s="74">
        <v>1240000</v>
      </c>
      <c r="AD57" s="88">
        <f>SUM(Table1[[#This Row],[Expenses - Revenue Generation]:[Expenses - Admin]])</f>
        <v>860143</v>
      </c>
      <c r="AE57" s="74">
        <v>450890</v>
      </c>
      <c r="AF57" s="74">
        <v>179253</v>
      </c>
      <c r="AG57" s="74">
        <v>230000</v>
      </c>
      <c r="AH57" s="75">
        <f>Table1[[#This Row],[Total FTE - Editorial]]+Table1[[#This Row],[Total FTE - Non-Editorial]]</f>
        <v>18</v>
      </c>
      <c r="AI57" s="75">
        <f>Table1[[#This Row],[FTE Salaried - Editorial]]+Table1[[#This Row],[FTE Contractors - Editorial]]</f>
        <v>12</v>
      </c>
      <c r="AJ57" s="57">
        <v>8</v>
      </c>
      <c r="AK57" s="57">
        <v>4</v>
      </c>
      <c r="AL57" s="60">
        <f>Table1[[#This Row],[FTE Salaried - Non-Editorial]]+Table1[[#This Row],[FTE Contractors - Non-Editorial]]</f>
        <v>6</v>
      </c>
      <c r="AM57" s="57">
        <v>4</v>
      </c>
      <c r="AN57" s="57">
        <v>2</v>
      </c>
      <c r="AO57" s="86" t="s">
        <v>351</v>
      </c>
      <c r="AP57" s="86" t="s">
        <v>617</v>
      </c>
      <c r="AQ57" s="76">
        <v>275000</v>
      </c>
      <c r="AR57" s="76">
        <v>52000</v>
      </c>
      <c r="AS57" s="76">
        <v>5500</v>
      </c>
      <c r="AT57" s="76">
        <v>4</v>
      </c>
      <c r="AU57" s="76">
        <v>10000</v>
      </c>
      <c r="AV57" s="86" t="s">
        <v>715</v>
      </c>
      <c r="BC57" s="54"/>
      <c r="BD57" s="54"/>
      <c r="BE57" s="54"/>
      <c r="BF57" s="54"/>
      <c r="BG57" s="54"/>
      <c r="BI57" s="54"/>
      <c r="BK57" s="54"/>
      <c r="BL57" s="54"/>
      <c r="BM57" s="54"/>
      <c r="BN57" s="54"/>
      <c r="BO57" s="54"/>
      <c r="BP57" s="54"/>
      <c r="BS57" s="54"/>
      <c r="BT57" s="54"/>
      <c r="BU57" s="54"/>
      <c r="BV57" s="54"/>
      <c r="BW57" s="54"/>
    </row>
    <row r="58" spans="1:75" x14ac:dyDescent="0.2">
      <c r="A58" s="86" t="s">
        <v>716</v>
      </c>
      <c r="B58" s="86"/>
      <c r="C58" s="86" t="s">
        <v>83</v>
      </c>
      <c r="D58" s="86" t="s">
        <v>79</v>
      </c>
      <c r="E58" s="54" t="str">
        <f>_xlfn.CONCAT(Table1[[#This Row],[Geographic Scope]],": ",Table1[[#This Row],[Sub-Type/Focus]])</f>
        <v>State: Single-Topic</v>
      </c>
      <c r="F58" s="55">
        <f>Table1[[#This Row],[Total Contributed Income]]+Table1[[#This Row],[Total Earned Income]]</f>
        <v>338691</v>
      </c>
      <c r="G58" s="87">
        <f>IFERROR((Table1[[#This Row],[Cont. Income - Foundation]]+Table1[[#This Row],[Cont. Income - Membership]]+Table1[[#This Row],[Cont. Income - Small Donors]]+Table1[[#This Row],[Cont. Income - Med. Donors]]+Table1[[#This Row],[Cont. Income - Major Donors]]+Table1[[#This Row],[Cont. Income - Other]]),0)</f>
        <v>237969</v>
      </c>
      <c r="H58" s="87">
        <f>IFERROR((Table1[[#This Row],[Earned Income - Advertising]]+Table1[[#This Row],[Earned Income - Sponsorships/Underwriting]]+Table1[[#This Row],[Earned Income - Events]]+Table1[[#This Row],[Earned Income - Subscriptions]]+Table1[[#This Row],[Earned Income - Syndication]]+Table1[[#This Row],[Earned Income - Other TOTAL]]),0)</f>
        <v>100722</v>
      </c>
      <c r="I58" s="74">
        <v>203650</v>
      </c>
      <c r="J58" s="74">
        <v>0</v>
      </c>
      <c r="K58" s="74">
        <v>28119</v>
      </c>
      <c r="L58" s="74">
        <v>6200</v>
      </c>
      <c r="M58" s="74">
        <v>0</v>
      </c>
      <c r="N58" s="74">
        <v>0</v>
      </c>
      <c r="O58" s="79" t="s">
        <v>617</v>
      </c>
      <c r="P58" s="74">
        <v>0</v>
      </c>
      <c r="Q58" s="74">
        <v>99400</v>
      </c>
      <c r="R58" s="74">
        <v>0</v>
      </c>
      <c r="S58" s="74">
        <v>0</v>
      </c>
      <c r="T58" s="74">
        <v>1072</v>
      </c>
      <c r="U58" s="88">
        <f>IFERROR(Table1[[#This Row],[Earned Income - Training Fees]]+Table1[[#This Row],[Earned Income - Fees]]+Table1[[#This Row],[Earned Income - Investments]]+Table1[[#This Row],[Earned Income - Other]],0)</f>
        <v>250</v>
      </c>
      <c r="V58" s="74">
        <v>0</v>
      </c>
      <c r="W58" s="74">
        <v>0</v>
      </c>
      <c r="X58" s="86" t="s">
        <v>617</v>
      </c>
      <c r="Y58" s="74">
        <v>0</v>
      </c>
      <c r="Z58" s="74">
        <v>250</v>
      </c>
      <c r="AA58" s="86" t="s">
        <v>717</v>
      </c>
      <c r="AB58" s="88">
        <f t="shared" si="1"/>
        <v>242070</v>
      </c>
      <c r="AC58" s="74">
        <v>170403</v>
      </c>
      <c r="AD58" s="88">
        <f>SUM(Table1[[#This Row],[Expenses - Revenue Generation]:[Expenses - Admin]])</f>
        <v>71667</v>
      </c>
      <c r="AE58" s="74">
        <v>29233</v>
      </c>
      <c r="AF58" s="74">
        <v>2116</v>
      </c>
      <c r="AG58" s="74">
        <v>40318</v>
      </c>
      <c r="AH58" s="75">
        <f>Table1[[#This Row],[Total FTE - Editorial]]+Table1[[#This Row],[Total FTE - Non-Editorial]]</f>
        <v>3</v>
      </c>
      <c r="AI58" s="75">
        <f>Table1[[#This Row],[FTE Salaried - Editorial]]+Table1[[#This Row],[FTE Contractors - Editorial]]</f>
        <v>2</v>
      </c>
      <c r="AJ58" s="57">
        <v>1.5</v>
      </c>
      <c r="AK58" s="57">
        <v>0.5</v>
      </c>
      <c r="AL58" s="60">
        <f>Table1[[#This Row],[FTE Salaried - Non-Editorial]]+Table1[[#This Row],[FTE Contractors - Non-Editorial]]</f>
        <v>1</v>
      </c>
      <c r="AM58" s="57">
        <v>0.5</v>
      </c>
      <c r="AN58" s="57">
        <v>0.5</v>
      </c>
      <c r="AO58" s="86" t="s">
        <v>351</v>
      </c>
      <c r="AP58" s="86" t="s">
        <v>617</v>
      </c>
      <c r="AQ58" s="76">
        <v>46618</v>
      </c>
      <c r="AR58" s="76">
        <v>6698</v>
      </c>
      <c r="AS58" s="76">
        <v>0</v>
      </c>
      <c r="AT58" s="76">
        <v>0</v>
      </c>
      <c r="AU58" s="76">
        <v>0</v>
      </c>
      <c r="AV58" s="86" t="s">
        <v>617</v>
      </c>
      <c r="BC58" s="54"/>
      <c r="BD58" s="54"/>
      <c r="BE58" s="54"/>
      <c r="BF58" s="54"/>
      <c r="BG58" s="54"/>
      <c r="BI58" s="54"/>
      <c r="BK58" s="54"/>
      <c r="BL58" s="54"/>
      <c r="BM58" s="54"/>
      <c r="BN58" s="54"/>
      <c r="BO58" s="54"/>
      <c r="BP58" s="54"/>
      <c r="BS58" s="54"/>
      <c r="BT58" s="54"/>
      <c r="BU58" s="54"/>
      <c r="BV58" s="54"/>
      <c r="BW58" s="54"/>
    </row>
    <row r="59" spans="1:75" x14ac:dyDescent="0.2">
      <c r="A59" s="86" t="s">
        <v>718</v>
      </c>
      <c r="B59" s="86"/>
      <c r="C59" s="86" t="s">
        <v>7</v>
      </c>
      <c r="D59" s="86" t="s">
        <v>77</v>
      </c>
      <c r="E59" s="54" t="str">
        <f>_xlfn.CONCAT(Table1[[#This Row],[Geographic Scope]],": ",Table1[[#This Row],[Sub-Type/Focus]])</f>
        <v>Local: General</v>
      </c>
      <c r="F59" s="55">
        <f>Table1[[#This Row],[Total Contributed Income]]+Table1[[#This Row],[Total Earned Income]]</f>
        <v>381538</v>
      </c>
      <c r="G59" s="87">
        <f>IFERROR((Table1[[#This Row],[Cont. Income - Foundation]]+Table1[[#This Row],[Cont. Income - Membership]]+Table1[[#This Row],[Cont. Income - Small Donors]]+Table1[[#This Row],[Cont. Income - Med. Donors]]+Table1[[#This Row],[Cont. Income - Major Donors]]+Table1[[#This Row],[Cont. Income - Other]]),0)</f>
        <v>102538</v>
      </c>
      <c r="H59" s="87">
        <f>IFERROR((Table1[[#This Row],[Earned Income - Advertising]]+Table1[[#This Row],[Earned Income - Sponsorships/Underwriting]]+Table1[[#This Row],[Earned Income - Events]]+Table1[[#This Row],[Earned Income - Subscriptions]]+Table1[[#This Row],[Earned Income - Syndication]]+Table1[[#This Row],[Earned Income - Other TOTAL]]),0)</f>
        <v>279000</v>
      </c>
      <c r="I59" s="74">
        <v>52238</v>
      </c>
      <c r="J59" s="74">
        <v>0</v>
      </c>
      <c r="K59" s="74">
        <v>50300</v>
      </c>
      <c r="L59" s="74">
        <v>0</v>
      </c>
      <c r="M59" s="74">
        <v>0</v>
      </c>
      <c r="N59" s="74">
        <v>0</v>
      </c>
      <c r="O59" s="79" t="s">
        <v>617</v>
      </c>
      <c r="P59" s="74">
        <v>210000</v>
      </c>
      <c r="Q59" s="74">
        <v>38000</v>
      </c>
      <c r="R59" s="74">
        <v>31000</v>
      </c>
      <c r="S59" s="74">
        <v>0</v>
      </c>
      <c r="T59" s="74">
        <v>0</v>
      </c>
      <c r="U59" s="88">
        <f>IFERROR(Table1[[#This Row],[Earned Income - Training Fees]]+Table1[[#This Row],[Earned Income - Fees]]+Table1[[#This Row],[Earned Income - Investments]]+Table1[[#This Row],[Earned Income - Other]],0)</f>
        <v>0</v>
      </c>
      <c r="V59" s="74">
        <v>0</v>
      </c>
      <c r="W59" s="74">
        <v>0</v>
      </c>
      <c r="X59" s="86" t="s">
        <v>617</v>
      </c>
      <c r="Y59" s="74">
        <v>0</v>
      </c>
      <c r="Z59" s="74">
        <v>0</v>
      </c>
      <c r="AA59" s="86" t="s">
        <v>617</v>
      </c>
      <c r="AB59" s="88">
        <f t="shared" si="1"/>
        <v>357000</v>
      </c>
      <c r="AC59" s="74">
        <v>235000</v>
      </c>
      <c r="AD59" s="88">
        <f>SUM(Table1[[#This Row],[Expenses - Revenue Generation]:[Expenses - Admin]])</f>
        <v>122000</v>
      </c>
      <c r="AE59" s="74">
        <v>0</v>
      </c>
      <c r="AF59" s="74">
        <v>12000</v>
      </c>
      <c r="AG59" s="74">
        <v>110000</v>
      </c>
      <c r="AH59" s="75">
        <f>Table1[[#This Row],[Total FTE - Editorial]]+Table1[[#This Row],[Total FTE - Non-Editorial]]</f>
        <v>12</v>
      </c>
      <c r="AI59" s="75">
        <f>Table1[[#This Row],[FTE Salaried - Editorial]]+Table1[[#This Row],[FTE Contractors - Editorial]]</f>
        <v>12</v>
      </c>
      <c r="AJ59" s="57">
        <v>3</v>
      </c>
      <c r="AK59" s="57">
        <v>9</v>
      </c>
      <c r="AL59" s="60">
        <f>Table1[[#This Row],[FTE Salaried - Non-Editorial]]+Table1[[#This Row],[FTE Contractors - Non-Editorial]]</f>
        <v>0</v>
      </c>
      <c r="AM59" s="57">
        <v>0</v>
      </c>
      <c r="AN59" s="57">
        <v>0</v>
      </c>
      <c r="AO59" s="86" t="s">
        <v>351</v>
      </c>
      <c r="AP59" s="86" t="s">
        <v>617</v>
      </c>
      <c r="AQ59" s="76">
        <v>165000</v>
      </c>
      <c r="AR59" s="76">
        <v>10000</v>
      </c>
      <c r="AS59" s="76" t="s">
        <v>617</v>
      </c>
      <c r="AT59" s="76">
        <v>0</v>
      </c>
      <c r="AU59" s="76">
        <v>0</v>
      </c>
      <c r="AV59" s="86" t="s">
        <v>617</v>
      </c>
      <c r="BC59" s="54"/>
      <c r="BD59" s="54"/>
      <c r="BE59" s="54"/>
      <c r="BF59" s="54"/>
      <c r="BG59" s="54"/>
      <c r="BI59" s="54"/>
      <c r="BK59" s="54"/>
      <c r="BL59" s="54"/>
      <c r="BM59" s="54"/>
      <c r="BN59" s="54"/>
      <c r="BO59" s="54"/>
      <c r="BP59" s="54"/>
      <c r="BS59" s="54"/>
      <c r="BT59" s="54"/>
      <c r="BU59" s="54"/>
      <c r="BV59" s="54"/>
      <c r="BW59" s="54"/>
    </row>
    <row r="60" spans="1:75" x14ac:dyDescent="0.2">
      <c r="A60" s="86" t="s">
        <v>719</v>
      </c>
      <c r="B60" s="86"/>
      <c r="C60" s="86" t="s">
        <v>83</v>
      </c>
      <c r="D60" s="86" t="s">
        <v>77</v>
      </c>
      <c r="E60" s="54" t="str">
        <f>_xlfn.CONCAT(Table1[[#This Row],[Geographic Scope]],": ",Table1[[#This Row],[Sub-Type/Focus]])</f>
        <v>State: General</v>
      </c>
      <c r="F60" s="55">
        <f>Table1[[#This Row],[Total Contributed Income]]+Table1[[#This Row],[Total Earned Income]]</f>
        <v>654971</v>
      </c>
      <c r="G60" s="87">
        <f>IFERROR((Table1[[#This Row],[Cont. Income - Foundation]]+Table1[[#This Row],[Cont. Income - Membership]]+Table1[[#This Row],[Cont. Income - Small Donors]]+Table1[[#This Row],[Cont. Income - Med. Donors]]+Table1[[#This Row],[Cont. Income - Major Donors]]+Table1[[#This Row],[Cont. Income - Other]]),0)</f>
        <v>641371</v>
      </c>
      <c r="H60" s="87">
        <f>IFERROR((Table1[[#This Row],[Earned Income - Advertising]]+Table1[[#This Row],[Earned Income - Sponsorships/Underwriting]]+Table1[[#This Row],[Earned Income - Events]]+Table1[[#This Row],[Earned Income - Subscriptions]]+Table1[[#This Row],[Earned Income - Syndication]]+Table1[[#This Row],[Earned Income - Other TOTAL]]),0)</f>
        <v>13600</v>
      </c>
      <c r="I60" s="74">
        <v>578408</v>
      </c>
      <c r="J60" s="74">
        <v>14713</v>
      </c>
      <c r="K60" s="74">
        <v>28250</v>
      </c>
      <c r="L60" s="74">
        <v>0</v>
      </c>
      <c r="M60" s="74">
        <v>20000</v>
      </c>
      <c r="N60" s="74">
        <v>0</v>
      </c>
      <c r="O60" s="79" t="s">
        <v>617</v>
      </c>
      <c r="P60" s="74">
        <v>0</v>
      </c>
      <c r="Q60" s="74">
        <v>5000</v>
      </c>
      <c r="R60" s="74">
        <v>5000</v>
      </c>
      <c r="S60" s="74">
        <v>0</v>
      </c>
      <c r="T60" s="74">
        <v>3600</v>
      </c>
      <c r="U60" s="88">
        <f>IFERROR(Table1[[#This Row],[Earned Income - Training Fees]]+Table1[[#This Row],[Earned Income - Fees]]+Table1[[#This Row],[Earned Income - Investments]]+Table1[[#This Row],[Earned Income - Other]],0)</f>
        <v>0</v>
      </c>
      <c r="V60" s="74">
        <v>0</v>
      </c>
      <c r="W60" s="74">
        <v>0</v>
      </c>
      <c r="X60" s="86" t="s">
        <v>617</v>
      </c>
      <c r="Y60" s="74">
        <v>0</v>
      </c>
      <c r="Z60" s="74">
        <v>0</v>
      </c>
      <c r="AA60" s="86" t="s">
        <v>617</v>
      </c>
      <c r="AB60" s="88">
        <f t="shared" si="1"/>
        <v>695871</v>
      </c>
      <c r="AC60" s="74">
        <v>382743</v>
      </c>
      <c r="AD60" s="88">
        <f>SUM(Table1[[#This Row],[Expenses - Revenue Generation]:[Expenses - Admin]])</f>
        <v>313128</v>
      </c>
      <c r="AE60" s="74">
        <v>133315</v>
      </c>
      <c r="AF60" s="74">
        <v>17769</v>
      </c>
      <c r="AG60" s="74">
        <v>162044</v>
      </c>
      <c r="AH60" s="75">
        <f>Table1[[#This Row],[Total FTE - Editorial]]+Table1[[#This Row],[Total FTE - Non-Editorial]]</f>
        <v>11.9</v>
      </c>
      <c r="AI60" s="75">
        <f>Table1[[#This Row],[FTE Salaried - Editorial]]+Table1[[#This Row],[FTE Contractors - Editorial]]</f>
        <v>11</v>
      </c>
      <c r="AJ60" s="57">
        <v>4.5</v>
      </c>
      <c r="AK60" s="57">
        <v>6.5</v>
      </c>
      <c r="AL60" s="60">
        <f>Table1[[#This Row],[FTE Salaried - Non-Editorial]]+Table1[[#This Row],[FTE Contractors - Non-Editorial]]</f>
        <v>0.9</v>
      </c>
      <c r="AM60" s="57">
        <v>0.5</v>
      </c>
      <c r="AN60" s="57">
        <v>0.4</v>
      </c>
      <c r="AO60" s="86" t="s">
        <v>351</v>
      </c>
      <c r="AP60" s="86" t="s">
        <v>617</v>
      </c>
      <c r="AQ60" s="76">
        <v>35046</v>
      </c>
      <c r="AR60" s="76">
        <v>9736</v>
      </c>
      <c r="AS60" s="76">
        <v>0</v>
      </c>
      <c r="AT60" s="76">
        <v>0</v>
      </c>
      <c r="AU60" s="76">
        <v>0</v>
      </c>
      <c r="AV60" s="86" t="s">
        <v>617</v>
      </c>
      <c r="BC60" s="54"/>
      <c r="BD60" s="54"/>
      <c r="BE60" s="54"/>
      <c r="BF60" s="54"/>
      <c r="BG60" s="54"/>
      <c r="BI60" s="54"/>
      <c r="BK60" s="54"/>
      <c r="BL60" s="54"/>
      <c r="BM60" s="54"/>
      <c r="BN60" s="54"/>
      <c r="BO60" s="54"/>
      <c r="BP60" s="54"/>
      <c r="BS60" s="54"/>
      <c r="BT60" s="54"/>
      <c r="BU60" s="54"/>
      <c r="BV60" s="54"/>
      <c r="BW60" s="54"/>
    </row>
    <row r="61" spans="1:75" x14ac:dyDescent="0.2">
      <c r="A61" s="86" t="s">
        <v>720</v>
      </c>
      <c r="B61" s="86"/>
      <c r="C61" s="86" t="s">
        <v>83</v>
      </c>
      <c r="D61" s="86" t="s">
        <v>78</v>
      </c>
      <c r="E61" s="54" t="str">
        <f>_xlfn.CONCAT(Table1[[#This Row],[Geographic Scope]],": ",Table1[[#This Row],[Sub-Type/Focus]])</f>
        <v>State: Multiple Related Topics</v>
      </c>
      <c r="F61" s="55">
        <f>Table1[[#This Row],[Total Contributed Income]]+Table1[[#This Row],[Total Earned Income]]</f>
        <v>1045656</v>
      </c>
      <c r="G61" s="87">
        <f>IFERROR((Table1[[#This Row],[Cont. Income - Foundation]]+Table1[[#This Row],[Cont. Income - Membership]]+Table1[[#This Row],[Cont. Income - Small Donors]]+Table1[[#This Row],[Cont. Income - Med. Donors]]+Table1[[#This Row],[Cont. Income - Major Donors]]+Table1[[#This Row],[Cont. Income - Other]]),0)</f>
        <v>1045656</v>
      </c>
      <c r="H61" s="87">
        <f>IFERROR((Table1[[#This Row],[Earned Income - Advertising]]+Table1[[#This Row],[Earned Income - Sponsorships/Underwriting]]+Table1[[#This Row],[Earned Income - Events]]+Table1[[#This Row],[Earned Income - Subscriptions]]+Table1[[#This Row],[Earned Income - Syndication]]+Table1[[#This Row],[Earned Income - Other TOTAL]]),0)</f>
        <v>0</v>
      </c>
      <c r="I61" s="74">
        <v>970000</v>
      </c>
      <c r="J61" s="74">
        <v>0</v>
      </c>
      <c r="K61" s="74">
        <v>1656</v>
      </c>
      <c r="L61" s="74">
        <v>6500</v>
      </c>
      <c r="M61" s="74">
        <v>67500</v>
      </c>
      <c r="N61" s="74">
        <v>0</v>
      </c>
      <c r="O61" s="79" t="s">
        <v>617</v>
      </c>
      <c r="P61" s="74">
        <v>0</v>
      </c>
      <c r="Q61" s="74">
        <v>0</v>
      </c>
      <c r="R61" s="74">
        <v>0</v>
      </c>
      <c r="S61" s="74">
        <v>0</v>
      </c>
      <c r="T61" s="74">
        <v>0</v>
      </c>
      <c r="U61" s="88">
        <f>IFERROR(Table1[[#This Row],[Earned Income - Training Fees]]+Table1[[#This Row],[Earned Income - Fees]]+Table1[[#This Row],[Earned Income - Investments]]+Table1[[#This Row],[Earned Income - Other]],0)</f>
        <v>0</v>
      </c>
      <c r="V61" s="74">
        <v>0</v>
      </c>
      <c r="W61" s="74">
        <v>0</v>
      </c>
      <c r="X61" s="86" t="s">
        <v>617</v>
      </c>
      <c r="Y61" s="74">
        <v>0</v>
      </c>
      <c r="Z61" s="74">
        <v>0</v>
      </c>
      <c r="AA61" s="86" t="s">
        <v>617</v>
      </c>
      <c r="AB61" s="88">
        <f t="shared" si="1"/>
        <v>573000</v>
      </c>
      <c r="AC61" s="74">
        <v>280000</v>
      </c>
      <c r="AD61" s="88">
        <f>SUM(Table1[[#This Row],[Expenses - Revenue Generation]:[Expenses - Admin]])</f>
        <v>293000</v>
      </c>
      <c r="AE61" s="74">
        <v>150000</v>
      </c>
      <c r="AF61" s="74">
        <v>26000</v>
      </c>
      <c r="AG61" s="74">
        <v>117000</v>
      </c>
      <c r="AH61" s="75">
        <f>Table1[[#This Row],[Total FTE - Editorial]]+Table1[[#This Row],[Total FTE - Non-Editorial]]</f>
        <v>9.5</v>
      </c>
      <c r="AI61" s="75">
        <f>Table1[[#This Row],[FTE Salaried - Editorial]]+Table1[[#This Row],[FTE Contractors - Editorial]]</f>
        <v>7</v>
      </c>
      <c r="AJ61" s="57">
        <v>7</v>
      </c>
      <c r="AK61" s="57">
        <v>0</v>
      </c>
      <c r="AL61" s="60">
        <f>Table1[[#This Row],[FTE Salaried - Non-Editorial]]+Table1[[#This Row],[FTE Contractors - Non-Editorial]]</f>
        <v>2.5</v>
      </c>
      <c r="AM61" s="57">
        <v>2.5</v>
      </c>
      <c r="AN61" s="57">
        <v>0</v>
      </c>
      <c r="AO61" s="86" t="s">
        <v>351</v>
      </c>
      <c r="AP61" s="86" t="s">
        <v>617</v>
      </c>
      <c r="AQ61" s="76">
        <v>15000</v>
      </c>
      <c r="AR61" s="76">
        <v>3600</v>
      </c>
      <c r="AS61" s="76">
        <v>0</v>
      </c>
      <c r="AT61" s="76">
        <v>0</v>
      </c>
      <c r="AU61" s="76">
        <v>20000</v>
      </c>
      <c r="AV61" s="86" t="s">
        <v>721</v>
      </c>
      <c r="BC61" s="54"/>
      <c r="BD61" s="54"/>
      <c r="BE61" s="54"/>
      <c r="BF61" s="54"/>
      <c r="BG61" s="54"/>
      <c r="BI61" s="54"/>
      <c r="BK61" s="54"/>
      <c r="BL61" s="54"/>
      <c r="BM61" s="54"/>
      <c r="BN61" s="54"/>
      <c r="BO61" s="54"/>
      <c r="BP61" s="54"/>
      <c r="BS61" s="54"/>
      <c r="BT61" s="54"/>
      <c r="BU61" s="54"/>
      <c r="BV61" s="54"/>
      <c r="BW61" s="54"/>
    </row>
    <row r="62" spans="1:75" x14ac:dyDescent="0.2">
      <c r="A62" s="86" t="s">
        <v>722</v>
      </c>
      <c r="B62" s="86"/>
      <c r="C62" s="86" t="s">
        <v>7</v>
      </c>
      <c r="D62" s="86" t="s">
        <v>77</v>
      </c>
      <c r="E62" s="54" t="str">
        <f>_xlfn.CONCAT(Table1[[#This Row],[Geographic Scope]],": ",Table1[[#This Row],[Sub-Type/Focus]])</f>
        <v>Local: General</v>
      </c>
      <c r="F62" s="55">
        <f>Table1[[#This Row],[Total Contributed Income]]+Table1[[#This Row],[Total Earned Income]]</f>
        <v>69883</v>
      </c>
      <c r="G62" s="87">
        <f>IFERROR((Table1[[#This Row],[Cont. Income - Foundation]]+Table1[[#This Row],[Cont. Income - Membership]]+Table1[[#This Row],[Cont. Income - Small Donors]]+Table1[[#This Row],[Cont. Income - Med. Donors]]+Table1[[#This Row],[Cont. Income - Major Donors]]+Table1[[#This Row],[Cont. Income - Other]]),0)</f>
        <v>52290</v>
      </c>
      <c r="H62" s="87">
        <f>IFERROR((Table1[[#This Row],[Earned Income - Advertising]]+Table1[[#This Row],[Earned Income - Sponsorships/Underwriting]]+Table1[[#This Row],[Earned Income - Events]]+Table1[[#This Row],[Earned Income - Subscriptions]]+Table1[[#This Row],[Earned Income - Syndication]]+Table1[[#This Row],[Earned Income - Other TOTAL]]),0)</f>
        <v>17593</v>
      </c>
      <c r="I62" s="74">
        <v>2770</v>
      </c>
      <c r="J62" s="74">
        <v>9515</v>
      </c>
      <c r="K62" s="74">
        <v>22964</v>
      </c>
      <c r="L62" s="74">
        <v>5250</v>
      </c>
      <c r="M62" s="74">
        <v>11791</v>
      </c>
      <c r="N62" s="74">
        <v>0</v>
      </c>
      <c r="O62" s="79" t="s">
        <v>617</v>
      </c>
      <c r="P62" s="74">
        <v>16212</v>
      </c>
      <c r="Q62" s="74">
        <v>0</v>
      </c>
      <c r="R62" s="74">
        <v>0</v>
      </c>
      <c r="S62" s="74">
        <v>1381</v>
      </c>
      <c r="T62" s="74">
        <v>0</v>
      </c>
      <c r="U62" s="88">
        <f>IFERROR(Table1[[#This Row],[Earned Income - Training Fees]]+Table1[[#This Row],[Earned Income - Fees]]+Table1[[#This Row],[Earned Income - Investments]]+Table1[[#This Row],[Earned Income - Other]],0)</f>
        <v>0</v>
      </c>
      <c r="V62" s="74">
        <v>0</v>
      </c>
      <c r="W62" s="74">
        <v>0</v>
      </c>
      <c r="X62" s="86" t="s">
        <v>617</v>
      </c>
      <c r="Y62" s="74">
        <v>0</v>
      </c>
      <c r="Z62" s="74">
        <v>0</v>
      </c>
      <c r="AA62" s="86" t="s">
        <v>617</v>
      </c>
      <c r="AB62" s="88">
        <f t="shared" si="1"/>
        <v>50476</v>
      </c>
      <c r="AC62" s="74">
        <v>6954</v>
      </c>
      <c r="AD62" s="88">
        <f>SUM(Table1[[#This Row],[Expenses - Revenue Generation]:[Expenses - Admin]])</f>
        <v>43522</v>
      </c>
      <c r="AE62" s="74">
        <v>6670</v>
      </c>
      <c r="AF62" s="74">
        <v>2594</v>
      </c>
      <c r="AG62" s="74">
        <v>34258</v>
      </c>
      <c r="AH62" s="75">
        <f>Table1[[#This Row],[Total FTE - Editorial]]+Table1[[#This Row],[Total FTE - Non-Editorial]]</f>
        <v>1.25</v>
      </c>
      <c r="AI62" s="75">
        <f>Table1[[#This Row],[FTE Salaried - Editorial]]+Table1[[#This Row],[FTE Contractors - Editorial]]</f>
        <v>0.75</v>
      </c>
      <c r="AJ62" s="57">
        <v>0.5</v>
      </c>
      <c r="AK62" s="57">
        <v>0.25</v>
      </c>
      <c r="AL62" s="60">
        <f>Table1[[#This Row],[FTE Salaried - Non-Editorial]]+Table1[[#This Row],[FTE Contractors - Non-Editorial]]</f>
        <v>0.5</v>
      </c>
      <c r="AM62" s="57">
        <v>0</v>
      </c>
      <c r="AN62" s="57">
        <v>0.5</v>
      </c>
      <c r="AO62" s="86" t="s">
        <v>599</v>
      </c>
      <c r="AP62" s="86" t="s">
        <v>617</v>
      </c>
      <c r="AQ62" s="76">
        <v>791</v>
      </c>
      <c r="AR62" s="76">
        <v>530</v>
      </c>
      <c r="AS62" s="76">
        <v>26000</v>
      </c>
      <c r="AT62" s="76">
        <v>10</v>
      </c>
      <c r="AU62" s="76">
        <v>4000</v>
      </c>
      <c r="AV62" s="86" t="s">
        <v>723</v>
      </c>
      <c r="BC62" s="54"/>
      <c r="BD62" s="54"/>
      <c r="BE62" s="54"/>
      <c r="BF62" s="54"/>
      <c r="BG62" s="54"/>
      <c r="BI62" s="54"/>
      <c r="BK62" s="54"/>
      <c r="BL62" s="54"/>
      <c r="BM62" s="54"/>
      <c r="BN62" s="54"/>
      <c r="BO62" s="54"/>
      <c r="BP62" s="54"/>
      <c r="BS62" s="54"/>
      <c r="BT62" s="54"/>
      <c r="BU62" s="54"/>
      <c r="BV62" s="54"/>
      <c r="BW62" s="54"/>
    </row>
    <row r="63" spans="1:75" x14ac:dyDescent="0.2">
      <c r="A63" s="86" t="s">
        <v>724</v>
      </c>
      <c r="B63" s="86"/>
      <c r="C63" s="86" t="s">
        <v>83</v>
      </c>
      <c r="D63" s="86" t="s">
        <v>78</v>
      </c>
      <c r="E63" s="54" t="str">
        <f>_xlfn.CONCAT(Table1[[#This Row],[Geographic Scope]],": ",Table1[[#This Row],[Sub-Type/Focus]])</f>
        <v>State: Multiple Related Topics</v>
      </c>
      <c r="F63" s="55">
        <f>Table1[[#This Row],[Total Contributed Income]]+Table1[[#This Row],[Total Earned Income]]</f>
        <v>263937</v>
      </c>
      <c r="G63" s="87">
        <f>IFERROR((Table1[[#This Row],[Cont. Income - Foundation]]+Table1[[#This Row],[Cont. Income - Membership]]+Table1[[#This Row],[Cont. Income - Small Donors]]+Table1[[#This Row],[Cont. Income - Med. Donors]]+Table1[[#This Row],[Cont. Income - Major Donors]]+Table1[[#This Row],[Cont. Income - Other]]),0)</f>
        <v>263937</v>
      </c>
      <c r="H63" s="87">
        <f>IFERROR((Table1[[#This Row],[Earned Income - Advertising]]+Table1[[#This Row],[Earned Income - Sponsorships/Underwriting]]+Table1[[#This Row],[Earned Income - Events]]+Table1[[#This Row],[Earned Income - Subscriptions]]+Table1[[#This Row],[Earned Income - Syndication]]+Table1[[#This Row],[Earned Income - Other TOTAL]]),0)</f>
        <v>0</v>
      </c>
      <c r="I63" s="74">
        <v>152100</v>
      </c>
      <c r="J63" s="74">
        <v>0</v>
      </c>
      <c r="K63" s="74">
        <v>57178</v>
      </c>
      <c r="L63" s="74">
        <v>54659</v>
      </c>
      <c r="M63" s="74">
        <v>0</v>
      </c>
      <c r="N63" s="74">
        <v>0</v>
      </c>
      <c r="O63" s="79" t="s">
        <v>617</v>
      </c>
      <c r="P63" s="74">
        <v>0</v>
      </c>
      <c r="Q63" s="74">
        <v>0</v>
      </c>
      <c r="R63" s="74">
        <v>0</v>
      </c>
      <c r="S63" s="74">
        <v>0</v>
      </c>
      <c r="T63" s="74">
        <v>0</v>
      </c>
      <c r="U63" s="88">
        <f>IFERROR(Table1[[#This Row],[Earned Income - Training Fees]]+Table1[[#This Row],[Earned Income - Fees]]+Table1[[#This Row],[Earned Income - Investments]]+Table1[[#This Row],[Earned Income - Other]],0)</f>
        <v>0</v>
      </c>
      <c r="V63" s="74">
        <v>0</v>
      </c>
      <c r="W63" s="74">
        <v>0</v>
      </c>
      <c r="X63" s="86" t="s">
        <v>617</v>
      </c>
      <c r="Y63" s="74">
        <v>0</v>
      </c>
      <c r="Z63" s="74">
        <v>0</v>
      </c>
      <c r="AA63" s="86" t="s">
        <v>617</v>
      </c>
      <c r="AB63" s="88">
        <f t="shared" si="1"/>
        <v>245000</v>
      </c>
      <c r="AC63" s="74">
        <v>150000</v>
      </c>
      <c r="AD63" s="88">
        <f>SUM(Table1[[#This Row],[Expenses - Revenue Generation]:[Expenses - Admin]])</f>
        <v>95000</v>
      </c>
      <c r="AE63" s="74">
        <v>50000</v>
      </c>
      <c r="AF63" s="74">
        <v>5000</v>
      </c>
      <c r="AG63" s="74">
        <v>40000</v>
      </c>
      <c r="AH63" s="75">
        <f>Table1[[#This Row],[Total FTE - Editorial]]+Table1[[#This Row],[Total FTE - Non-Editorial]]</f>
        <v>3</v>
      </c>
      <c r="AI63" s="75">
        <f>Table1[[#This Row],[FTE Salaried - Editorial]]+Table1[[#This Row],[FTE Contractors - Editorial]]</f>
        <v>3</v>
      </c>
      <c r="AJ63" s="57">
        <v>3</v>
      </c>
      <c r="AK63" s="57">
        <v>0</v>
      </c>
      <c r="AL63" s="60">
        <f>Table1[[#This Row],[FTE Salaried - Non-Editorial]]+Table1[[#This Row],[FTE Contractors - Non-Editorial]]</f>
        <v>0</v>
      </c>
      <c r="AM63" s="57">
        <v>0</v>
      </c>
      <c r="AN63" s="57">
        <v>0</v>
      </c>
      <c r="AO63" s="86" t="s">
        <v>351</v>
      </c>
      <c r="AP63" s="86" t="s">
        <v>617</v>
      </c>
      <c r="AQ63" s="76">
        <v>5100</v>
      </c>
      <c r="AR63" s="76">
        <v>4850</v>
      </c>
      <c r="AS63" s="76">
        <v>0</v>
      </c>
      <c r="AT63" s="76">
        <v>0</v>
      </c>
      <c r="AU63" s="76">
        <v>0</v>
      </c>
      <c r="AV63" s="86" t="s">
        <v>617</v>
      </c>
      <c r="BC63" s="54"/>
      <c r="BD63" s="54"/>
      <c r="BE63" s="54"/>
      <c r="BF63" s="54"/>
      <c r="BG63" s="54"/>
      <c r="BI63" s="54"/>
      <c r="BK63" s="54"/>
      <c r="BL63" s="54"/>
      <c r="BM63" s="54"/>
      <c r="BN63" s="54"/>
      <c r="BO63" s="54"/>
      <c r="BP63" s="54"/>
      <c r="BS63" s="54"/>
      <c r="BT63" s="54"/>
      <c r="BU63" s="54"/>
      <c r="BV63" s="54"/>
      <c r="BW63" s="54"/>
    </row>
    <row r="64" spans="1:75" x14ac:dyDescent="0.2">
      <c r="A64" s="86" t="s">
        <v>725</v>
      </c>
      <c r="B64" s="86"/>
      <c r="C64" s="86" t="s">
        <v>6</v>
      </c>
      <c r="D64" s="86" t="s">
        <v>77</v>
      </c>
      <c r="E64" s="54" t="str">
        <f>_xlfn.CONCAT(Table1[[#This Row],[Geographic Scope]],": ",Table1[[#This Row],[Sub-Type/Focus]])</f>
        <v>National: General</v>
      </c>
      <c r="F64" s="55">
        <f>Table1[[#This Row],[Total Contributed Income]]+Table1[[#This Row],[Total Earned Income]]</f>
        <v>34001977</v>
      </c>
      <c r="G64" s="87">
        <f>IFERROR((Table1[[#This Row],[Cont. Income - Foundation]]+Table1[[#This Row],[Cont. Income - Membership]]+Table1[[#This Row],[Cont. Income - Small Donors]]+Table1[[#This Row],[Cont. Income - Med. Donors]]+Table1[[#This Row],[Cont. Income - Major Donors]]+Table1[[#This Row],[Cont. Income - Other]]),0)</f>
        <v>33068977</v>
      </c>
      <c r="H64" s="87">
        <f>IFERROR((Table1[[#This Row],[Earned Income - Advertising]]+Table1[[#This Row],[Earned Income - Sponsorships/Underwriting]]+Table1[[#This Row],[Earned Income - Events]]+Table1[[#This Row],[Earned Income - Subscriptions]]+Table1[[#This Row],[Earned Income - Syndication]]+Table1[[#This Row],[Earned Income - Other TOTAL]]),0)</f>
        <v>933000</v>
      </c>
      <c r="I64" s="74">
        <v>7259918</v>
      </c>
      <c r="J64" s="74">
        <v>0</v>
      </c>
      <c r="K64" s="74">
        <v>3313187</v>
      </c>
      <c r="L64" s="74">
        <v>1854747</v>
      </c>
      <c r="M64" s="74">
        <v>18969754</v>
      </c>
      <c r="N64" s="74">
        <v>1671371</v>
      </c>
      <c r="O64" s="79" t="s">
        <v>726</v>
      </c>
      <c r="P64" s="74">
        <v>93000</v>
      </c>
      <c r="Q64" s="74">
        <v>0</v>
      </c>
      <c r="R64" s="74">
        <v>0</v>
      </c>
      <c r="S64" s="74">
        <v>0</v>
      </c>
      <c r="T64" s="74">
        <v>0</v>
      </c>
      <c r="U64" s="88">
        <f>IFERROR(Table1[[#This Row],[Earned Income - Training Fees]]+Table1[[#This Row],[Earned Income - Fees]]+Table1[[#This Row],[Earned Income - Investments]]+Table1[[#This Row],[Earned Income - Other]],0)</f>
        <v>840000</v>
      </c>
      <c r="V64" s="74">
        <v>0</v>
      </c>
      <c r="W64" s="74">
        <v>325000</v>
      </c>
      <c r="X64" s="86" t="s">
        <v>727</v>
      </c>
      <c r="Y64" s="74">
        <v>515000</v>
      </c>
      <c r="Z64" s="74">
        <v>0</v>
      </c>
      <c r="AA64" s="86" t="s">
        <v>617</v>
      </c>
      <c r="AB64" s="88">
        <f t="shared" si="1"/>
        <v>28000000</v>
      </c>
      <c r="AC64" s="74">
        <v>24000000</v>
      </c>
      <c r="AD64" s="88">
        <f>SUM(Table1[[#This Row],[Expenses - Revenue Generation]:[Expenses - Admin]])</f>
        <v>4000000</v>
      </c>
      <c r="AE64" s="74">
        <v>0</v>
      </c>
      <c r="AF64" s="74">
        <v>0</v>
      </c>
      <c r="AG64" s="74">
        <v>4000000</v>
      </c>
      <c r="AH64" s="75">
        <f>Table1[[#This Row],[Total FTE - Editorial]]+Table1[[#This Row],[Total FTE - Non-Editorial]]</f>
        <v>136</v>
      </c>
      <c r="AI64" s="75">
        <f>Table1[[#This Row],[FTE Salaried - Editorial]]+Table1[[#This Row],[FTE Contractors - Editorial]]</f>
        <v>119</v>
      </c>
      <c r="AJ64" s="57">
        <v>119</v>
      </c>
      <c r="AK64" s="57">
        <v>0</v>
      </c>
      <c r="AL64" s="60">
        <f>Table1[[#This Row],[FTE Salaried - Non-Editorial]]+Table1[[#This Row],[FTE Contractors - Non-Editorial]]</f>
        <v>17</v>
      </c>
      <c r="AM64" s="57">
        <v>17</v>
      </c>
      <c r="AN64" s="57">
        <v>0</v>
      </c>
      <c r="AO64" s="86" t="s">
        <v>351</v>
      </c>
      <c r="AP64" s="86" t="s">
        <v>617</v>
      </c>
      <c r="AQ64" s="76">
        <v>2500000</v>
      </c>
      <c r="AR64" s="76">
        <v>250000</v>
      </c>
      <c r="AS64" s="76">
        <v>0</v>
      </c>
      <c r="AT64" s="76">
        <v>0</v>
      </c>
      <c r="AU64" s="76">
        <v>0</v>
      </c>
      <c r="AV64" s="86" t="s">
        <v>617</v>
      </c>
      <c r="BC64" s="54"/>
      <c r="BD64" s="54"/>
      <c r="BE64" s="54"/>
      <c r="BF64" s="54"/>
      <c r="BG64" s="54"/>
      <c r="BI64" s="54"/>
      <c r="BK64" s="54"/>
      <c r="BL64" s="54"/>
      <c r="BM64" s="54"/>
      <c r="BN64" s="54"/>
      <c r="BO64" s="54"/>
      <c r="BP64" s="54"/>
      <c r="BS64" s="54"/>
      <c r="BT64" s="54"/>
      <c r="BU64" s="54"/>
      <c r="BV64" s="54"/>
      <c r="BW64" s="54"/>
    </row>
    <row r="65" spans="1:75" x14ac:dyDescent="0.2">
      <c r="A65" s="86" t="s">
        <v>728</v>
      </c>
      <c r="B65" s="86"/>
      <c r="C65" s="86" t="s">
        <v>7</v>
      </c>
      <c r="D65" s="86" t="s">
        <v>77</v>
      </c>
      <c r="E65" s="54" t="str">
        <f>_xlfn.CONCAT(Table1[[#This Row],[Geographic Scope]],": ",Table1[[#This Row],[Sub-Type/Focus]])</f>
        <v>Local: General</v>
      </c>
      <c r="F65" s="55">
        <f>Table1[[#This Row],[Total Contributed Income]]+Table1[[#This Row],[Total Earned Income]]</f>
        <v>2276183</v>
      </c>
      <c r="G65" s="87">
        <f>IFERROR((Table1[[#This Row],[Cont. Income - Foundation]]+Table1[[#This Row],[Cont. Income - Membership]]+Table1[[#This Row],[Cont. Income - Small Donors]]+Table1[[#This Row],[Cont. Income - Med. Donors]]+Table1[[#This Row],[Cont. Income - Major Donors]]+Table1[[#This Row],[Cont. Income - Other]]),0)</f>
        <v>1485668</v>
      </c>
      <c r="H65" s="87">
        <f>IFERROR((Table1[[#This Row],[Earned Income - Advertising]]+Table1[[#This Row],[Earned Income - Sponsorships/Underwriting]]+Table1[[#This Row],[Earned Income - Events]]+Table1[[#This Row],[Earned Income - Subscriptions]]+Table1[[#This Row],[Earned Income - Syndication]]+Table1[[#This Row],[Earned Income - Other TOTAL]]),0)</f>
        <v>790515</v>
      </c>
      <c r="I65" s="74">
        <v>774435</v>
      </c>
      <c r="J65" s="74">
        <v>379447</v>
      </c>
      <c r="K65" s="74">
        <v>0</v>
      </c>
      <c r="L65" s="74">
        <v>85286</v>
      </c>
      <c r="M65" s="74">
        <v>246500</v>
      </c>
      <c r="N65" s="74">
        <v>0</v>
      </c>
      <c r="O65" s="79" t="s">
        <v>617</v>
      </c>
      <c r="P65" s="74">
        <v>395304</v>
      </c>
      <c r="Q65" s="74">
        <v>0</v>
      </c>
      <c r="R65" s="74">
        <v>389257</v>
      </c>
      <c r="S65" s="74">
        <v>0</v>
      </c>
      <c r="T65" s="74">
        <v>0</v>
      </c>
      <c r="U65" s="88">
        <f>IFERROR(Table1[[#This Row],[Earned Income - Training Fees]]+Table1[[#This Row],[Earned Income - Fees]]+Table1[[#This Row],[Earned Income - Investments]]+Table1[[#This Row],[Earned Income - Other]],0)</f>
        <v>5954</v>
      </c>
      <c r="V65" s="74">
        <v>0</v>
      </c>
      <c r="W65" s="74">
        <v>0</v>
      </c>
      <c r="X65" s="86" t="s">
        <v>617</v>
      </c>
      <c r="Y65" s="74">
        <v>0</v>
      </c>
      <c r="Z65" s="74">
        <v>5954</v>
      </c>
      <c r="AA65" s="86" t="s">
        <v>729</v>
      </c>
      <c r="AB65" s="88">
        <f t="shared" si="1"/>
        <v>2235243</v>
      </c>
      <c r="AC65" s="74">
        <v>1341991</v>
      </c>
      <c r="AD65" s="88">
        <f>SUM(Table1[[#This Row],[Expenses - Revenue Generation]:[Expenses - Admin]])</f>
        <v>893252</v>
      </c>
      <c r="AE65" s="74">
        <v>513752</v>
      </c>
      <c r="AF65" s="74">
        <v>0</v>
      </c>
      <c r="AG65" s="74">
        <v>379500</v>
      </c>
      <c r="AH65" s="75">
        <f>Table1[[#This Row],[Total FTE - Editorial]]+Table1[[#This Row],[Total FTE - Non-Editorial]]</f>
        <v>19</v>
      </c>
      <c r="AI65" s="75">
        <f>Table1[[#This Row],[FTE Salaried - Editorial]]+Table1[[#This Row],[FTE Contractors - Editorial]]</f>
        <v>14.5</v>
      </c>
      <c r="AJ65" s="57">
        <v>13.5</v>
      </c>
      <c r="AK65" s="57">
        <v>1</v>
      </c>
      <c r="AL65" s="60">
        <f>Table1[[#This Row],[FTE Salaried - Non-Editorial]]+Table1[[#This Row],[FTE Contractors - Non-Editorial]]</f>
        <v>4.5</v>
      </c>
      <c r="AM65" s="57">
        <v>4.5</v>
      </c>
      <c r="AN65" s="57">
        <v>0</v>
      </c>
      <c r="AO65" s="86" t="s">
        <v>351</v>
      </c>
      <c r="AP65" s="86" t="s">
        <v>617</v>
      </c>
      <c r="AQ65" s="76">
        <v>225359</v>
      </c>
      <c r="AR65" s="76">
        <v>21742</v>
      </c>
      <c r="AS65" s="76">
        <v>0</v>
      </c>
      <c r="AT65" s="76">
        <v>0</v>
      </c>
      <c r="AU65" s="76">
        <v>0</v>
      </c>
      <c r="AV65" s="86" t="s">
        <v>617</v>
      </c>
      <c r="BC65" s="54"/>
      <c r="BD65" s="54"/>
      <c r="BE65" s="54"/>
      <c r="BF65" s="54"/>
      <c r="BG65" s="54"/>
      <c r="BI65" s="54"/>
      <c r="BK65" s="54"/>
      <c r="BL65" s="54"/>
      <c r="BM65" s="54"/>
      <c r="BN65" s="54"/>
      <c r="BO65" s="54"/>
      <c r="BP65" s="54"/>
      <c r="BS65" s="54"/>
      <c r="BT65" s="54"/>
      <c r="BU65" s="54"/>
      <c r="BV65" s="54"/>
      <c r="BW65" s="54"/>
    </row>
    <row r="66" spans="1:75" x14ac:dyDescent="0.2">
      <c r="A66" s="86" t="s">
        <v>730</v>
      </c>
      <c r="B66" s="86"/>
      <c r="C66" s="86" t="s">
        <v>7</v>
      </c>
      <c r="D66" s="86" t="s">
        <v>77</v>
      </c>
      <c r="E66" s="54" t="str">
        <f>_xlfn.CONCAT(Table1[[#This Row],[Geographic Scope]],": ",Table1[[#This Row],[Sub-Type/Focus]])</f>
        <v>Local: General</v>
      </c>
      <c r="F66" s="55">
        <f>Table1[[#This Row],[Total Contributed Income]]+Table1[[#This Row],[Total Earned Income]]</f>
        <v>478424</v>
      </c>
      <c r="G66" s="87">
        <f>IFERROR((Table1[[#This Row],[Cont. Income - Foundation]]+Table1[[#This Row],[Cont. Income - Membership]]+Table1[[#This Row],[Cont. Income - Small Donors]]+Table1[[#This Row],[Cont. Income - Med. Donors]]+Table1[[#This Row],[Cont. Income - Major Donors]]+Table1[[#This Row],[Cont. Income - Other]]),0)</f>
        <v>458923</v>
      </c>
      <c r="H66" s="87">
        <f>IFERROR((Table1[[#This Row],[Earned Income - Advertising]]+Table1[[#This Row],[Earned Income - Sponsorships/Underwriting]]+Table1[[#This Row],[Earned Income - Events]]+Table1[[#This Row],[Earned Income - Subscriptions]]+Table1[[#This Row],[Earned Income - Syndication]]+Table1[[#This Row],[Earned Income - Other TOTAL]]),0)</f>
        <v>19501</v>
      </c>
      <c r="I66" s="74">
        <v>332000</v>
      </c>
      <c r="J66" s="74">
        <v>34458</v>
      </c>
      <c r="K66" s="74">
        <v>0</v>
      </c>
      <c r="L66" s="74">
        <v>13465</v>
      </c>
      <c r="M66" s="74">
        <v>79000</v>
      </c>
      <c r="N66" s="74">
        <v>0</v>
      </c>
      <c r="O66" s="79" t="s">
        <v>617</v>
      </c>
      <c r="P66" s="74">
        <v>0</v>
      </c>
      <c r="Q66" s="74">
        <v>0</v>
      </c>
      <c r="R66" s="74">
        <v>3520</v>
      </c>
      <c r="S66" s="74">
        <v>0</v>
      </c>
      <c r="T66" s="74">
        <v>2011</v>
      </c>
      <c r="U66" s="88">
        <f>IFERROR(Table1[[#This Row],[Earned Income - Training Fees]]+Table1[[#This Row],[Earned Income - Fees]]+Table1[[#This Row],[Earned Income - Investments]]+Table1[[#This Row],[Earned Income - Other]],0)</f>
        <v>13970</v>
      </c>
      <c r="V66" s="74">
        <v>0</v>
      </c>
      <c r="W66" s="74">
        <v>11720</v>
      </c>
      <c r="X66" s="86" t="s">
        <v>731</v>
      </c>
      <c r="Y66" s="74">
        <v>0</v>
      </c>
      <c r="Z66" s="74">
        <v>2250</v>
      </c>
      <c r="AA66" s="86" t="s">
        <v>732</v>
      </c>
      <c r="AB66" s="88">
        <f t="shared" ref="AB66:AB97" si="2">SUM(AC66:AD66)</f>
        <v>464922</v>
      </c>
      <c r="AC66" s="74">
        <v>255167</v>
      </c>
      <c r="AD66" s="88">
        <f>SUM(Table1[[#This Row],[Expenses - Revenue Generation]:[Expenses - Admin]])</f>
        <v>209755</v>
      </c>
      <c r="AE66" s="74">
        <v>62000</v>
      </c>
      <c r="AF66" s="74">
        <v>48476</v>
      </c>
      <c r="AG66" s="74">
        <v>99279</v>
      </c>
      <c r="AH66" s="75">
        <f>Table1[[#This Row],[Total FTE - Editorial]]+Table1[[#This Row],[Total FTE - Non-Editorial]]</f>
        <v>9.75</v>
      </c>
      <c r="AI66" s="75">
        <f>Table1[[#This Row],[FTE Salaried - Editorial]]+Table1[[#This Row],[FTE Contractors - Editorial]]</f>
        <v>7.5</v>
      </c>
      <c r="AJ66" s="57">
        <v>4</v>
      </c>
      <c r="AK66" s="57">
        <v>3.5</v>
      </c>
      <c r="AL66" s="60">
        <f>Table1[[#This Row],[FTE Salaried - Non-Editorial]]+Table1[[#This Row],[FTE Contractors - Non-Editorial]]</f>
        <v>2.25</v>
      </c>
      <c r="AM66" s="57">
        <v>2</v>
      </c>
      <c r="AN66" s="57">
        <v>0.25</v>
      </c>
      <c r="AO66" s="86" t="s">
        <v>352</v>
      </c>
      <c r="AP66" s="86" t="s">
        <v>733</v>
      </c>
      <c r="AQ66" s="76">
        <v>8264</v>
      </c>
      <c r="AR66" s="76">
        <v>3600</v>
      </c>
      <c r="AS66" s="76">
        <v>8000</v>
      </c>
      <c r="AT66" s="76">
        <v>4</v>
      </c>
      <c r="AU66" s="76">
        <v>800000</v>
      </c>
      <c r="AV66" s="86" t="s">
        <v>734</v>
      </c>
      <c r="BC66" s="54"/>
      <c r="BD66" s="54"/>
      <c r="BE66" s="54"/>
      <c r="BF66" s="54"/>
      <c r="BG66" s="54"/>
      <c r="BI66" s="54"/>
      <c r="BK66" s="54"/>
      <c r="BL66" s="54"/>
      <c r="BM66" s="54"/>
      <c r="BN66" s="54"/>
      <c r="BO66" s="54"/>
      <c r="BP66" s="54"/>
      <c r="BS66" s="54"/>
      <c r="BT66" s="54"/>
      <c r="BU66" s="54"/>
      <c r="BV66" s="54"/>
      <c r="BW66" s="54"/>
    </row>
    <row r="67" spans="1:75" x14ac:dyDescent="0.2">
      <c r="A67" s="86" t="s">
        <v>735</v>
      </c>
      <c r="B67" s="86"/>
      <c r="C67" s="86" t="s">
        <v>83</v>
      </c>
      <c r="D67" s="86" t="s">
        <v>77</v>
      </c>
      <c r="E67" s="54" t="str">
        <f>_xlfn.CONCAT(Table1[[#This Row],[Geographic Scope]],": ",Table1[[#This Row],[Sub-Type/Focus]])</f>
        <v>State: General</v>
      </c>
      <c r="F67" s="55">
        <f>Table1[[#This Row],[Total Contributed Income]]+Table1[[#This Row],[Total Earned Income]]</f>
        <v>766043</v>
      </c>
      <c r="G67" s="87">
        <f>IFERROR((Table1[[#This Row],[Cont. Income - Foundation]]+Table1[[#This Row],[Cont. Income - Membership]]+Table1[[#This Row],[Cont. Income - Small Donors]]+Table1[[#This Row],[Cont. Income - Med. Donors]]+Table1[[#This Row],[Cont. Income - Major Donors]]+Table1[[#This Row],[Cont. Income - Other]]),0)</f>
        <v>766043</v>
      </c>
      <c r="H67" s="87">
        <f>IFERROR((Table1[[#This Row],[Earned Income - Advertising]]+Table1[[#This Row],[Earned Income - Sponsorships/Underwriting]]+Table1[[#This Row],[Earned Income - Events]]+Table1[[#This Row],[Earned Income - Subscriptions]]+Table1[[#This Row],[Earned Income - Syndication]]+Table1[[#This Row],[Earned Income - Other TOTAL]]),0)</f>
        <v>0</v>
      </c>
      <c r="I67" s="74">
        <v>689597</v>
      </c>
      <c r="J67" s="74">
        <v>0</v>
      </c>
      <c r="K67" s="74">
        <v>30946</v>
      </c>
      <c r="L67" s="74">
        <v>25000</v>
      </c>
      <c r="M67" s="74">
        <v>20500</v>
      </c>
      <c r="N67" s="74">
        <v>0</v>
      </c>
      <c r="O67" s="79" t="s">
        <v>617</v>
      </c>
      <c r="P67" s="74">
        <v>0</v>
      </c>
      <c r="Q67" s="74">
        <v>0</v>
      </c>
      <c r="R67" s="74">
        <v>0</v>
      </c>
      <c r="S67" s="74">
        <v>0</v>
      </c>
      <c r="T67" s="74">
        <v>0</v>
      </c>
      <c r="U67" s="88">
        <f>IFERROR(Table1[[#This Row],[Earned Income - Training Fees]]+Table1[[#This Row],[Earned Income - Fees]]+Table1[[#This Row],[Earned Income - Investments]]+Table1[[#This Row],[Earned Income - Other]],0)</f>
        <v>0</v>
      </c>
      <c r="V67" s="74">
        <v>0</v>
      </c>
      <c r="W67" s="74">
        <v>0</v>
      </c>
      <c r="X67" s="86" t="s">
        <v>617</v>
      </c>
      <c r="Y67" s="74">
        <v>0</v>
      </c>
      <c r="Z67" s="74">
        <v>0</v>
      </c>
      <c r="AA67" s="86" t="s">
        <v>617</v>
      </c>
      <c r="AB67" s="88">
        <f t="shared" si="2"/>
        <v>719928</v>
      </c>
      <c r="AC67" s="74">
        <v>530222</v>
      </c>
      <c r="AD67" s="88">
        <f>SUM(Table1[[#This Row],[Expenses - Revenue Generation]:[Expenses - Admin]])</f>
        <v>189706</v>
      </c>
      <c r="AE67" s="74">
        <v>23133</v>
      </c>
      <c r="AF67" s="74">
        <v>37000</v>
      </c>
      <c r="AG67" s="74">
        <v>129573</v>
      </c>
      <c r="AH67" s="75">
        <f>Table1[[#This Row],[Total FTE - Editorial]]+Table1[[#This Row],[Total FTE - Non-Editorial]]</f>
        <v>7</v>
      </c>
      <c r="AI67" s="75">
        <f>Table1[[#This Row],[FTE Salaried - Editorial]]+Table1[[#This Row],[FTE Contractors - Editorial]]</f>
        <v>6</v>
      </c>
      <c r="AJ67" s="57">
        <v>5</v>
      </c>
      <c r="AK67" s="57">
        <v>1</v>
      </c>
      <c r="AL67" s="60">
        <f>Table1[[#This Row],[FTE Salaried - Non-Editorial]]+Table1[[#This Row],[FTE Contractors - Non-Editorial]]</f>
        <v>1</v>
      </c>
      <c r="AM67" s="57">
        <v>1</v>
      </c>
      <c r="AN67" s="57">
        <v>0</v>
      </c>
      <c r="AO67" s="86" t="s">
        <v>352</v>
      </c>
      <c r="AP67" s="86" t="s">
        <v>736</v>
      </c>
      <c r="AQ67" s="76">
        <v>7000</v>
      </c>
      <c r="AR67" s="76">
        <v>1950</v>
      </c>
      <c r="AS67" s="76">
        <v>2000</v>
      </c>
      <c r="AT67" s="76">
        <v>1</v>
      </c>
      <c r="AU67" s="76">
        <v>0</v>
      </c>
      <c r="AV67" s="86" t="s">
        <v>617</v>
      </c>
      <c r="BC67" s="54"/>
      <c r="BD67" s="54"/>
      <c r="BE67" s="54"/>
      <c r="BF67" s="54"/>
      <c r="BG67" s="54"/>
      <c r="BI67" s="54"/>
      <c r="BK67" s="54"/>
      <c r="BL67" s="54"/>
      <c r="BM67" s="54"/>
      <c r="BN67" s="54"/>
      <c r="BO67" s="54"/>
      <c r="BP67" s="54"/>
      <c r="BS67" s="54"/>
      <c r="BT67" s="54"/>
      <c r="BU67" s="54"/>
      <c r="BV67" s="54"/>
      <c r="BW67" s="54"/>
    </row>
    <row r="68" spans="1:75" x14ac:dyDescent="0.2">
      <c r="A68" s="86" t="s">
        <v>737</v>
      </c>
      <c r="B68" s="86"/>
      <c r="C68" s="86" t="s">
        <v>6</v>
      </c>
      <c r="D68" s="86" t="s">
        <v>78</v>
      </c>
      <c r="E68" s="54" t="str">
        <f>_xlfn.CONCAT(Table1[[#This Row],[Geographic Scope]],": ",Table1[[#This Row],[Sub-Type/Focus]])</f>
        <v>National: Multiple Related Topics</v>
      </c>
      <c r="F68" s="55">
        <f>Table1[[#This Row],[Total Contributed Income]]+Table1[[#This Row],[Total Earned Income]]</f>
        <v>604847.67999999993</v>
      </c>
      <c r="G68" s="87">
        <f>IFERROR((Table1[[#This Row],[Cont. Income - Foundation]]+Table1[[#This Row],[Cont. Income - Membership]]+Table1[[#This Row],[Cont. Income - Small Donors]]+Table1[[#This Row],[Cont. Income - Med. Donors]]+Table1[[#This Row],[Cont. Income - Major Donors]]+Table1[[#This Row],[Cont. Income - Other]]),0)</f>
        <v>432601.68</v>
      </c>
      <c r="H68" s="87">
        <f>IFERROR((Table1[[#This Row],[Earned Income - Advertising]]+Table1[[#This Row],[Earned Income - Sponsorships/Underwriting]]+Table1[[#This Row],[Earned Income - Events]]+Table1[[#This Row],[Earned Income - Subscriptions]]+Table1[[#This Row],[Earned Income - Syndication]]+Table1[[#This Row],[Earned Income - Other TOTAL]]),0)</f>
        <v>172246</v>
      </c>
      <c r="I68" s="74">
        <v>425000</v>
      </c>
      <c r="J68" s="74">
        <v>0</v>
      </c>
      <c r="K68" s="74">
        <v>6554.18</v>
      </c>
      <c r="L68" s="74">
        <v>1047.5</v>
      </c>
      <c r="M68" s="74">
        <v>0</v>
      </c>
      <c r="N68" s="74">
        <v>0</v>
      </c>
      <c r="O68" s="79" t="s">
        <v>617</v>
      </c>
      <c r="P68" s="74">
        <v>28034</v>
      </c>
      <c r="Q68" s="74">
        <v>0</v>
      </c>
      <c r="R68" s="74">
        <v>0</v>
      </c>
      <c r="S68" s="74">
        <v>23812</v>
      </c>
      <c r="T68" s="74">
        <v>0</v>
      </c>
      <c r="U68" s="88">
        <f>IFERROR(Table1[[#This Row],[Earned Income - Training Fees]]+Table1[[#This Row],[Earned Income - Fees]]+Table1[[#This Row],[Earned Income - Investments]]+Table1[[#This Row],[Earned Income - Other]],0)</f>
        <v>120400</v>
      </c>
      <c r="V68" s="74">
        <v>0</v>
      </c>
      <c r="W68" s="74">
        <v>0</v>
      </c>
      <c r="X68" s="86" t="s">
        <v>617</v>
      </c>
      <c r="Y68" s="74">
        <v>400</v>
      </c>
      <c r="Z68" s="74">
        <v>120000</v>
      </c>
      <c r="AA68" s="86" t="s">
        <v>738</v>
      </c>
      <c r="AB68" s="88">
        <f t="shared" si="2"/>
        <v>444000</v>
      </c>
      <c r="AC68" s="74">
        <v>400000</v>
      </c>
      <c r="AD68" s="88">
        <f>SUM(Table1[[#This Row],[Expenses - Revenue Generation]:[Expenses - Admin]])</f>
        <v>44000</v>
      </c>
      <c r="AE68" s="74">
        <v>25000</v>
      </c>
      <c r="AF68" s="74">
        <v>0</v>
      </c>
      <c r="AG68" s="74">
        <v>19000</v>
      </c>
      <c r="AH68" s="75">
        <f>Table1[[#This Row],[Total FTE - Editorial]]+Table1[[#This Row],[Total FTE - Non-Editorial]]</f>
        <v>5.375</v>
      </c>
      <c r="AI68" s="75">
        <f>Table1[[#This Row],[FTE Salaried - Editorial]]+Table1[[#This Row],[FTE Contractors - Editorial]]</f>
        <v>3.375</v>
      </c>
      <c r="AJ68" s="57">
        <v>3.375</v>
      </c>
      <c r="AK68" s="57">
        <v>0</v>
      </c>
      <c r="AL68" s="60">
        <f>Table1[[#This Row],[FTE Salaried - Non-Editorial]]+Table1[[#This Row],[FTE Contractors - Non-Editorial]]</f>
        <v>2</v>
      </c>
      <c r="AM68" s="57">
        <v>2</v>
      </c>
      <c r="AN68" s="57">
        <v>0</v>
      </c>
      <c r="AO68" s="86" t="s">
        <v>351</v>
      </c>
      <c r="AP68" s="86" t="s">
        <v>617</v>
      </c>
      <c r="AQ68" s="76">
        <v>60000</v>
      </c>
      <c r="AR68" s="76">
        <v>11000</v>
      </c>
      <c r="AS68" s="76">
        <v>2000</v>
      </c>
      <c r="AT68" s="76">
        <v>4</v>
      </c>
      <c r="AU68" s="76">
        <v>0</v>
      </c>
      <c r="AV68" s="86" t="s">
        <v>617</v>
      </c>
      <c r="BC68" s="54"/>
      <c r="BD68" s="54"/>
      <c r="BE68" s="54"/>
      <c r="BF68" s="54"/>
      <c r="BG68" s="54"/>
      <c r="BI68" s="54"/>
      <c r="BK68" s="54"/>
      <c r="BL68" s="54"/>
      <c r="BM68" s="54"/>
      <c r="BN68" s="54"/>
      <c r="BO68" s="54"/>
      <c r="BP68" s="54"/>
      <c r="BS68" s="54"/>
      <c r="BT68" s="54"/>
      <c r="BU68" s="54"/>
      <c r="BV68" s="54"/>
      <c r="BW68" s="54"/>
    </row>
    <row r="69" spans="1:75" x14ac:dyDescent="0.2">
      <c r="A69" s="86" t="s">
        <v>739</v>
      </c>
      <c r="B69" s="86"/>
      <c r="C69" s="86" t="s">
        <v>505</v>
      </c>
      <c r="D69" s="86" t="s">
        <v>78</v>
      </c>
      <c r="E69" s="54" t="str">
        <f>_xlfn.CONCAT(Table1[[#This Row],[Geographic Scope]],": ",Table1[[#This Row],[Sub-Type/Focus]])</f>
        <v>Regional: Multiple Related Topics</v>
      </c>
      <c r="F69" s="55">
        <f>Table1[[#This Row],[Total Contributed Income]]+Table1[[#This Row],[Total Earned Income]]</f>
        <v>44000</v>
      </c>
      <c r="G69" s="87">
        <f>IFERROR((Table1[[#This Row],[Cont. Income - Foundation]]+Table1[[#This Row],[Cont. Income - Membership]]+Table1[[#This Row],[Cont. Income - Small Donors]]+Table1[[#This Row],[Cont. Income - Med. Donors]]+Table1[[#This Row],[Cont. Income - Major Donors]]+Table1[[#This Row],[Cont. Income - Other]]),0)</f>
        <v>44000</v>
      </c>
      <c r="H69" s="87">
        <f>IFERROR((Table1[[#This Row],[Earned Income - Advertising]]+Table1[[#This Row],[Earned Income - Sponsorships/Underwriting]]+Table1[[#This Row],[Earned Income - Events]]+Table1[[#This Row],[Earned Income - Subscriptions]]+Table1[[#This Row],[Earned Income - Syndication]]+Table1[[#This Row],[Earned Income - Other TOTAL]]),0)</f>
        <v>0</v>
      </c>
      <c r="I69" s="74">
        <v>9000</v>
      </c>
      <c r="J69" s="74">
        <v>0</v>
      </c>
      <c r="K69" s="74">
        <v>30000</v>
      </c>
      <c r="L69" s="74">
        <v>5000</v>
      </c>
      <c r="M69" s="74">
        <v>0</v>
      </c>
      <c r="N69" s="74">
        <v>0</v>
      </c>
      <c r="O69" s="79" t="s">
        <v>617</v>
      </c>
      <c r="P69" s="74">
        <v>0</v>
      </c>
      <c r="Q69" s="74">
        <v>0</v>
      </c>
      <c r="R69" s="74">
        <v>0</v>
      </c>
      <c r="S69" s="74">
        <v>0</v>
      </c>
      <c r="T69" s="74">
        <v>0</v>
      </c>
      <c r="U69" s="88">
        <f>IFERROR(Table1[[#This Row],[Earned Income - Training Fees]]+Table1[[#This Row],[Earned Income - Fees]]+Table1[[#This Row],[Earned Income - Investments]]+Table1[[#This Row],[Earned Income - Other]],0)</f>
        <v>0</v>
      </c>
      <c r="V69" s="74">
        <v>0</v>
      </c>
      <c r="W69" s="74">
        <v>0</v>
      </c>
      <c r="X69" s="86" t="s">
        <v>617</v>
      </c>
      <c r="Y69" s="74">
        <v>0</v>
      </c>
      <c r="Z69" s="74">
        <v>0</v>
      </c>
      <c r="AA69" s="86" t="s">
        <v>617</v>
      </c>
      <c r="AB69" s="88">
        <f t="shared" si="2"/>
        <v>19000</v>
      </c>
      <c r="AC69" s="74">
        <v>13000</v>
      </c>
      <c r="AD69" s="88">
        <f>SUM(Table1[[#This Row],[Expenses - Revenue Generation]:[Expenses - Admin]])</f>
        <v>6000</v>
      </c>
      <c r="AE69" s="74">
        <v>500</v>
      </c>
      <c r="AF69" s="74">
        <v>500</v>
      </c>
      <c r="AG69" s="74">
        <v>5000</v>
      </c>
      <c r="AH69" s="75">
        <f>Table1[[#This Row],[Total FTE - Editorial]]+Table1[[#This Row],[Total FTE - Non-Editorial]]</f>
        <v>0.5</v>
      </c>
      <c r="AI69" s="75">
        <f>Table1[[#This Row],[FTE Salaried - Editorial]]+Table1[[#This Row],[FTE Contractors - Editorial]]</f>
        <v>0.5</v>
      </c>
      <c r="AJ69" s="57">
        <v>0</v>
      </c>
      <c r="AK69" s="57">
        <v>0.5</v>
      </c>
      <c r="AL69" s="60">
        <f>Table1[[#This Row],[FTE Salaried - Non-Editorial]]+Table1[[#This Row],[FTE Contractors - Non-Editorial]]</f>
        <v>0</v>
      </c>
      <c r="AM69" s="57">
        <v>0</v>
      </c>
      <c r="AN69" s="57">
        <v>0</v>
      </c>
      <c r="AO69" s="86" t="s">
        <v>351</v>
      </c>
      <c r="AP69" s="86" t="s">
        <v>617</v>
      </c>
      <c r="AQ69" s="76">
        <v>15000</v>
      </c>
      <c r="AR69" s="76">
        <v>5000</v>
      </c>
      <c r="AS69" s="76">
        <v>0</v>
      </c>
      <c r="AT69" s="76">
        <v>0</v>
      </c>
      <c r="AU69" s="76">
        <v>0</v>
      </c>
      <c r="AV69" s="86" t="s">
        <v>617</v>
      </c>
      <c r="BC69" s="54"/>
      <c r="BD69" s="54"/>
      <c r="BE69" s="54"/>
      <c r="BF69" s="54"/>
      <c r="BG69" s="54"/>
      <c r="BI69" s="54"/>
      <c r="BK69" s="54"/>
      <c r="BL69" s="54"/>
      <c r="BM69" s="54"/>
      <c r="BN69" s="54"/>
      <c r="BO69" s="54"/>
      <c r="BP69" s="54"/>
      <c r="BS69" s="54"/>
      <c r="BT69" s="54"/>
      <c r="BU69" s="54"/>
      <c r="BV69" s="54"/>
      <c r="BW69" s="54"/>
    </row>
    <row r="70" spans="1:75" x14ac:dyDescent="0.2">
      <c r="A70" s="86" t="s">
        <v>740</v>
      </c>
      <c r="B70" s="86"/>
      <c r="C70" s="86" t="s">
        <v>83</v>
      </c>
      <c r="D70" s="86" t="s">
        <v>77</v>
      </c>
      <c r="E70" s="54" t="str">
        <f>_xlfn.CONCAT(Table1[[#This Row],[Geographic Scope]],": ",Table1[[#This Row],[Sub-Type/Focus]])</f>
        <v>State: General</v>
      </c>
      <c r="F70" s="55">
        <f>Table1[[#This Row],[Total Contributed Income]]+Table1[[#This Row],[Total Earned Income]]</f>
        <v>1194466.1000000001</v>
      </c>
      <c r="G70" s="87">
        <f>IFERROR((Table1[[#This Row],[Cont. Income - Foundation]]+Table1[[#This Row],[Cont. Income - Membership]]+Table1[[#This Row],[Cont. Income - Small Donors]]+Table1[[#This Row],[Cont. Income - Med. Donors]]+Table1[[#This Row],[Cont. Income - Major Donors]]+Table1[[#This Row],[Cont. Income - Other]]),0)</f>
        <v>994763.96000000008</v>
      </c>
      <c r="H70" s="87">
        <f>IFERROR((Table1[[#This Row],[Earned Income - Advertising]]+Table1[[#This Row],[Earned Income - Sponsorships/Underwriting]]+Table1[[#This Row],[Earned Income - Events]]+Table1[[#This Row],[Earned Income - Subscriptions]]+Table1[[#This Row],[Earned Income - Syndication]]+Table1[[#This Row],[Earned Income - Other TOTAL]]),0)</f>
        <v>199702.13999999998</v>
      </c>
      <c r="I70" s="74">
        <v>701260</v>
      </c>
      <c r="J70" s="74">
        <v>134741.26</v>
      </c>
      <c r="K70" s="74">
        <v>64810.54</v>
      </c>
      <c r="L70" s="74">
        <v>10000</v>
      </c>
      <c r="M70" s="74">
        <v>70000</v>
      </c>
      <c r="N70" s="74">
        <v>13952.16</v>
      </c>
      <c r="O70" s="79" t="s">
        <v>741</v>
      </c>
      <c r="P70" s="74">
        <v>3400</v>
      </c>
      <c r="Q70" s="74">
        <v>0</v>
      </c>
      <c r="R70" s="74">
        <v>190326.24</v>
      </c>
      <c r="S70" s="74">
        <v>0</v>
      </c>
      <c r="T70" s="74">
        <v>5975.9</v>
      </c>
      <c r="U70" s="88">
        <f>IFERROR(Table1[[#This Row],[Earned Income - Training Fees]]+Table1[[#This Row],[Earned Income - Fees]]+Table1[[#This Row],[Earned Income - Investments]]+Table1[[#This Row],[Earned Income - Other]],0)</f>
        <v>0</v>
      </c>
      <c r="V70" s="74">
        <v>0</v>
      </c>
      <c r="W70" s="74">
        <v>0</v>
      </c>
      <c r="X70" s="86" t="s">
        <v>617</v>
      </c>
      <c r="Y70" s="74">
        <v>0</v>
      </c>
      <c r="Z70" s="74">
        <v>0</v>
      </c>
      <c r="AA70" s="86" t="s">
        <v>617</v>
      </c>
      <c r="AB70" s="88">
        <f t="shared" si="2"/>
        <v>1293544.27</v>
      </c>
      <c r="AC70" s="74">
        <v>785470.92</v>
      </c>
      <c r="AD70" s="88">
        <f>SUM(Table1[[#This Row],[Expenses - Revenue Generation]:[Expenses - Admin]])</f>
        <v>508073.35000000003</v>
      </c>
      <c r="AE70" s="74">
        <v>312454.28000000003</v>
      </c>
      <c r="AF70" s="74">
        <v>11336.75</v>
      </c>
      <c r="AG70" s="74">
        <v>184282.32</v>
      </c>
      <c r="AH70" s="75">
        <f>Table1[[#This Row],[Total FTE - Editorial]]+Table1[[#This Row],[Total FTE - Non-Editorial]]</f>
        <v>15</v>
      </c>
      <c r="AI70" s="75">
        <f>Table1[[#This Row],[FTE Salaried - Editorial]]+Table1[[#This Row],[FTE Contractors - Editorial]]</f>
        <v>11</v>
      </c>
      <c r="AJ70" s="57">
        <v>10</v>
      </c>
      <c r="AK70" s="57">
        <v>1</v>
      </c>
      <c r="AL70" s="60">
        <f>Table1[[#This Row],[FTE Salaried - Non-Editorial]]+Table1[[#This Row],[FTE Contractors - Non-Editorial]]</f>
        <v>4</v>
      </c>
      <c r="AM70" s="57">
        <v>4</v>
      </c>
      <c r="AN70" s="57">
        <v>0</v>
      </c>
      <c r="AO70" s="86" t="s">
        <v>351</v>
      </c>
      <c r="AP70" s="86" t="s">
        <v>617</v>
      </c>
      <c r="AQ70" s="76">
        <v>260179</v>
      </c>
      <c r="AR70" s="76">
        <v>19000</v>
      </c>
      <c r="AS70" s="76">
        <v>26588</v>
      </c>
      <c r="AT70" s="76">
        <v>5</v>
      </c>
      <c r="AU70" s="76">
        <v>0</v>
      </c>
      <c r="AV70" s="86" t="s">
        <v>617</v>
      </c>
      <c r="BC70" s="54"/>
      <c r="BD70" s="54"/>
      <c r="BE70" s="54"/>
      <c r="BF70" s="54"/>
      <c r="BG70" s="54"/>
      <c r="BI70" s="54"/>
      <c r="BK70" s="54"/>
      <c r="BL70" s="54"/>
      <c r="BM70" s="54"/>
      <c r="BN70" s="54"/>
      <c r="BO70" s="54"/>
      <c r="BP70" s="54"/>
      <c r="BS70" s="54"/>
      <c r="BT70" s="54"/>
      <c r="BU70" s="54"/>
      <c r="BV70" s="54"/>
      <c r="BW70" s="54"/>
    </row>
    <row r="71" spans="1:75" x14ac:dyDescent="0.2">
      <c r="A71" s="86" t="s">
        <v>742</v>
      </c>
      <c r="B71" s="86"/>
      <c r="C71" s="86" t="s">
        <v>7</v>
      </c>
      <c r="D71" s="86" t="s">
        <v>78</v>
      </c>
      <c r="E71" s="54" t="str">
        <f>_xlfn.CONCAT(Table1[[#This Row],[Geographic Scope]],": ",Table1[[#This Row],[Sub-Type/Focus]])</f>
        <v>Local: Multiple Related Topics</v>
      </c>
      <c r="F71" s="55">
        <f>Table1[[#This Row],[Total Contributed Income]]+Table1[[#This Row],[Total Earned Income]]</f>
        <v>53651</v>
      </c>
      <c r="G71" s="87">
        <f>IFERROR((Table1[[#This Row],[Cont. Income - Foundation]]+Table1[[#This Row],[Cont. Income - Membership]]+Table1[[#This Row],[Cont. Income - Small Donors]]+Table1[[#This Row],[Cont. Income - Med. Donors]]+Table1[[#This Row],[Cont. Income - Major Donors]]+Table1[[#This Row],[Cont. Income - Other]]),0)</f>
        <v>53651</v>
      </c>
      <c r="H71" s="87">
        <f>IFERROR((Table1[[#This Row],[Earned Income - Advertising]]+Table1[[#This Row],[Earned Income - Sponsorships/Underwriting]]+Table1[[#This Row],[Earned Income - Events]]+Table1[[#This Row],[Earned Income - Subscriptions]]+Table1[[#This Row],[Earned Income - Syndication]]+Table1[[#This Row],[Earned Income - Other TOTAL]]),0)</f>
        <v>0</v>
      </c>
      <c r="I71" s="74">
        <v>15888</v>
      </c>
      <c r="J71" s="74">
        <v>0</v>
      </c>
      <c r="K71" s="74">
        <v>10740</v>
      </c>
      <c r="L71" s="74">
        <v>8000</v>
      </c>
      <c r="M71" s="74">
        <v>19023</v>
      </c>
      <c r="N71" s="74">
        <v>0</v>
      </c>
      <c r="O71" s="79" t="s">
        <v>617</v>
      </c>
      <c r="P71" s="74">
        <v>0</v>
      </c>
      <c r="Q71" s="74">
        <v>0</v>
      </c>
      <c r="R71" s="74">
        <v>0</v>
      </c>
      <c r="S71" s="74">
        <v>0</v>
      </c>
      <c r="T71" s="74">
        <v>0</v>
      </c>
      <c r="U71" s="88">
        <f>IFERROR(Table1[[#This Row],[Earned Income - Training Fees]]+Table1[[#This Row],[Earned Income - Fees]]+Table1[[#This Row],[Earned Income - Investments]]+Table1[[#This Row],[Earned Income - Other]],0)</f>
        <v>0</v>
      </c>
      <c r="V71" s="74">
        <v>0</v>
      </c>
      <c r="W71" s="74">
        <v>0</v>
      </c>
      <c r="X71" s="86" t="s">
        <v>617</v>
      </c>
      <c r="Y71" s="74">
        <v>0</v>
      </c>
      <c r="Z71" s="74">
        <v>0</v>
      </c>
      <c r="AA71" s="86" t="s">
        <v>617</v>
      </c>
      <c r="AB71" s="88">
        <f t="shared" si="2"/>
        <v>37679</v>
      </c>
      <c r="AC71" s="74">
        <v>23000</v>
      </c>
      <c r="AD71" s="88">
        <f>SUM(Table1[[#This Row],[Expenses - Revenue Generation]:[Expenses - Admin]])</f>
        <v>14679</v>
      </c>
      <c r="AE71" s="74">
        <v>0</v>
      </c>
      <c r="AF71" s="74">
        <v>14679</v>
      </c>
      <c r="AG71" s="74">
        <v>0</v>
      </c>
      <c r="AH71" s="75">
        <f>Table1[[#This Row],[Total FTE - Editorial]]+Table1[[#This Row],[Total FTE - Non-Editorial]]</f>
        <v>1</v>
      </c>
      <c r="AI71" s="75">
        <f>Table1[[#This Row],[FTE Salaried - Editorial]]+Table1[[#This Row],[FTE Contractors - Editorial]]</f>
        <v>1</v>
      </c>
      <c r="AJ71" s="57">
        <v>0</v>
      </c>
      <c r="AK71" s="57">
        <v>1</v>
      </c>
      <c r="AL71" s="60">
        <f>Table1[[#This Row],[FTE Salaried - Non-Editorial]]+Table1[[#This Row],[FTE Contractors - Non-Editorial]]</f>
        <v>0</v>
      </c>
      <c r="AM71" s="57">
        <v>0</v>
      </c>
      <c r="AN71" s="57">
        <v>0</v>
      </c>
      <c r="AO71" s="86" t="s">
        <v>351</v>
      </c>
      <c r="AP71" s="86" t="s">
        <v>617</v>
      </c>
      <c r="AQ71" s="76">
        <v>0</v>
      </c>
      <c r="AR71" s="76">
        <v>1330</v>
      </c>
      <c r="AS71" s="76">
        <v>0</v>
      </c>
      <c r="AT71" s="76">
        <v>0</v>
      </c>
      <c r="AU71" s="76">
        <v>0</v>
      </c>
      <c r="AV71" s="86" t="s">
        <v>617</v>
      </c>
      <c r="BC71" s="54"/>
      <c r="BD71" s="54"/>
      <c r="BE71" s="54"/>
      <c r="BF71" s="54"/>
      <c r="BG71" s="54"/>
      <c r="BI71" s="54"/>
      <c r="BK71" s="54"/>
      <c r="BL71" s="54"/>
      <c r="BM71" s="54"/>
      <c r="BN71" s="54"/>
      <c r="BO71" s="54"/>
      <c r="BP71" s="54"/>
      <c r="BS71" s="54"/>
      <c r="BT71" s="54"/>
      <c r="BU71" s="54"/>
      <c r="BV71" s="54"/>
      <c r="BW71" s="54"/>
    </row>
    <row r="72" spans="1:75" x14ac:dyDescent="0.2">
      <c r="A72" s="86" t="s">
        <v>743</v>
      </c>
      <c r="B72" s="86"/>
      <c r="C72" s="86" t="s">
        <v>83</v>
      </c>
      <c r="D72" s="86" t="s">
        <v>78</v>
      </c>
      <c r="E72" s="54" t="str">
        <f>_xlfn.CONCAT(Table1[[#This Row],[Geographic Scope]],": ",Table1[[#This Row],[Sub-Type/Focus]])</f>
        <v>State: Multiple Related Topics</v>
      </c>
      <c r="F72" s="55">
        <f>Table1[[#This Row],[Total Contributed Income]]+Table1[[#This Row],[Total Earned Income]]</f>
        <v>12171.96</v>
      </c>
      <c r="G72" s="87">
        <f>IFERROR((Table1[[#This Row],[Cont. Income - Foundation]]+Table1[[#This Row],[Cont. Income - Membership]]+Table1[[#This Row],[Cont. Income - Small Donors]]+Table1[[#This Row],[Cont. Income - Med. Donors]]+Table1[[#This Row],[Cont. Income - Major Donors]]+Table1[[#This Row],[Cont. Income - Other]]),0)</f>
        <v>10796.96</v>
      </c>
      <c r="H72" s="87">
        <f>IFERROR((Table1[[#This Row],[Earned Income - Advertising]]+Table1[[#This Row],[Earned Income - Sponsorships/Underwriting]]+Table1[[#This Row],[Earned Income - Events]]+Table1[[#This Row],[Earned Income - Subscriptions]]+Table1[[#This Row],[Earned Income - Syndication]]+Table1[[#This Row],[Earned Income - Other TOTAL]]),0)</f>
        <v>1375</v>
      </c>
      <c r="I72" s="74">
        <v>0</v>
      </c>
      <c r="J72" s="74">
        <v>0</v>
      </c>
      <c r="K72" s="74">
        <v>9796.9599999999991</v>
      </c>
      <c r="L72" s="74">
        <v>1000</v>
      </c>
      <c r="M72" s="74">
        <v>0</v>
      </c>
      <c r="N72" s="74">
        <v>0</v>
      </c>
      <c r="O72" s="79" t="s">
        <v>617</v>
      </c>
      <c r="P72" s="74">
        <v>0</v>
      </c>
      <c r="Q72" s="74">
        <v>0</v>
      </c>
      <c r="R72" s="74">
        <v>0</v>
      </c>
      <c r="S72" s="74">
        <v>0</v>
      </c>
      <c r="T72" s="74">
        <v>1375</v>
      </c>
      <c r="U72" s="88">
        <f>IFERROR(Table1[[#This Row],[Earned Income - Training Fees]]+Table1[[#This Row],[Earned Income - Fees]]+Table1[[#This Row],[Earned Income - Investments]]+Table1[[#This Row],[Earned Income - Other]],0)</f>
        <v>0</v>
      </c>
      <c r="V72" s="74">
        <v>0</v>
      </c>
      <c r="W72" s="74">
        <v>0</v>
      </c>
      <c r="X72" s="86" t="s">
        <v>617</v>
      </c>
      <c r="Y72" s="74">
        <v>0</v>
      </c>
      <c r="Z72" s="74">
        <v>0</v>
      </c>
      <c r="AA72" s="86" t="s">
        <v>617</v>
      </c>
      <c r="AB72" s="88">
        <f t="shared" si="2"/>
        <v>7880.1299999999992</v>
      </c>
      <c r="AC72" s="74">
        <v>4471.28</v>
      </c>
      <c r="AD72" s="88">
        <f>SUM(Table1[[#This Row],[Expenses - Revenue Generation]:[Expenses - Admin]])</f>
        <v>3408.85</v>
      </c>
      <c r="AE72" s="74">
        <v>0</v>
      </c>
      <c r="AF72" s="74">
        <v>280</v>
      </c>
      <c r="AG72" s="74">
        <v>3128.85</v>
      </c>
      <c r="AH72" s="75">
        <f>Table1[[#This Row],[Total FTE - Editorial]]+Table1[[#This Row],[Total FTE - Non-Editorial]]</f>
        <v>0.75</v>
      </c>
      <c r="AI72" s="75">
        <f>Table1[[#This Row],[FTE Salaried - Editorial]]+Table1[[#This Row],[FTE Contractors - Editorial]]</f>
        <v>0.65</v>
      </c>
      <c r="AJ72" s="57">
        <v>0</v>
      </c>
      <c r="AK72" s="57">
        <v>0.65</v>
      </c>
      <c r="AL72" s="60">
        <f>Table1[[#This Row],[FTE Salaried - Non-Editorial]]+Table1[[#This Row],[FTE Contractors - Non-Editorial]]</f>
        <v>0.1</v>
      </c>
      <c r="AM72" s="57">
        <v>0</v>
      </c>
      <c r="AN72" s="57">
        <v>0.1</v>
      </c>
      <c r="AO72" s="86" t="s">
        <v>351</v>
      </c>
      <c r="AP72" s="86" t="s">
        <v>617</v>
      </c>
      <c r="AQ72" s="76">
        <v>287</v>
      </c>
      <c r="AR72" s="76">
        <v>230</v>
      </c>
      <c r="AS72" s="76">
        <v>0</v>
      </c>
      <c r="AT72" s="76">
        <v>0</v>
      </c>
      <c r="AU72" s="76">
        <v>0</v>
      </c>
      <c r="AV72" s="86" t="s">
        <v>617</v>
      </c>
      <c r="BC72" s="54"/>
      <c r="BD72" s="54"/>
      <c r="BE72" s="54"/>
      <c r="BF72" s="54"/>
      <c r="BG72" s="54"/>
      <c r="BI72" s="54"/>
      <c r="BK72" s="54"/>
      <c r="BL72" s="54"/>
      <c r="BM72" s="54"/>
      <c r="BN72" s="54"/>
      <c r="BO72" s="54"/>
      <c r="BP72" s="54"/>
      <c r="BS72" s="54"/>
      <c r="BT72" s="54"/>
      <c r="BU72" s="54"/>
      <c r="BV72" s="54"/>
      <c r="BW72" s="54"/>
    </row>
    <row r="73" spans="1:75" x14ac:dyDescent="0.2">
      <c r="A73" s="86" t="s">
        <v>744</v>
      </c>
      <c r="B73" s="86"/>
      <c r="C73" s="86" t="s">
        <v>6</v>
      </c>
      <c r="D73" s="86" t="s">
        <v>78</v>
      </c>
      <c r="E73" s="54" t="str">
        <f>_xlfn.CONCAT(Table1[[#This Row],[Geographic Scope]],": ",Table1[[#This Row],[Sub-Type/Focus]])</f>
        <v>National: Multiple Related Topics</v>
      </c>
      <c r="F73" s="55">
        <f>Table1[[#This Row],[Total Contributed Income]]+Table1[[#This Row],[Total Earned Income]]</f>
        <v>11064986</v>
      </c>
      <c r="G73" s="87">
        <f>IFERROR((Table1[[#This Row],[Cont. Income - Foundation]]+Table1[[#This Row],[Cont. Income - Membership]]+Table1[[#This Row],[Cont. Income - Small Donors]]+Table1[[#This Row],[Cont. Income - Med. Donors]]+Table1[[#This Row],[Cont. Income - Major Donors]]+Table1[[#This Row],[Cont. Income - Other]]),0)</f>
        <v>9717954</v>
      </c>
      <c r="H73" s="87">
        <f>IFERROR((Table1[[#This Row],[Earned Income - Advertising]]+Table1[[#This Row],[Earned Income - Sponsorships/Underwriting]]+Table1[[#This Row],[Earned Income - Events]]+Table1[[#This Row],[Earned Income - Subscriptions]]+Table1[[#This Row],[Earned Income - Syndication]]+Table1[[#This Row],[Earned Income - Other TOTAL]]),0)</f>
        <v>1347032</v>
      </c>
      <c r="I73" s="74">
        <v>7465789</v>
      </c>
      <c r="J73" s="74">
        <v>308821</v>
      </c>
      <c r="K73" s="74">
        <v>6490</v>
      </c>
      <c r="L73" s="74">
        <v>253531</v>
      </c>
      <c r="M73" s="74">
        <v>1683323</v>
      </c>
      <c r="N73" s="74">
        <v>0</v>
      </c>
      <c r="O73" s="79" t="s">
        <v>617</v>
      </c>
      <c r="P73" s="74">
        <v>6802</v>
      </c>
      <c r="Q73" s="74">
        <v>290853</v>
      </c>
      <c r="R73" s="74">
        <v>0</v>
      </c>
      <c r="S73" s="74">
        <v>0</v>
      </c>
      <c r="T73" s="74">
        <v>0</v>
      </c>
      <c r="U73" s="88">
        <f>IFERROR(Table1[[#This Row],[Earned Income - Training Fees]]+Table1[[#This Row],[Earned Income - Fees]]+Table1[[#This Row],[Earned Income - Investments]]+Table1[[#This Row],[Earned Income - Other]],0)</f>
        <v>1049377</v>
      </c>
      <c r="V73" s="74">
        <v>0</v>
      </c>
      <c r="W73" s="74">
        <v>157877</v>
      </c>
      <c r="X73" s="86" t="s">
        <v>745</v>
      </c>
      <c r="Y73" s="74">
        <v>0</v>
      </c>
      <c r="Z73" s="74">
        <v>891500</v>
      </c>
      <c r="AA73" s="86" t="s">
        <v>746</v>
      </c>
      <c r="AB73" s="88">
        <f t="shared" si="2"/>
        <v>10655444</v>
      </c>
      <c r="AC73" s="74">
        <v>9057127</v>
      </c>
      <c r="AD73" s="88">
        <f>SUM(Table1[[#This Row],[Expenses - Revenue Generation]:[Expenses - Admin]])</f>
        <v>1598317</v>
      </c>
      <c r="AE73" s="74">
        <v>532772</v>
      </c>
      <c r="AF73" s="74">
        <v>213109</v>
      </c>
      <c r="AG73" s="74">
        <v>852436</v>
      </c>
      <c r="AH73" s="75">
        <f>Table1[[#This Row],[Total FTE - Editorial]]+Table1[[#This Row],[Total FTE - Non-Editorial]]</f>
        <v>55</v>
      </c>
      <c r="AI73" s="75">
        <f>Table1[[#This Row],[FTE Salaried - Editorial]]+Table1[[#This Row],[FTE Contractors - Editorial]]</f>
        <v>47</v>
      </c>
      <c r="AJ73" s="57">
        <v>47</v>
      </c>
      <c r="AK73" s="57">
        <v>0</v>
      </c>
      <c r="AL73" s="60">
        <f>Table1[[#This Row],[FTE Salaried - Non-Editorial]]+Table1[[#This Row],[FTE Contractors - Non-Editorial]]</f>
        <v>8</v>
      </c>
      <c r="AM73" s="57">
        <v>8</v>
      </c>
      <c r="AN73" s="57">
        <v>0</v>
      </c>
      <c r="AO73" s="86" t="s">
        <v>488</v>
      </c>
      <c r="AP73" s="86" t="s">
        <v>617</v>
      </c>
      <c r="AQ73" s="76">
        <v>230000</v>
      </c>
      <c r="AR73" s="76">
        <v>37500</v>
      </c>
      <c r="AS73" s="76">
        <v>0</v>
      </c>
      <c r="AT73" s="76">
        <v>0</v>
      </c>
      <c r="AU73" s="76">
        <v>1500000</v>
      </c>
      <c r="AV73" s="86" t="s">
        <v>747</v>
      </c>
      <c r="BC73" s="54"/>
      <c r="BD73" s="54"/>
      <c r="BE73" s="54"/>
      <c r="BF73" s="54"/>
      <c r="BG73" s="54"/>
      <c r="BI73" s="54"/>
      <c r="BK73" s="54"/>
      <c r="BL73" s="54"/>
      <c r="BM73" s="54"/>
      <c r="BN73" s="54"/>
      <c r="BO73" s="54"/>
      <c r="BP73" s="54"/>
      <c r="BS73" s="54"/>
      <c r="BT73" s="54"/>
      <c r="BU73" s="54"/>
      <c r="BV73" s="54"/>
      <c r="BW73" s="54"/>
    </row>
    <row r="74" spans="1:75" x14ac:dyDescent="0.2">
      <c r="A74" s="86" t="s">
        <v>748</v>
      </c>
      <c r="B74" s="86"/>
      <c r="C74" s="86" t="s">
        <v>6</v>
      </c>
      <c r="D74" s="86" t="s">
        <v>77</v>
      </c>
      <c r="E74" s="54" t="str">
        <f>_xlfn.CONCAT(Table1[[#This Row],[Geographic Scope]],": ",Table1[[#This Row],[Sub-Type/Focus]])</f>
        <v>National: General</v>
      </c>
      <c r="F74" s="55">
        <f>Table1[[#This Row],[Total Contributed Income]]+Table1[[#This Row],[Total Earned Income]]</f>
        <v>3403643</v>
      </c>
      <c r="G74" s="87">
        <f>IFERROR((Table1[[#This Row],[Cont. Income - Foundation]]+Table1[[#This Row],[Cont. Income - Membership]]+Table1[[#This Row],[Cont. Income - Small Donors]]+Table1[[#This Row],[Cont. Income - Med. Donors]]+Table1[[#This Row],[Cont. Income - Major Donors]]+Table1[[#This Row],[Cont. Income - Other]]),0)</f>
        <v>3393542</v>
      </c>
      <c r="H74" s="87">
        <f>IFERROR((Table1[[#This Row],[Earned Income - Advertising]]+Table1[[#This Row],[Earned Income - Sponsorships/Underwriting]]+Table1[[#This Row],[Earned Income - Events]]+Table1[[#This Row],[Earned Income - Subscriptions]]+Table1[[#This Row],[Earned Income - Syndication]]+Table1[[#This Row],[Earned Income - Other TOTAL]]),0)</f>
        <v>10101</v>
      </c>
      <c r="I74" s="74">
        <v>1716331</v>
      </c>
      <c r="J74" s="74">
        <v>0</v>
      </c>
      <c r="K74" s="74">
        <v>89000</v>
      </c>
      <c r="L74" s="74">
        <v>25000</v>
      </c>
      <c r="M74" s="74">
        <v>0</v>
      </c>
      <c r="N74" s="74">
        <v>1563211</v>
      </c>
      <c r="O74" s="79" t="s">
        <v>617</v>
      </c>
      <c r="P74" s="74">
        <v>0</v>
      </c>
      <c r="Q74" s="74">
        <v>0</v>
      </c>
      <c r="R74" s="74">
        <v>0</v>
      </c>
      <c r="S74" s="74">
        <v>0</v>
      </c>
      <c r="T74" s="74">
        <v>0</v>
      </c>
      <c r="U74" s="88">
        <f>IFERROR(Table1[[#This Row],[Earned Income - Training Fees]]+Table1[[#This Row],[Earned Income - Fees]]+Table1[[#This Row],[Earned Income - Investments]]+Table1[[#This Row],[Earned Income - Other]],0)</f>
        <v>10101</v>
      </c>
      <c r="V74" s="74">
        <v>0</v>
      </c>
      <c r="W74" s="74">
        <v>0</v>
      </c>
      <c r="X74" s="86" t="s">
        <v>617</v>
      </c>
      <c r="Y74" s="74">
        <v>9601</v>
      </c>
      <c r="Z74" s="74">
        <v>500</v>
      </c>
      <c r="AA74" s="86" t="s">
        <v>749</v>
      </c>
      <c r="AB74" s="88">
        <f t="shared" si="2"/>
        <v>3567429</v>
      </c>
      <c r="AC74" s="74">
        <v>2760005</v>
      </c>
      <c r="AD74" s="88">
        <f>SUM(Table1[[#This Row],[Expenses - Revenue Generation]:[Expenses - Admin]])</f>
        <v>807424</v>
      </c>
      <c r="AE74" s="74">
        <v>475863</v>
      </c>
      <c r="AF74" s="74">
        <v>120000</v>
      </c>
      <c r="AG74" s="74">
        <v>211561</v>
      </c>
      <c r="AH74" s="75">
        <f>Table1[[#This Row],[Total FTE - Editorial]]+Table1[[#This Row],[Total FTE - Non-Editorial]]</f>
        <v>29</v>
      </c>
      <c r="AI74" s="75">
        <f>Table1[[#This Row],[FTE Salaried - Editorial]]+Table1[[#This Row],[FTE Contractors - Editorial]]</f>
        <v>24</v>
      </c>
      <c r="AJ74" s="57">
        <v>22</v>
      </c>
      <c r="AK74" s="57">
        <v>2</v>
      </c>
      <c r="AL74" s="60">
        <f>Table1[[#This Row],[FTE Salaried - Non-Editorial]]+Table1[[#This Row],[FTE Contractors - Non-Editorial]]</f>
        <v>5</v>
      </c>
      <c r="AM74" s="57">
        <v>4.5</v>
      </c>
      <c r="AN74" s="57">
        <v>0.5</v>
      </c>
      <c r="AO74" s="86" t="s">
        <v>351</v>
      </c>
      <c r="AP74" s="86" t="s">
        <v>617</v>
      </c>
      <c r="AQ74" s="76">
        <v>9885888</v>
      </c>
      <c r="AR74" s="76">
        <v>62840</v>
      </c>
      <c r="AS74" s="76">
        <v>0</v>
      </c>
      <c r="AT74" s="76">
        <v>0</v>
      </c>
      <c r="AU74" s="76">
        <v>0</v>
      </c>
      <c r="AV74" s="86" t="s">
        <v>617</v>
      </c>
      <c r="BC74" s="54"/>
      <c r="BD74" s="54"/>
      <c r="BE74" s="54"/>
      <c r="BF74" s="54"/>
      <c r="BG74" s="54"/>
      <c r="BI74" s="54"/>
      <c r="BK74" s="54"/>
      <c r="BL74" s="54"/>
      <c r="BM74" s="54"/>
      <c r="BN74" s="54"/>
      <c r="BO74" s="54"/>
      <c r="BP74" s="54"/>
      <c r="BS74" s="54"/>
      <c r="BT74" s="54"/>
      <c r="BU74" s="54"/>
      <c r="BV74" s="54"/>
      <c r="BW74" s="54"/>
    </row>
    <row r="75" spans="1:75" x14ac:dyDescent="0.2">
      <c r="A75" s="86" t="s">
        <v>750</v>
      </c>
      <c r="B75" s="86"/>
      <c r="C75" s="86" t="s">
        <v>83</v>
      </c>
      <c r="D75" s="86" t="s">
        <v>78</v>
      </c>
      <c r="E75" s="54" t="str">
        <f>_xlfn.CONCAT(Table1[[#This Row],[Geographic Scope]],": ",Table1[[#This Row],[Sub-Type/Focus]])</f>
        <v>State: Multiple Related Topics</v>
      </c>
      <c r="F75" s="55">
        <f>Table1[[#This Row],[Total Contributed Income]]+Table1[[#This Row],[Total Earned Income]]</f>
        <v>1304549</v>
      </c>
      <c r="G75" s="87">
        <f>IFERROR((Table1[[#This Row],[Cont. Income - Foundation]]+Table1[[#This Row],[Cont. Income - Membership]]+Table1[[#This Row],[Cont. Income - Small Donors]]+Table1[[#This Row],[Cont. Income - Med. Donors]]+Table1[[#This Row],[Cont. Income - Major Donors]]+Table1[[#This Row],[Cont. Income - Other]]),0)</f>
        <v>1122766</v>
      </c>
      <c r="H75" s="87">
        <f>IFERROR((Table1[[#This Row],[Earned Income - Advertising]]+Table1[[#This Row],[Earned Income - Sponsorships/Underwriting]]+Table1[[#This Row],[Earned Income - Events]]+Table1[[#This Row],[Earned Income - Subscriptions]]+Table1[[#This Row],[Earned Income - Syndication]]+Table1[[#This Row],[Earned Income - Other TOTAL]]),0)</f>
        <v>181783</v>
      </c>
      <c r="I75" s="74">
        <v>467131</v>
      </c>
      <c r="J75" s="74">
        <v>0</v>
      </c>
      <c r="K75" s="74">
        <v>100513</v>
      </c>
      <c r="L75" s="74">
        <v>51505</v>
      </c>
      <c r="M75" s="74">
        <v>486500</v>
      </c>
      <c r="N75" s="74">
        <v>17117</v>
      </c>
      <c r="O75" s="79" t="s">
        <v>751</v>
      </c>
      <c r="P75" s="74">
        <v>123056</v>
      </c>
      <c r="Q75" s="74">
        <v>0</v>
      </c>
      <c r="R75" s="74">
        <v>0</v>
      </c>
      <c r="S75" s="74">
        <v>0</v>
      </c>
      <c r="T75" s="74">
        <v>55977</v>
      </c>
      <c r="U75" s="88">
        <f>IFERROR(Table1[[#This Row],[Earned Income - Training Fees]]+Table1[[#This Row],[Earned Income - Fees]]+Table1[[#This Row],[Earned Income - Investments]]+Table1[[#This Row],[Earned Income - Other]],0)</f>
        <v>2750</v>
      </c>
      <c r="V75" s="74">
        <v>0</v>
      </c>
      <c r="W75" s="74">
        <v>2750</v>
      </c>
      <c r="X75" s="86" t="s">
        <v>617</v>
      </c>
      <c r="Y75" s="74">
        <v>0</v>
      </c>
      <c r="Z75" s="74">
        <v>0</v>
      </c>
      <c r="AA75" s="86" t="s">
        <v>617</v>
      </c>
      <c r="AB75" s="88">
        <f t="shared" si="2"/>
        <v>1104828</v>
      </c>
      <c r="AC75" s="74">
        <v>791195</v>
      </c>
      <c r="AD75" s="88">
        <f>SUM(Table1[[#This Row],[Expenses - Revenue Generation]:[Expenses - Admin]])</f>
        <v>313633</v>
      </c>
      <c r="AE75" s="74">
        <v>170920</v>
      </c>
      <c r="AF75" s="74">
        <v>68966</v>
      </c>
      <c r="AG75" s="74">
        <v>73747</v>
      </c>
      <c r="AH75" s="75">
        <f>Table1[[#This Row],[Total FTE - Editorial]]+Table1[[#This Row],[Total FTE - Non-Editorial]]</f>
        <v>10.75</v>
      </c>
      <c r="AI75" s="75">
        <f>Table1[[#This Row],[FTE Salaried - Editorial]]+Table1[[#This Row],[FTE Contractors - Editorial]]</f>
        <v>8.5</v>
      </c>
      <c r="AJ75" s="57">
        <v>8</v>
      </c>
      <c r="AK75" s="57">
        <v>0.5</v>
      </c>
      <c r="AL75" s="60">
        <f>Table1[[#This Row],[FTE Salaried - Non-Editorial]]+Table1[[#This Row],[FTE Contractors - Non-Editorial]]</f>
        <v>2.25</v>
      </c>
      <c r="AM75" s="57">
        <v>2</v>
      </c>
      <c r="AN75" s="57">
        <v>0.25</v>
      </c>
      <c r="AO75" s="86" t="s">
        <v>351</v>
      </c>
      <c r="AP75" s="86" t="s">
        <v>617</v>
      </c>
      <c r="AQ75" s="76">
        <v>275000</v>
      </c>
      <c r="AR75" s="76">
        <v>10000</v>
      </c>
      <c r="AS75" s="76">
        <v>0</v>
      </c>
      <c r="AT75" s="76">
        <v>0</v>
      </c>
      <c r="AU75" s="76">
        <v>0</v>
      </c>
      <c r="AV75" s="86" t="s">
        <v>617</v>
      </c>
      <c r="BC75" s="54"/>
      <c r="BD75" s="54"/>
      <c r="BE75" s="54"/>
      <c r="BF75" s="54"/>
      <c r="BG75" s="54"/>
      <c r="BI75" s="54"/>
      <c r="BK75" s="54"/>
      <c r="BL75" s="54"/>
      <c r="BM75" s="54"/>
      <c r="BN75" s="54"/>
      <c r="BO75" s="54"/>
      <c r="BP75" s="54"/>
      <c r="BS75" s="54"/>
      <c r="BT75" s="54"/>
      <c r="BU75" s="54"/>
      <c r="BV75" s="54"/>
      <c r="BW75" s="54"/>
    </row>
    <row r="76" spans="1:75" x14ac:dyDescent="0.2">
      <c r="A76" s="86" t="s">
        <v>752</v>
      </c>
      <c r="B76" s="86"/>
      <c r="C76" s="86" t="s">
        <v>6</v>
      </c>
      <c r="D76" s="86" t="s">
        <v>79</v>
      </c>
      <c r="E76" s="54" t="str">
        <f>_xlfn.CONCAT(Table1[[#This Row],[Geographic Scope]],": ",Table1[[#This Row],[Sub-Type/Focus]])</f>
        <v>National: Single-Topic</v>
      </c>
      <c r="F76" s="55">
        <f>Table1[[#This Row],[Total Contributed Income]]+Table1[[#This Row],[Total Earned Income]]</f>
        <v>3630135</v>
      </c>
      <c r="G76" s="87">
        <f>IFERROR((Table1[[#This Row],[Cont. Income - Foundation]]+Table1[[#This Row],[Cont. Income - Membership]]+Table1[[#This Row],[Cont. Income - Small Donors]]+Table1[[#This Row],[Cont. Income - Med. Donors]]+Table1[[#This Row],[Cont. Income - Major Donors]]+Table1[[#This Row],[Cont. Income - Other]]),0)</f>
        <v>3580744</v>
      </c>
      <c r="H76" s="87">
        <f>IFERROR((Table1[[#This Row],[Earned Income - Advertising]]+Table1[[#This Row],[Earned Income - Sponsorships/Underwriting]]+Table1[[#This Row],[Earned Income - Events]]+Table1[[#This Row],[Earned Income - Subscriptions]]+Table1[[#This Row],[Earned Income - Syndication]]+Table1[[#This Row],[Earned Income - Other TOTAL]]),0)</f>
        <v>49391</v>
      </c>
      <c r="I76" s="74">
        <v>3529000</v>
      </c>
      <c r="J76" s="74">
        <v>0</v>
      </c>
      <c r="K76" s="74">
        <v>42344</v>
      </c>
      <c r="L76" s="74">
        <v>9400</v>
      </c>
      <c r="M76" s="74">
        <v>0</v>
      </c>
      <c r="N76" s="74">
        <v>0</v>
      </c>
      <c r="O76" s="79" t="s">
        <v>617</v>
      </c>
      <c r="P76" s="74">
        <v>3891</v>
      </c>
      <c r="Q76" s="74">
        <v>45500</v>
      </c>
      <c r="R76" s="74">
        <v>0</v>
      </c>
      <c r="S76" s="74">
        <v>0</v>
      </c>
      <c r="T76" s="74">
        <v>0</v>
      </c>
      <c r="U76" s="88">
        <f>IFERROR(Table1[[#This Row],[Earned Income - Training Fees]]+Table1[[#This Row],[Earned Income - Fees]]+Table1[[#This Row],[Earned Income - Investments]]+Table1[[#This Row],[Earned Income - Other]],0)</f>
        <v>0</v>
      </c>
      <c r="V76" s="74">
        <v>0</v>
      </c>
      <c r="W76" s="74">
        <v>0</v>
      </c>
      <c r="X76" s="86" t="s">
        <v>617</v>
      </c>
      <c r="Y76" s="74">
        <v>0</v>
      </c>
      <c r="Z76" s="74">
        <v>0</v>
      </c>
      <c r="AA76" s="86" t="s">
        <v>617</v>
      </c>
      <c r="AB76" s="88">
        <f t="shared" si="2"/>
        <v>3616859</v>
      </c>
      <c r="AC76" s="74">
        <v>2506417</v>
      </c>
      <c r="AD76" s="88">
        <f>SUM(Table1[[#This Row],[Expenses - Revenue Generation]:[Expenses - Admin]])</f>
        <v>1110442</v>
      </c>
      <c r="AE76" s="74">
        <v>269302</v>
      </c>
      <c r="AF76" s="74">
        <v>54095</v>
      </c>
      <c r="AG76" s="74">
        <v>787045</v>
      </c>
      <c r="AH76" s="75">
        <f>Table1[[#This Row],[Total FTE - Editorial]]+Table1[[#This Row],[Total FTE - Non-Editorial]]</f>
        <v>23.5</v>
      </c>
      <c r="AI76" s="75">
        <f>Table1[[#This Row],[FTE Salaried - Editorial]]+Table1[[#This Row],[FTE Contractors - Editorial]]</f>
        <v>20</v>
      </c>
      <c r="AJ76" s="57">
        <v>20</v>
      </c>
      <c r="AK76" s="57">
        <v>0</v>
      </c>
      <c r="AL76" s="60">
        <f>Table1[[#This Row],[FTE Salaried - Non-Editorial]]+Table1[[#This Row],[FTE Contractors - Non-Editorial]]</f>
        <v>3.5</v>
      </c>
      <c r="AM76" s="57">
        <v>3.5</v>
      </c>
      <c r="AN76" s="57">
        <v>0</v>
      </c>
      <c r="AO76" s="86" t="s">
        <v>351</v>
      </c>
      <c r="AP76" s="86" t="s">
        <v>617</v>
      </c>
      <c r="AQ76" s="76">
        <v>344375</v>
      </c>
      <c r="AR76" s="76">
        <v>37256</v>
      </c>
      <c r="AS76" s="76">
        <v>0</v>
      </c>
      <c r="AT76" s="76">
        <v>0</v>
      </c>
      <c r="AU76" s="76">
        <v>0</v>
      </c>
      <c r="AV76" s="86" t="s">
        <v>617</v>
      </c>
      <c r="BC76" s="54"/>
      <c r="BD76" s="54"/>
      <c r="BE76" s="54"/>
      <c r="BF76" s="54"/>
      <c r="BG76" s="54"/>
      <c r="BI76" s="54"/>
      <c r="BK76" s="54"/>
      <c r="BL76" s="54"/>
      <c r="BM76" s="54"/>
      <c r="BN76" s="54"/>
      <c r="BO76" s="54"/>
      <c r="BP76" s="54"/>
      <c r="BS76" s="54"/>
      <c r="BT76" s="54"/>
      <c r="BU76" s="54"/>
      <c r="BV76" s="54"/>
      <c r="BW76" s="54"/>
    </row>
    <row r="77" spans="1:75" x14ac:dyDescent="0.2">
      <c r="A77" s="86" t="s">
        <v>753</v>
      </c>
      <c r="B77" s="86"/>
      <c r="C77" s="86" t="s">
        <v>6</v>
      </c>
      <c r="D77" s="86" t="s">
        <v>77</v>
      </c>
      <c r="E77" s="54" t="str">
        <f>_xlfn.CONCAT(Table1[[#This Row],[Geographic Scope]],": ",Table1[[#This Row],[Sub-Type/Focus]])</f>
        <v>National: General</v>
      </c>
      <c r="F77" s="55">
        <f>Table1[[#This Row],[Total Contributed Income]]+Table1[[#This Row],[Total Earned Income]]</f>
        <v>1894000.02</v>
      </c>
      <c r="G77" s="87">
        <f>IFERROR((Table1[[#This Row],[Cont. Income - Foundation]]+Table1[[#This Row],[Cont. Income - Membership]]+Table1[[#This Row],[Cont. Income - Small Donors]]+Table1[[#This Row],[Cont. Income - Med. Donors]]+Table1[[#This Row],[Cont. Income - Major Donors]]+Table1[[#This Row],[Cont. Income - Other]]),0)</f>
        <v>1894000.02</v>
      </c>
      <c r="H77" s="87">
        <f>IFERROR((Table1[[#This Row],[Earned Income - Advertising]]+Table1[[#This Row],[Earned Income - Sponsorships/Underwriting]]+Table1[[#This Row],[Earned Income - Events]]+Table1[[#This Row],[Earned Income - Subscriptions]]+Table1[[#This Row],[Earned Income - Syndication]]+Table1[[#This Row],[Earned Income - Other TOTAL]]),0)</f>
        <v>0</v>
      </c>
      <c r="I77" s="74">
        <v>1204500</v>
      </c>
      <c r="J77" s="74">
        <v>0</v>
      </c>
      <c r="K77" s="74">
        <v>20892.02</v>
      </c>
      <c r="L77" s="74">
        <v>15500</v>
      </c>
      <c r="M77" s="74">
        <v>653108</v>
      </c>
      <c r="N77" s="74">
        <v>0</v>
      </c>
      <c r="O77" s="79" t="s">
        <v>617</v>
      </c>
      <c r="P77" s="74">
        <v>0</v>
      </c>
      <c r="Q77" s="74">
        <v>0</v>
      </c>
      <c r="R77" s="74">
        <v>0</v>
      </c>
      <c r="S77" s="74">
        <v>0</v>
      </c>
      <c r="T77" s="74">
        <v>0</v>
      </c>
      <c r="U77" s="88">
        <f>IFERROR(Table1[[#This Row],[Earned Income - Training Fees]]+Table1[[#This Row],[Earned Income - Fees]]+Table1[[#This Row],[Earned Income - Investments]]+Table1[[#This Row],[Earned Income - Other]],0)</f>
        <v>0</v>
      </c>
      <c r="V77" s="74">
        <v>0</v>
      </c>
      <c r="W77" s="74">
        <v>0</v>
      </c>
      <c r="X77" s="86" t="s">
        <v>617</v>
      </c>
      <c r="Y77" s="74">
        <v>0</v>
      </c>
      <c r="Z77" s="74">
        <v>0</v>
      </c>
      <c r="AA77" s="86" t="s">
        <v>617</v>
      </c>
      <c r="AB77" s="88">
        <f t="shared" si="2"/>
        <v>1894000</v>
      </c>
      <c r="AC77" s="74">
        <v>727000</v>
      </c>
      <c r="AD77" s="88">
        <f>SUM(Table1[[#This Row],[Expenses - Revenue Generation]:[Expenses - Admin]])</f>
        <v>1167000</v>
      </c>
      <c r="AE77" s="74">
        <v>49000</v>
      </c>
      <c r="AF77" s="74">
        <v>22500</v>
      </c>
      <c r="AG77" s="74">
        <v>1095500</v>
      </c>
      <c r="AH77" s="75">
        <f>Table1[[#This Row],[Total FTE - Editorial]]+Table1[[#This Row],[Total FTE - Non-Editorial]]</f>
        <v>9</v>
      </c>
      <c r="AI77" s="75">
        <f>Table1[[#This Row],[FTE Salaried - Editorial]]+Table1[[#This Row],[FTE Contractors - Editorial]]</f>
        <v>8</v>
      </c>
      <c r="AJ77" s="57">
        <v>7</v>
      </c>
      <c r="AK77" s="57">
        <v>1</v>
      </c>
      <c r="AL77" s="60">
        <f>Table1[[#This Row],[FTE Salaried - Non-Editorial]]+Table1[[#This Row],[FTE Contractors - Non-Editorial]]</f>
        <v>1</v>
      </c>
      <c r="AM77" s="57">
        <v>1</v>
      </c>
      <c r="AN77" s="57">
        <v>0</v>
      </c>
      <c r="AO77" s="86" t="s">
        <v>352</v>
      </c>
      <c r="AP77" s="86" t="s">
        <v>754</v>
      </c>
      <c r="AQ77" s="76">
        <v>10000</v>
      </c>
      <c r="AR77" s="76">
        <v>3000</v>
      </c>
      <c r="AS77" s="76">
        <v>0</v>
      </c>
      <c r="AT77" s="76">
        <v>0</v>
      </c>
      <c r="AU77" s="76">
        <v>0</v>
      </c>
      <c r="AV77" s="86" t="s">
        <v>617</v>
      </c>
      <c r="BC77" s="54"/>
      <c r="BD77" s="54"/>
      <c r="BE77" s="54"/>
      <c r="BF77" s="54"/>
      <c r="BG77" s="54"/>
      <c r="BI77" s="54"/>
      <c r="BK77" s="54"/>
      <c r="BL77" s="54"/>
      <c r="BM77" s="54"/>
      <c r="BN77" s="54"/>
      <c r="BO77" s="54"/>
      <c r="BP77" s="54"/>
      <c r="BS77" s="54"/>
      <c r="BT77" s="54"/>
      <c r="BU77" s="54"/>
      <c r="BV77" s="54"/>
      <c r="BW77" s="54"/>
    </row>
    <row r="78" spans="1:75" x14ac:dyDescent="0.2">
      <c r="A78" s="86" t="s">
        <v>755</v>
      </c>
      <c r="B78" s="86"/>
      <c r="C78" s="86" t="s">
        <v>6</v>
      </c>
      <c r="D78" s="86" t="s">
        <v>79</v>
      </c>
      <c r="E78" s="54" t="str">
        <f>_xlfn.CONCAT(Table1[[#This Row],[Geographic Scope]],": ",Table1[[#This Row],[Sub-Type/Focus]])</f>
        <v>National: Single-Topic</v>
      </c>
      <c r="F78" s="55">
        <f>Table1[[#This Row],[Total Contributed Income]]+Table1[[#This Row],[Total Earned Income]]</f>
        <v>8814000</v>
      </c>
      <c r="G78" s="87">
        <f>IFERROR((Table1[[#This Row],[Cont. Income - Foundation]]+Table1[[#This Row],[Cont. Income - Membership]]+Table1[[#This Row],[Cont. Income - Small Donors]]+Table1[[#This Row],[Cont. Income - Med. Donors]]+Table1[[#This Row],[Cont. Income - Major Donors]]+Table1[[#This Row],[Cont. Income - Other]]),0)</f>
        <v>8539000</v>
      </c>
      <c r="H78" s="87">
        <f>IFERROR((Table1[[#This Row],[Earned Income - Advertising]]+Table1[[#This Row],[Earned Income - Sponsorships/Underwriting]]+Table1[[#This Row],[Earned Income - Events]]+Table1[[#This Row],[Earned Income - Subscriptions]]+Table1[[#This Row],[Earned Income - Syndication]]+Table1[[#This Row],[Earned Income - Other TOTAL]]),0)</f>
        <v>275000</v>
      </c>
      <c r="I78" s="74">
        <v>3450000</v>
      </c>
      <c r="J78" s="74">
        <v>409000</v>
      </c>
      <c r="K78" s="74">
        <v>0</v>
      </c>
      <c r="L78" s="74">
        <v>0</v>
      </c>
      <c r="M78" s="74">
        <v>4520000</v>
      </c>
      <c r="N78" s="74">
        <v>160000</v>
      </c>
      <c r="O78" s="79" t="s">
        <v>617</v>
      </c>
      <c r="P78" s="74">
        <v>0</v>
      </c>
      <c r="Q78" s="74">
        <v>0</v>
      </c>
      <c r="R78" s="74">
        <v>0</v>
      </c>
      <c r="S78" s="74">
        <v>0</v>
      </c>
      <c r="T78" s="74">
        <v>0</v>
      </c>
      <c r="U78" s="88">
        <f>IFERROR(Table1[[#This Row],[Earned Income - Training Fees]]+Table1[[#This Row],[Earned Income - Fees]]+Table1[[#This Row],[Earned Income - Investments]]+Table1[[#This Row],[Earned Income - Other]],0)</f>
        <v>275000</v>
      </c>
      <c r="V78" s="74">
        <v>0</v>
      </c>
      <c r="W78" s="74">
        <v>0</v>
      </c>
      <c r="X78" s="86" t="s">
        <v>617</v>
      </c>
      <c r="Y78" s="74">
        <v>60000</v>
      </c>
      <c r="Z78" s="74">
        <v>215000</v>
      </c>
      <c r="AA78" s="86" t="s">
        <v>756</v>
      </c>
      <c r="AB78" s="88">
        <f t="shared" si="2"/>
        <v>7175000</v>
      </c>
      <c r="AC78" s="74">
        <v>3990000</v>
      </c>
      <c r="AD78" s="88">
        <f>SUM(Table1[[#This Row],[Expenses - Revenue Generation]:[Expenses - Admin]])</f>
        <v>3185000</v>
      </c>
      <c r="AE78" s="74">
        <v>415000</v>
      </c>
      <c r="AF78" s="74">
        <v>640000</v>
      </c>
      <c r="AG78" s="74">
        <v>2130000</v>
      </c>
      <c r="AH78" s="75">
        <f>Table1[[#This Row],[Total FTE - Editorial]]+Table1[[#This Row],[Total FTE - Non-Editorial]]</f>
        <v>38</v>
      </c>
      <c r="AI78" s="75">
        <f>Table1[[#This Row],[FTE Salaried - Editorial]]+Table1[[#This Row],[FTE Contractors - Editorial]]</f>
        <v>26</v>
      </c>
      <c r="AJ78" s="57">
        <v>26</v>
      </c>
      <c r="AK78" s="57">
        <v>0</v>
      </c>
      <c r="AL78" s="60">
        <f>Table1[[#This Row],[FTE Salaried - Non-Editorial]]+Table1[[#This Row],[FTE Contractors - Non-Editorial]]</f>
        <v>12</v>
      </c>
      <c r="AM78" s="57">
        <v>12</v>
      </c>
      <c r="AN78" s="57">
        <v>0</v>
      </c>
      <c r="AO78" s="86" t="s">
        <v>351</v>
      </c>
      <c r="AP78" s="86" t="s">
        <v>617</v>
      </c>
      <c r="AQ78" s="76">
        <v>375471</v>
      </c>
      <c r="AR78" s="76">
        <v>49228</v>
      </c>
      <c r="AS78" s="76">
        <v>30000</v>
      </c>
      <c r="AT78" s="76">
        <v>3</v>
      </c>
      <c r="AU78" s="76">
        <v>0</v>
      </c>
      <c r="AV78" s="86" t="s">
        <v>617</v>
      </c>
      <c r="BC78" s="54"/>
      <c r="BD78" s="54"/>
      <c r="BE78" s="54"/>
      <c r="BF78" s="54"/>
      <c r="BG78" s="54"/>
      <c r="BI78" s="54"/>
      <c r="BK78" s="54"/>
      <c r="BL78" s="54"/>
      <c r="BM78" s="54"/>
      <c r="BN78" s="54"/>
      <c r="BO78" s="54"/>
      <c r="BP78" s="54"/>
      <c r="BS78" s="54"/>
      <c r="BT78" s="54"/>
      <c r="BU78" s="54"/>
      <c r="BV78" s="54"/>
      <c r="BW78" s="54"/>
    </row>
    <row r="79" spans="1:75" x14ac:dyDescent="0.2">
      <c r="A79" s="86" t="s">
        <v>757</v>
      </c>
      <c r="B79" s="86"/>
      <c r="C79" s="86" t="s">
        <v>6</v>
      </c>
      <c r="D79" s="86" t="s">
        <v>79</v>
      </c>
      <c r="E79" s="54" t="str">
        <f>_xlfn.CONCAT(Table1[[#This Row],[Geographic Scope]],": ",Table1[[#This Row],[Sub-Type/Focus]])</f>
        <v>National: Single-Topic</v>
      </c>
      <c r="F79" s="55">
        <f>Table1[[#This Row],[Total Contributed Income]]+Table1[[#This Row],[Total Earned Income]]</f>
        <v>481240</v>
      </c>
      <c r="G79" s="87">
        <f>IFERROR((Table1[[#This Row],[Cont. Income - Foundation]]+Table1[[#This Row],[Cont. Income - Membership]]+Table1[[#This Row],[Cont. Income - Small Donors]]+Table1[[#This Row],[Cont. Income - Med. Donors]]+Table1[[#This Row],[Cont. Income - Major Donors]]+Table1[[#This Row],[Cont. Income - Other]]),0)</f>
        <v>480800</v>
      </c>
      <c r="H79" s="87">
        <f>IFERROR((Table1[[#This Row],[Earned Income - Advertising]]+Table1[[#This Row],[Earned Income - Sponsorships/Underwriting]]+Table1[[#This Row],[Earned Income - Events]]+Table1[[#This Row],[Earned Income - Subscriptions]]+Table1[[#This Row],[Earned Income - Syndication]]+Table1[[#This Row],[Earned Income - Other TOTAL]]),0)</f>
        <v>440</v>
      </c>
      <c r="I79" s="74">
        <v>360000</v>
      </c>
      <c r="J79" s="74">
        <v>75600</v>
      </c>
      <c r="K79" s="74">
        <v>37400</v>
      </c>
      <c r="L79" s="74">
        <v>5500</v>
      </c>
      <c r="M79" s="74">
        <v>2300</v>
      </c>
      <c r="N79" s="74">
        <v>0</v>
      </c>
      <c r="O79" s="79" t="s">
        <v>617</v>
      </c>
      <c r="P79" s="74">
        <v>0</v>
      </c>
      <c r="Q79" s="74">
        <v>0</v>
      </c>
      <c r="R79" s="74">
        <v>300</v>
      </c>
      <c r="S79" s="74">
        <v>0</v>
      </c>
      <c r="T79" s="74">
        <v>0</v>
      </c>
      <c r="U79" s="88">
        <f>IFERROR(Table1[[#This Row],[Earned Income - Training Fees]]+Table1[[#This Row],[Earned Income - Fees]]+Table1[[#This Row],[Earned Income - Investments]]+Table1[[#This Row],[Earned Income - Other]],0)</f>
        <v>140</v>
      </c>
      <c r="V79" s="74">
        <v>0</v>
      </c>
      <c r="W79" s="74">
        <v>140</v>
      </c>
      <c r="X79" s="86" t="s">
        <v>758</v>
      </c>
      <c r="Y79" s="74">
        <v>0</v>
      </c>
      <c r="Z79" s="74">
        <v>0</v>
      </c>
      <c r="AA79" s="86" t="s">
        <v>617</v>
      </c>
      <c r="AB79" s="88">
        <f t="shared" si="2"/>
        <v>520280</v>
      </c>
      <c r="AC79" s="74">
        <v>380000</v>
      </c>
      <c r="AD79" s="88">
        <f>SUM(Table1[[#This Row],[Expenses - Revenue Generation]:[Expenses - Admin]])</f>
        <v>140280</v>
      </c>
      <c r="AE79" s="74">
        <v>50000</v>
      </c>
      <c r="AF79" s="74">
        <v>9800</v>
      </c>
      <c r="AG79" s="74">
        <v>80480</v>
      </c>
      <c r="AH79" s="75">
        <f>Table1[[#This Row],[Total FTE - Editorial]]+Table1[[#This Row],[Total FTE - Non-Editorial]]</f>
        <v>5.0999999999999996</v>
      </c>
      <c r="AI79" s="75">
        <f>Table1[[#This Row],[FTE Salaried - Editorial]]+Table1[[#This Row],[FTE Contractors - Editorial]]</f>
        <v>4.5</v>
      </c>
      <c r="AJ79" s="57">
        <v>3.5</v>
      </c>
      <c r="AK79" s="57">
        <v>1</v>
      </c>
      <c r="AL79" s="60">
        <f>Table1[[#This Row],[FTE Salaried - Non-Editorial]]+Table1[[#This Row],[FTE Contractors - Non-Editorial]]</f>
        <v>0.6</v>
      </c>
      <c r="AM79" s="57">
        <v>0</v>
      </c>
      <c r="AN79" s="57">
        <v>0.6</v>
      </c>
      <c r="AO79" s="86" t="s">
        <v>351</v>
      </c>
      <c r="AP79" s="86" t="s">
        <v>617</v>
      </c>
      <c r="AQ79" s="76">
        <v>125000</v>
      </c>
      <c r="AR79" s="76">
        <v>20000</v>
      </c>
      <c r="AS79" s="76">
        <v>200</v>
      </c>
      <c r="AT79" s="76">
        <v>1</v>
      </c>
      <c r="AU79" s="76">
        <v>500000</v>
      </c>
      <c r="AV79" s="86" t="s">
        <v>759</v>
      </c>
      <c r="BC79" s="54"/>
      <c r="BD79" s="54"/>
      <c r="BE79" s="54"/>
      <c r="BF79" s="54"/>
      <c r="BG79" s="54"/>
      <c r="BI79" s="54"/>
      <c r="BK79" s="54"/>
      <c r="BL79" s="54"/>
      <c r="BM79" s="54"/>
      <c r="BN79" s="54"/>
      <c r="BO79" s="54"/>
      <c r="BP79" s="54"/>
      <c r="BS79" s="54"/>
      <c r="BT79" s="54"/>
      <c r="BU79" s="54"/>
      <c r="BV79" s="54"/>
      <c r="BW79" s="54"/>
    </row>
    <row r="80" spans="1:75" x14ac:dyDescent="0.2">
      <c r="A80" s="86" t="s">
        <v>760</v>
      </c>
      <c r="B80" s="86"/>
      <c r="C80" s="86" t="s">
        <v>6</v>
      </c>
      <c r="D80" s="86" t="s">
        <v>79</v>
      </c>
      <c r="E80" s="54" t="str">
        <f>_xlfn.CONCAT(Table1[[#This Row],[Geographic Scope]],": ",Table1[[#This Row],[Sub-Type/Focus]])</f>
        <v>National: Single-Topic</v>
      </c>
      <c r="F80" s="55">
        <f>Table1[[#This Row],[Total Contributed Income]]+Table1[[#This Row],[Total Earned Income]]</f>
        <v>1514000</v>
      </c>
      <c r="G80" s="87">
        <f>IFERROR((Table1[[#This Row],[Cont. Income - Foundation]]+Table1[[#This Row],[Cont. Income - Membership]]+Table1[[#This Row],[Cont. Income - Small Donors]]+Table1[[#This Row],[Cont. Income - Med. Donors]]+Table1[[#This Row],[Cont. Income - Major Donors]]+Table1[[#This Row],[Cont. Income - Other]]),0)</f>
        <v>1514000</v>
      </c>
      <c r="H80" s="87">
        <f>IFERROR((Table1[[#This Row],[Earned Income - Advertising]]+Table1[[#This Row],[Earned Income - Sponsorships/Underwriting]]+Table1[[#This Row],[Earned Income - Events]]+Table1[[#This Row],[Earned Income - Subscriptions]]+Table1[[#This Row],[Earned Income - Syndication]]+Table1[[#This Row],[Earned Income - Other TOTAL]]),0)</f>
        <v>0</v>
      </c>
      <c r="I80" s="74">
        <v>0</v>
      </c>
      <c r="J80" s="74">
        <v>0</v>
      </c>
      <c r="K80" s="74">
        <v>14000</v>
      </c>
      <c r="L80" s="74">
        <v>0</v>
      </c>
      <c r="M80" s="74">
        <v>1500000</v>
      </c>
      <c r="N80" s="74">
        <v>0</v>
      </c>
      <c r="O80" s="79" t="s">
        <v>617</v>
      </c>
      <c r="P80" s="74">
        <v>0</v>
      </c>
      <c r="Q80" s="74">
        <v>0</v>
      </c>
      <c r="R80" s="74">
        <v>0</v>
      </c>
      <c r="S80" s="74">
        <v>0</v>
      </c>
      <c r="T80" s="74">
        <v>0</v>
      </c>
      <c r="U80" s="88">
        <f>IFERROR(Table1[[#This Row],[Earned Income - Training Fees]]+Table1[[#This Row],[Earned Income - Fees]]+Table1[[#This Row],[Earned Income - Investments]]+Table1[[#This Row],[Earned Income - Other]],0)</f>
        <v>0</v>
      </c>
      <c r="V80" s="74">
        <v>0</v>
      </c>
      <c r="W80" s="74">
        <v>0</v>
      </c>
      <c r="X80" s="86" t="s">
        <v>617</v>
      </c>
      <c r="Y80" s="74">
        <v>0</v>
      </c>
      <c r="Z80" s="74">
        <v>0</v>
      </c>
      <c r="AA80" s="86" t="s">
        <v>617</v>
      </c>
      <c r="AB80" s="88">
        <f t="shared" si="2"/>
        <v>1364330</v>
      </c>
      <c r="AC80" s="74">
        <v>617476</v>
      </c>
      <c r="AD80" s="88">
        <f>SUM(Table1[[#This Row],[Expenses - Revenue Generation]:[Expenses - Admin]])</f>
        <v>746854</v>
      </c>
      <c r="AE80" s="74">
        <v>238771</v>
      </c>
      <c r="AF80" s="74">
        <v>11446</v>
      </c>
      <c r="AG80" s="74">
        <v>496637</v>
      </c>
      <c r="AH80" s="75">
        <f>Table1[[#This Row],[Total FTE - Editorial]]+Table1[[#This Row],[Total FTE - Non-Editorial]]</f>
        <v>11.55</v>
      </c>
      <c r="AI80" s="75">
        <f>Table1[[#This Row],[FTE Salaried - Editorial]]+Table1[[#This Row],[FTE Contractors - Editorial]]</f>
        <v>9.5</v>
      </c>
      <c r="AJ80" s="57">
        <v>9.5</v>
      </c>
      <c r="AK80" s="57">
        <v>0</v>
      </c>
      <c r="AL80" s="60">
        <f>Table1[[#This Row],[FTE Salaried - Non-Editorial]]+Table1[[#This Row],[FTE Contractors - Non-Editorial]]</f>
        <v>2.0499999999999998</v>
      </c>
      <c r="AM80" s="57">
        <v>2</v>
      </c>
      <c r="AN80" s="57">
        <v>0.05</v>
      </c>
      <c r="AO80" s="86" t="s">
        <v>351</v>
      </c>
      <c r="AP80" s="86" t="s">
        <v>617</v>
      </c>
      <c r="AQ80" s="76">
        <v>166841</v>
      </c>
      <c r="AR80" s="76">
        <v>23208</v>
      </c>
      <c r="AS80" s="76">
        <v>0</v>
      </c>
      <c r="AT80" s="76">
        <v>0</v>
      </c>
      <c r="AU80" s="76">
        <v>0</v>
      </c>
      <c r="AV80" s="86" t="s">
        <v>617</v>
      </c>
      <c r="BC80" s="54"/>
      <c r="BD80" s="54"/>
      <c r="BE80" s="54"/>
      <c r="BF80" s="54"/>
      <c r="BG80" s="54"/>
      <c r="BI80" s="54"/>
      <c r="BK80" s="54"/>
      <c r="BL80" s="54"/>
      <c r="BM80" s="54"/>
      <c r="BN80" s="54"/>
      <c r="BO80" s="54"/>
      <c r="BP80" s="54"/>
      <c r="BS80" s="54"/>
      <c r="BT80" s="54"/>
      <c r="BU80" s="54"/>
      <c r="BV80" s="54"/>
      <c r="BW80" s="54"/>
    </row>
    <row r="81" spans="1:75" x14ac:dyDescent="0.2">
      <c r="A81" s="86" t="s">
        <v>761</v>
      </c>
      <c r="B81" s="86"/>
      <c r="C81" s="86" t="s">
        <v>6</v>
      </c>
      <c r="D81" s="86" t="s">
        <v>79</v>
      </c>
      <c r="E81" s="54" t="str">
        <f>_xlfn.CONCAT(Table1[[#This Row],[Geographic Scope]],": ",Table1[[#This Row],[Sub-Type/Focus]])</f>
        <v>National: Single-Topic</v>
      </c>
      <c r="F81" s="55">
        <f>Table1[[#This Row],[Total Contributed Income]]+Table1[[#This Row],[Total Earned Income]]</f>
        <v>0</v>
      </c>
      <c r="G81" s="87">
        <f>IFERROR((Table1[[#This Row],[Cont. Income - Foundation]]+Table1[[#This Row],[Cont. Income - Membership]]+Table1[[#This Row],[Cont. Income - Small Donors]]+Table1[[#This Row],[Cont. Income - Med. Donors]]+Table1[[#This Row],[Cont. Income - Major Donors]]+Table1[[#This Row],[Cont. Income - Other]]),0)</f>
        <v>0</v>
      </c>
      <c r="H81" s="87">
        <f>IFERROR((Table1[[#This Row],[Earned Income - Advertising]]+Table1[[#This Row],[Earned Income - Sponsorships/Underwriting]]+Table1[[#This Row],[Earned Income - Events]]+Table1[[#This Row],[Earned Income - Subscriptions]]+Table1[[#This Row],[Earned Income - Syndication]]+Table1[[#This Row],[Earned Income - Other TOTAL]]),0)</f>
        <v>0</v>
      </c>
      <c r="I81" s="74">
        <v>0</v>
      </c>
      <c r="J81" s="74">
        <v>0</v>
      </c>
      <c r="K81" s="74">
        <v>0</v>
      </c>
      <c r="L81" s="74">
        <v>0</v>
      </c>
      <c r="M81" s="74">
        <v>0</v>
      </c>
      <c r="N81" s="74">
        <v>0</v>
      </c>
      <c r="O81" s="79" t="s">
        <v>617</v>
      </c>
      <c r="P81" s="74">
        <v>0</v>
      </c>
      <c r="Q81" s="74">
        <v>0</v>
      </c>
      <c r="R81" s="74">
        <v>0</v>
      </c>
      <c r="S81" s="74">
        <v>0</v>
      </c>
      <c r="T81" s="74">
        <v>0</v>
      </c>
      <c r="U81" s="88">
        <f>IFERROR(Table1[[#This Row],[Earned Income - Training Fees]]+Table1[[#This Row],[Earned Income - Fees]]+Table1[[#This Row],[Earned Income - Investments]]+Table1[[#This Row],[Earned Income - Other]],0)</f>
        <v>0</v>
      </c>
      <c r="V81" s="74">
        <v>0</v>
      </c>
      <c r="W81" s="74">
        <v>0</v>
      </c>
      <c r="X81" s="86" t="s">
        <v>617</v>
      </c>
      <c r="Y81" s="74">
        <v>0</v>
      </c>
      <c r="Z81" s="74">
        <v>0</v>
      </c>
      <c r="AA81" s="86" t="s">
        <v>617</v>
      </c>
      <c r="AB81" s="88">
        <f t="shared" si="2"/>
        <v>0</v>
      </c>
      <c r="AC81" s="74">
        <v>0</v>
      </c>
      <c r="AD81" s="88">
        <f>SUM(Table1[[#This Row],[Expenses - Revenue Generation]:[Expenses - Admin]])</f>
        <v>0</v>
      </c>
      <c r="AE81" s="74">
        <v>0</v>
      </c>
      <c r="AF81" s="74">
        <v>0</v>
      </c>
      <c r="AG81" s="74">
        <v>0</v>
      </c>
      <c r="AH81" s="75">
        <f>Table1[[#This Row],[Total FTE - Editorial]]+Table1[[#This Row],[Total FTE - Non-Editorial]]</f>
        <v>16</v>
      </c>
      <c r="AI81" s="75">
        <f>Table1[[#This Row],[FTE Salaried - Editorial]]+Table1[[#This Row],[FTE Contractors - Editorial]]</f>
        <v>15</v>
      </c>
      <c r="AJ81" s="57">
        <v>15</v>
      </c>
      <c r="AK81" s="57">
        <v>0</v>
      </c>
      <c r="AL81" s="60">
        <f>Table1[[#This Row],[FTE Salaried - Non-Editorial]]+Table1[[#This Row],[FTE Contractors - Non-Editorial]]</f>
        <v>1</v>
      </c>
      <c r="AM81" s="57">
        <v>0</v>
      </c>
      <c r="AN81" s="57">
        <v>1</v>
      </c>
      <c r="AO81" s="86" t="s">
        <v>351</v>
      </c>
      <c r="AP81" s="86" t="s">
        <v>617</v>
      </c>
      <c r="AQ81" s="76">
        <v>345000</v>
      </c>
      <c r="AR81" s="76">
        <v>11000</v>
      </c>
      <c r="AS81" s="76">
        <v>0</v>
      </c>
      <c r="AT81" s="76">
        <v>0</v>
      </c>
      <c r="AU81" s="76">
        <v>0</v>
      </c>
      <c r="AV81" s="86" t="s">
        <v>617</v>
      </c>
      <c r="BC81" s="54"/>
      <c r="BD81" s="54"/>
      <c r="BE81" s="54"/>
      <c r="BF81" s="54"/>
      <c r="BG81" s="54"/>
      <c r="BI81" s="54"/>
      <c r="BK81" s="54"/>
      <c r="BL81" s="54"/>
      <c r="BM81" s="54"/>
      <c r="BN81" s="54"/>
      <c r="BO81" s="54"/>
      <c r="BP81" s="54"/>
      <c r="BS81" s="54"/>
      <c r="BT81" s="54"/>
      <c r="BU81" s="54"/>
      <c r="BV81" s="54"/>
      <c r="BW81" s="54"/>
    </row>
    <row r="82" spans="1:75" x14ac:dyDescent="0.2">
      <c r="A82" s="83" t="s">
        <v>762</v>
      </c>
      <c r="B82" s="83"/>
      <c r="C82" s="83" t="s">
        <v>6</v>
      </c>
      <c r="D82" s="83" t="s">
        <v>79</v>
      </c>
      <c r="E82" s="60" t="str">
        <f>_xlfn.CONCAT(Table1[[#This Row],[Geographic Scope]],": ",Table1[[#This Row],[Sub-Type/Focus]])</f>
        <v>National: Single-Topic</v>
      </c>
      <c r="F82" s="71">
        <f>Table1[[#This Row],[Total Contributed Income]]+Table1[[#This Row],[Total Earned Income]]</f>
        <v>0</v>
      </c>
      <c r="G82" s="89">
        <f>IFERROR((Table1[[#This Row],[Cont. Income - Foundation]]+Table1[[#This Row],[Cont. Income - Membership]]+Table1[[#This Row],[Cont. Income - Small Donors]]+Table1[[#This Row],[Cont. Income - Med. Donors]]+Table1[[#This Row],[Cont. Income - Major Donors]]+Table1[[#This Row],[Cont. Income - Other]]),0)</f>
        <v>0</v>
      </c>
      <c r="H82" s="89">
        <f>IFERROR((Table1[[#This Row],[Earned Income - Advertising]]+Table1[[#This Row],[Earned Income - Sponsorships/Underwriting]]+Table1[[#This Row],[Earned Income - Events]]+Table1[[#This Row],[Earned Income - Subscriptions]]+Table1[[#This Row],[Earned Income - Syndication]]+Table1[[#This Row],[Earned Income - Other TOTAL]]),0)</f>
        <v>0</v>
      </c>
      <c r="I82" s="74">
        <v>0</v>
      </c>
      <c r="J82" s="74">
        <v>0</v>
      </c>
      <c r="K82" s="74">
        <v>0</v>
      </c>
      <c r="L82" s="74">
        <v>0</v>
      </c>
      <c r="M82" s="74">
        <v>0</v>
      </c>
      <c r="N82" s="74">
        <v>0</v>
      </c>
      <c r="O82" s="79" t="s">
        <v>617</v>
      </c>
      <c r="P82" s="74">
        <v>0</v>
      </c>
      <c r="Q82" s="74">
        <v>0</v>
      </c>
      <c r="R82" s="74">
        <v>0</v>
      </c>
      <c r="S82" s="74">
        <v>0</v>
      </c>
      <c r="T82" s="74">
        <v>0</v>
      </c>
      <c r="U82" s="85">
        <f>IFERROR(Table1[[#This Row],[Earned Income - Training Fees]]+Table1[[#This Row],[Earned Income - Fees]]+Table1[[#This Row],[Earned Income - Investments]]+Table1[[#This Row],[Earned Income - Other]],0)</f>
        <v>0</v>
      </c>
      <c r="V82" s="74">
        <v>0</v>
      </c>
      <c r="W82" s="74">
        <v>0</v>
      </c>
      <c r="X82" s="83" t="s">
        <v>617</v>
      </c>
      <c r="Y82" s="74">
        <v>0</v>
      </c>
      <c r="Z82" s="74">
        <v>0</v>
      </c>
      <c r="AA82" s="83" t="s">
        <v>617</v>
      </c>
      <c r="AB82" s="85">
        <f t="shared" si="2"/>
        <v>0</v>
      </c>
      <c r="AC82" s="74">
        <v>0</v>
      </c>
      <c r="AD82" s="85">
        <f>SUM(Table1[[#This Row],[Expenses - Revenue Generation]:[Expenses - Admin]])</f>
        <v>0</v>
      </c>
      <c r="AE82" s="74">
        <v>0</v>
      </c>
      <c r="AF82" s="74">
        <v>0</v>
      </c>
      <c r="AG82" s="74">
        <v>0</v>
      </c>
      <c r="AH82" s="75">
        <f>Table1[[#This Row],[Total FTE - Editorial]]+Table1[[#This Row],[Total FTE - Non-Editorial]]</f>
        <v>4</v>
      </c>
      <c r="AI82" s="75">
        <f>Table1[[#This Row],[FTE Salaried - Editorial]]+Table1[[#This Row],[FTE Contractors - Editorial]]</f>
        <v>2</v>
      </c>
      <c r="AJ82" s="57">
        <v>0</v>
      </c>
      <c r="AK82" s="57">
        <v>2</v>
      </c>
      <c r="AL82" s="60">
        <f>Table1[[#This Row],[FTE Salaried - Non-Editorial]]+Table1[[#This Row],[FTE Contractors - Non-Editorial]]</f>
        <v>2</v>
      </c>
      <c r="AM82" s="57">
        <v>2</v>
      </c>
      <c r="AN82" s="57">
        <v>0</v>
      </c>
      <c r="AO82" s="83" t="s">
        <v>351</v>
      </c>
      <c r="AP82" s="83" t="s">
        <v>617</v>
      </c>
      <c r="AQ82" s="76">
        <v>20000</v>
      </c>
      <c r="AR82" s="76">
        <v>6200</v>
      </c>
      <c r="AS82" s="76">
        <v>0</v>
      </c>
      <c r="AT82" s="76">
        <v>0</v>
      </c>
      <c r="AU82" s="76">
        <v>0</v>
      </c>
      <c r="AV82" s="83" t="s">
        <v>617</v>
      </c>
      <c r="BC82" s="54"/>
      <c r="BD82" s="54"/>
      <c r="BE82" s="54"/>
      <c r="BF82" s="54"/>
      <c r="BG82" s="54"/>
      <c r="BI82" s="54"/>
      <c r="BK82" s="54"/>
      <c r="BL82" s="54"/>
      <c r="BM82" s="54"/>
      <c r="BN82" s="54"/>
      <c r="BO82" s="54"/>
      <c r="BP82" s="54"/>
      <c r="BS82" s="54"/>
      <c r="BT82" s="54"/>
      <c r="BU82" s="54"/>
      <c r="BV82" s="54"/>
      <c r="BW82" s="54"/>
    </row>
    <row r="83" spans="1:75" x14ac:dyDescent="0.2">
      <c r="A83" s="86" t="s">
        <v>763</v>
      </c>
      <c r="B83" s="86"/>
      <c r="C83" s="86" t="s">
        <v>7</v>
      </c>
      <c r="D83" s="86" t="s">
        <v>78</v>
      </c>
      <c r="E83" s="54" t="str">
        <f>_xlfn.CONCAT(Table1[[#This Row],[Geographic Scope]],": ",Table1[[#This Row],[Sub-Type/Focus]])</f>
        <v>Local: Multiple Related Topics</v>
      </c>
      <c r="F83" s="55">
        <f>Table1[[#This Row],[Total Contributed Income]]+Table1[[#This Row],[Total Earned Income]]</f>
        <v>579823.71000000008</v>
      </c>
      <c r="G83" s="87">
        <f>IFERROR((Table1[[#This Row],[Cont. Income - Foundation]]+Table1[[#This Row],[Cont. Income - Membership]]+Table1[[#This Row],[Cont. Income - Small Donors]]+Table1[[#This Row],[Cont. Income - Med. Donors]]+Table1[[#This Row],[Cont. Income - Major Donors]]+Table1[[#This Row],[Cont. Income - Other]]),0)</f>
        <v>579823.71000000008</v>
      </c>
      <c r="H83" s="87">
        <f>IFERROR((Table1[[#This Row],[Earned Income - Advertising]]+Table1[[#This Row],[Earned Income - Sponsorships/Underwriting]]+Table1[[#This Row],[Earned Income - Events]]+Table1[[#This Row],[Earned Income - Subscriptions]]+Table1[[#This Row],[Earned Income - Syndication]]+Table1[[#This Row],[Earned Income - Other TOTAL]]),0)</f>
        <v>0</v>
      </c>
      <c r="I83" s="74">
        <v>422500</v>
      </c>
      <c r="J83" s="74">
        <v>0</v>
      </c>
      <c r="K83" s="74">
        <v>22747</v>
      </c>
      <c r="L83" s="74">
        <v>45408.56</v>
      </c>
      <c r="M83" s="74">
        <v>75000</v>
      </c>
      <c r="N83" s="74">
        <v>14168.15</v>
      </c>
      <c r="O83" s="79" t="s">
        <v>764</v>
      </c>
      <c r="P83" s="74">
        <v>0</v>
      </c>
      <c r="Q83" s="74">
        <v>0</v>
      </c>
      <c r="R83" s="74">
        <v>0</v>
      </c>
      <c r="S83" s="74">
        <v>0</v>
      </c>
      <c r="T83" s="74">
        <v>0</v>
      </c>
      <c r="U83" s="88">
        <f>IFERROR(Table1[[#This Row],[Earned Income - Training Fees]]+Table1[[#This Row],[Earned Income - Fees]]+Table1[[#This Row],[Earned Income - Investments]]+Table1[[#This Row],[Earned Income - Other]],0)</f>
        <v>0</v>
      </c>
      <c r="V83" s="74">
        <v>0</v>
      </c>
      <c r="W83" s="74">
        <v>0</v>
      </c>
      <c r="X83" s="86" t="s">
        <v>617</v>
      </c>
      <c r="Y83" s="74">
        <v>0</v>
      </c>
      <c r="Z83" s="74">
        <v>0</v>
      </c>
      <c r="AA83" s="86" t="s">
        <v>617</v>
      </c>
      <c r="AB83" s="88">
        <f t="shared" si="2"/>
        <v>562560.80000000005</v>
      </c>
      <c r="AC83" s="74">
        <v>350690.17</v>
      </c>
      <c r="AD83" s="88">
        <f>SUM(Table1[[#This Row],[Expenses - Revenue Generation]:[Expenses - Admin]])</f>
        <v>211870.63</v>
      </c>
      <c r="AE83" s="74">
        <v>77000</v>
      </c>
      <c r="AF83" s="74">
        <v>13463.57</v>
      </c>
      <c r="AG83" s="74">
        <v>121407.06</v>
      </c>
      <c r="AH83" s="75">
        <f>Table1[[#This Row],[Total FTE - Editorial]]+Table1[[#This Row],[Total FTE - Non-Editorial]]</f>
        <v>9</v>
      </c>
      <c r="AI83" s="75">
        <f>Table1[[#This Row],[FTE Salaried - Editorial]]+Table1[[#This Row],[FTE Contractors - Editorial]]</f>
        <v>7</v>
      </c>
      <c r="AJ83" s="57">
        <v>4</v>
      </c>
      <c r="AK83" s="57">
        <v>3</v>
      </c>
      <c r="AL83" s="60">
        <f>Table1[[#This Row],[FTE Salaried - Non-Editorial]]+Table1[[#This Row],[FTE Contractors - Non-Editorial]]</f>
        <v>2</v>
      </c>
      <c r="AM83" s="57">
        <v>2</v>
      </c>
      <c r="AN83" s="57">
        <v>0</v>
      </c>
      <c r="AO83" s="86" t="s">
        <v>351</v>
      </c>
      <c r="AP83" s="86" t="s">
        <v>617</v>
      </c>
      <c r="AQ83" s="76">
        <v>150000</v>
      </c>
      <c r="AR83" s="76">
        <v>7500</v>
      </c>
      <c r="AS83" s="76">
        <v>0</v>
      </c>
      <c r="AT83" s="76">
        <v>0</v>
      </c>
      <c r="AU83" s="76">
        <v>0</v>
      </c>
      <c r="AV83" s="86" t="s">
        <v>617</v>
      </c>
      <c r="BC83" s="54"/>
      <c r="BD83" s="54"/>
      <c r="BE83" s="54"/>
      <c r="BF83" s="54"/>
      <c r="BG83" s="54"/>
      <c r="BI83" s="54"/>
      <c r="BK83" s="54"/>
      <c r="BL83" s="54"/>
      <c r="BM83" s="54"/>
      <c r="BN83" s="54"/>
      <c r="BO83" s="54"/>
      <c r="BP83" s="54"/>
      <c r="BS83" s="54"/>
      <c r="BT83" s="54"/>
      <c r="BU83" s="54"/>
      <c r="BV83" s="54"/>
      <c r="BW83" s="54"/>
    </row>
    <row r="84" spans="1:75" x14ac:dyDescent="0.2">
      <c r="A84" s="86" t="s">
        <v>765</v>
      </c>
      <c r="B84" s="86"/>
      <c r="C84" s="86" t="s">
        <v>7</v>
      </c>
      <c r="D84" s="86" t="s">
        <v>78</v>
      </c>
      <c r="E84" s="54" t="str">
        <f>_xlfn.CONCAT(Table1[[#This Row],[Geographic Scope]],": ",Table1[[#This Row],[Sub-Type/Focus]])</f>
        <v>Local: Multiple Related Topics</v>
      </c>
      <c r="F84" s="55">
        <f>Table1[[#This Row],[Total Contributed Income]]+Table1[[#This Row],[Total Earned Income]]</f>
        <v>1724883</v>
      </c>
      <c r="G84" s="87">
        <f>IFERROR((Table1[[#This Row],[Cont. Income - Foundation]]+Table1[[#This Row],[Cont. Income - Membership]]+Table1[[#This Row],[Cont. Income - Small Donors]]+Table1[[#This Row],[Cont. Income - Med. Donors]]+Table1[[#This Row],[Cont. Income - Major Donors]]+Table1[[#This Row],[Cont. Income - Other]]),0)</f>
        <v>1492955</v>
      </c>
      <c r="H84" s="87">
        <f>IFERROR((Table1[[#This Row],[Earned Income - Advertising]]+Table1[[#This Row],[Earned Income - Sponsorships/Underwriting]]+Table1[[#This Row],[Earned Income - Events]]+Table1[[#This Row],[Earned Income - Subscriptions]]+Table1[[#This Row],[Earned Income - Syndication]]+Table1[[#This Row],[Earned Income - Other TOTAL]]),0)</f>
        <v>231928</v>
      </c>
      <c r="I84" s="74">
        <v>298120</v>
      </c>
      <c r="J84" s="74">
        <v>0</v>
      </c>
      <c r="K84" s="74">
        <v>327352</v>
      </c>
      <c r="L84" s="74">
        <v>108016</v>
      </c>
      <c r="M84" s="74">
        <v>759467</v>
      </c>
      <c r="N84" s="74">
        <v>0</v>
      </c>
      <c r="O84" s="79" t="s">
        <v>617</v>
      </c>
      <c r="P84" s="74">
        <v>9420</v>
      </c>
      <c r="Q84" s="74">
        <v>101252</v>
      </c>
      <c r="R84" s="74">
        <v>67780</v>
      </c>
      <c r="S84" s="74">
        <v>0</v>
      </c>
      <c r="T84" s="74">
        <v>46500</v>
      </c>
      <c r="U84" s="88">
        <f>IFERROR(Table1[[#This Row],[Earned Income - Training Fees]]+Table1[[#This Row],[Earned Income - Fees]]+Table1[[#This Row],[Earned Income - Investments]]+Table1[[#This Row],[Earned Income - Other]],0)</f>
        <v>6976</v>
      </c>
      <c r="V84" s="74">
        <v>0</v>
      </c>
      <c r="W84" s="74">
        <v>0</v>
      </c>
      <c r="X84" s="86" t="s">
        <v>617</v>
      </c>
      <c r="Y84" s="74">
        <v>6976</v>
      </c>
      <c r="Z84" s="74">
        <v>0</v>
      </c>
      <c r="AA84" s="86" t="s">
        <v>617</v>
      </c>
      <c r="AB84" s="88">
        <f t="shared" si="2"/>
        <v>1864349</v>
      </c>
      <c r="AC84" s="74">
        <v>1173362</v>
      </c>
      <c r="AD84" s="88">
        <f>SUM(Table1[[#This Row],[Expenses - Revenue Generation]:[Expenses - Admin]])</f>
        <v>690987</v>
      </c>
      <c r="AE84" s="74">
        <v>235399</v>
      </c>
      <c r="AF84" s="74">
        <v>0</v>
      </c>
      <c r="AG84" s="74">
        <v>455588</v>
      </c>
      <c r="AH84" s="75">
        <f>Table1[[#This Row],[Total FTE - Editorial]]+Table1[[#This Row],[Total FTE - Non-Editorial]]</f>
        <v>15</v>
      </c>
      <c r="AI84" s="75">
        <f>Table1[[#This Row],[FTE Salaried - Editorial]]+Table1[[#This Row],[FTE Contractors - Editorial]]</f>
        <v>12</v>
      </c>
      <c r="AJ84" s="57">
        <v>12</v>
      </c>
      <c r="AK84" s="57">
        <v>0</v>
      </c>
      <c r="AL84" s="60">
        <f>Table1[[#This Row],[FTE Salaried - Non-Editorial]]+Table1[[#This Row],[FTE Contractors - Non-Editorial]]</f>
        <v>3</v>
      </c>
      <c r="AM84" s="57">
        <v>3</v>
      </c>
      <c r="AN84" s="57">
        <v>0</v>
      </c>
      <c r="AO84" s="86" t="s">
        <v>351</v>
      </c>
      <c r="AP84" s="86" t="s">
        <v>617</v>
      </c>
      <c r="AQ84" s="76">
        <v>150000</v>
      </c>
      <c r="AR84" s="76">
        <v>25000</v>
      </c>
      <c r="AS84" s="76">
        <v>50000</v>
      </c>
      <c r="AT84" s="76">
        <v>1</v>
      </c>
      <c r="AU84" s="76">
        <v>20000</v>
      </c>
      <c r="AV84" s="86" t="s">
        <v>766</v>
      </c>
      <c r="BC84" s="54"/>
      <c r="BD84" s="54"/>
      <c r="BE84" s="54"/>
      <c r="BF84" s="54"/>
      <c r="BG84" s="54"/>
      <c r="BI84" s="54"/>
      <c r="BK84" s="54"/>
      <c r="BL84" s="54"/>
      <c r="BM84" s="54"/>
      <c r="BN84" s="54"/>
      <c r="BO84" s="54"/>
      <c r="BP84" s="54"/>
      <c r="BS84" s="54"/>
      <c r="BT84" s="54"/>
      <c r="BU84" s="54"/>
      <c r="BV84" s="54"/>
      <c r="BW84" s="54"/>
    </row>
    <row r="85" spans="1:75" x14ac:dyDescent="0.2">
      <c r="A85" s="86" t="s">
        <v>767</v>
      </c>
      <c r="B85" s="86"/>
      <c r="C85" s="86" t="s">
        <v>7</v>
      </c>
      <c r="D85" s="86" t="s">
        <v>78</v>
      </c>
      <c r="E85" s="54" t="str">
        <f>_xlfn.CONCAT(Table1[[#This Row],[Geographic Scope]],": ",Table1[[#This Row],[Sub-Type/Focus]])</f>
        <v>Local: Multiple Related Topics</v>
      </c>
      <c r="F85" s="55">
        <f>Table1[[#This Row],[Total Contributed Income]]+Table1[[#This Row],[Total Earned Income]]</f>
        <v>73000</v>
      </c>
      <c r="G85" s="87">
        <f>IFERROR((Table1[[#This Row],[Cont. Income - Foundation]]+Table1[[#This Row],[Cont. Income - Membership]]+Table1[[#This Row],[Cont. Income - Small Donors]]+Table1[[#This Row],[Cont. Income - Med. Donors]]+Table1[[#This Row],[Cont. Income - Major Donors]]+Table1[[#This Row],[Cont. Income - Other]]),0)</f>
        <v>70000</v>
      </c>
      <c r="H85" s="87">
        <f>IFERROR((Table1[[#This Row],[Earned Income - Advertising]]+Table1[[#This Row],[Earned Income - Sponsorships/Underwriting]]+Table1[[#This Row],[Earned Income - Events]]+Table1[[#This Row],[Earned Income - Subscriptions]]+Table1[[#This Row],[Earned Income - Syndication]]+Table1[[#This Row],[Earned Income - Other TOTAL]]),0)</f>
        <v>3000</v>
      </c>
      <c r="I85" s="74">
        <v>40000</v>
      </c>
      <c r="J85" s="74">
        <v>3000</v>
      </c>
      <c r="K85" s="74">
        <v>17500</v>
      </c>
      <c r="L85" s="74">
        <v>4000</v>
      </c>
      <c r="M85" s="74">
        <v>5500</v>
      </c>
      <c r="N85" s="74">
        <v>0</v>
      </c>
      <c r="O85" s="79" t="s">
        <v>617</v>
      </c>
      <c r="P85" s="74">
        <v>0</v>
      </c>
      <c r="Q85" s="74">
        <v>3000</v>
      </c>
      <c r="R85" s="74">
        <v>0</v>
      </c>
      <c r="S85" s="74">
        <v>0</v>
      </c>
      <c r="T85" s="74">
        <v>0</v>
      </c>
      <c r="U85" s="88">
        <f>IFERROR(Table1[[#This Row],[Earned Income - Training Fees]]+Table1[[#This Row],[Earned Income - Fees]]+Table1[[#This Row],[Earned Income - Investments]]+Table1[[#This Row],[Earned Income - Other]],0)</f>
        <v>0</v>
      </c>
      <c r="V85" s="74">
        <v>0</v>
      </c>
      <c r="W85" s="74">
        <v>0</v>
      </c>
      <c r="X85" s="86" t="s">
        <v>617</v>
      </c>
      <c r="Y85" s="74">
        <v>0</v>
      </c>
      <c r="Z85" s="74">
        <v>0</v>
      </c>
      <c r="AA85" s="86" t="s">
        <v>617</v>
      </c>
      <c r="AB85" s="88">
        <f t="shared" si="2"/>
        <v>58820</v>
      </c>
      <c r="AC85" s="74">
        <v>41600</v>
      </c>
      <c r="AD85" s="88">
        <f>SUM(Table1[[#This Row],[Expenses - Revenue Generation]:[Expenses - Admin]])</f>
        <v>17220</v>
      </c>
      <c r="AE85" s="74">
        <v>3500</v>
      </c>
      <c r="AF85" s="74">
        <v>1920</v>
      </c>
      <c r="AG85" s="74">
        <v>11800</v>
      </c>
      <c r="AH85" s="75">
        <f>Table1[[#This Row],[Total FTE - Editorial]]+Table1[[#This Row],[Total FTE - Non-Editorial]]</f>
        <v>3.1</v>
      </c>
      <c r="AI85" s="75">
        <f>Table1[[#This Row],[FTE Salaried - Editorial]]+Table1[[#This Row],[FTE Contractors - Editorial]]</f>
        <v>2</v>
      </c>
      <c r="AJ85" s="57">
        <v>0</v>
      </c>
      <c r="AK85" s="57">
        <v>2</v>
      </c>
      <c r="AL85" s="60">
        <f>Table1[[#This Row],[FTE Salaried - Non-Editorial]]+Table1[[#This Row],[FTE Contractors - Non-Editorial]]</f>
        <v>1.1000000000000001</v>
      </c>
      <c r="AM85" s="57">
        <v>1.1000000000000001</v>
      </c>
      <c r="AN85" s="57">
        <v>0</v>
      </c>
      <c r="AO85" s="86" t="s">
        <v>351</v>
      </c>
      <c r="AP85" s="86" t="s">
        <v>617</v>
      </c>
      <c r="AQ85" s="76">
        <v>16800</v>
      </c>
      <c r="AR85" s="76">
        <v>1585</v>
      </c>
      <c r="AS85" s="76">
        <v>0</v>
      </c>
      <c r="AT85" s="76">
        <v>0</v>
      </c>
      <c r="AU85" s="76">
        <v>0</v>
      </c>
      <c r="AV85" s="86" t="s">
        <v>617</v>
      </c>
      <c r="BC85" s="54"/>
      <c r="BD85" s="54"/>
      <c r="BE85" s="54"/>
      <c r="BF85" s="54"/>
      <c r="BG85" s="54"/>
      <c r="BI85" s="54"/>
      <c r="BK85" s="54"/>
      <c r="BL85" s="54"/>
      <c r="BM85" s="54"/>
      <c r="BN85" s="54"/>
      <c r="BO85" s="54"/>
      <c r="BP85" s="54"/>
      <c r="BS85" s="54"/>
      <c r="BT85" s="54"/>
      <c r="BU85" s="54"/>
      <c r="BV85" s="54"/>
      <c r="BW85" s="54"/>
    </row>
    <row r="86" spans="1:75" x14ac:dyDescent="0.2">
      <c r="A86" s="86" t="s">
        <v>768</v>
      </c>
      <c r="B86" s="86"/>
      <c r="C86" s="86" t="s">
        <v>83</v>
      </c>
      <c r="D86" s="86" t="s">
        <v>78</v>
      </c>
      <c r="E86" s="54" t="str">
        <f>_xlfn.CONCAT(Table1[[#This Row],[Geographic Scope]],": ",Table1[[#This Row],[Sub-Type/Focus]])</f>
        <v>State: Multiple Related Topics</v>
      </c>
      <c r="F86" s="55">
        <f>Table1[[#This Row],[Total Contributed Income]]+Table1[[#This Row],[Total Earned Income]]</f>
        <v>2091903</v>
      </c>
      <c r="G86" s="87">
        <f>IFERROR((Table1[[#This Row],[Cont. Income - Foundation]]+Table1[[#This Row],[Cont. Income - Membership]]+Table1[[#This Row],[Cont. Income - Small Donors]]+Table1[[#This Row],[Cont. Income - Med. Donors]]+Table1[[#This Row],[Cont. Income - Major Donors]]+Table1[[#This Row],[Cont. Income - Other]]),0)</f>
        <v>1664786</v>
      </c>
      <c r="H86" s="87">
        <f>IFERROR((Table1[[#This Row],[Earned Income - Advertising]]+Table1[[#This Row],[Earned Income - Sponsorships/Underwriting]]+Table1[[#This Row],[Earned Income - Events]]+Table1[[#This Row],[Earned Income - Subscriptions]]+Table1[[#This Row],[Earned Income - Syndication]]+Table1[[#This Row],[Earned Income - Other TOTAL]]),0)</f>
        <v>427117</v>
      </c>
      <c r="I86" s="74">
        <v>315799</v>
      </c>
      <c r="J86" s="74">
        <v>0</v>
      </c>
      <c r="K86" s="74">
        <v>438492</v>
      </c>
      <c r="L86" s="74">
        <v>113524</v>
      </c>
      <c r="M86" s="74">
        <v>642374</v>
      </c>
      <c r="N86" s="74">
        <v>154597</v>
      </c>
      <c r="O86" s="79" t="s">
        <v>769</v>
      </c>
      <c r="P86" s="74">
        <v>0</v>
      </c>
      <c r="Q86" s="74">
        <v>368865</v>
      </c>
      <c r="R86" s="74">
        <v>7070</v>
      </c>
      <c r="S86" s="74">
        <v>0</v>
      </c>
      <c r="T86" s="74">
        <v>46578</v>
      </c>
      <c r="U86" s="88">
        <f>IFERROR(Table1[[#This Row],[Earned Income - Training Fees]]+Table1[[#This Row],[Earned Income - Fees]]+Table1[[#This Row],[Earned Income - Investments]]+Table1[[#This Row],[Earned Income - Other]],0)</f>
        <v>4604</v>
      </c>
      <c r="V86" s="74">
        <v>0</v>
      </c>
      <c r="W86" s="74">
        <v>0</v>
      </c>
      <c r="X86" s="86" t="s">
        <v>617</v>
      </c>
      <c r="Y86" s="74">
        <v>0</v>
      </c>
      <c r="Z86" s="74">
        <v>4604</v>
      </c>
      <c r="AA86" s="86" t="s">
        <v>770</v>
      </c>
      <c r="AB86" s="88">
        <f t="shared" si="2"/>
        <v>2018938</v>
      </c>
      <c r="AC86" s="74">
        <v>1709824</v>
      </c>
      <c r="AD86" s="88">
        <f>SUM(Table1[[#This Row],[Expenses - Revenue Generation]:[Expenses - Admin]])</f>
        <v>309114</v>
      </c>
      <c r="AE86" s="74">
        <v>251265</v>
      </c>
      <c r="AF86" s="74">
        <v>0</v>
      </c>
      <c r="AG86" s="74">
        <v>57849</v>
      </c>
      <c r="AH86" s="75">
        <f>Table1[[#This Row],[Total FTE - Editorial]]+Table1[[#This Row],[Total FTE - Non-Editorial]]</f>
        <v>28</v>
      </c>
      <c r="AI86" s="75">
        <f>Table1[[#This Row],[FTE Salaried - Editorial]]+Table1[[#This Row],[FTE Contractors - Editorial]]</f>
        <v>20</v>
      </c>
      <c r="AJ86" s="57">
        <v>17</v>
      </c>
      <c r="AK86" s="57">
        <v>3</v>
      </c>
      <c r="AL86" s="60">
        <f>Table1[[#This Row],[FTE Salaried - Non-Editorial]]+Table1[[#This Row],[FTE Contractors - Non-Editorial]]</f>
        <v>8</v>
      </c>
      <c r="AM86" s="57">
        <v>6</v>
      </c>
      <c r="AN86" s="57">
        <v>2</v>
      </c>
      <c r="AO86" s="86" t="s">
        <v>351</v>
      </c>
      <c r="AP86" s="86" t="s">
        <v>617</v>
      </c>
      <c r="AQ86" s="76">
        <v>350000</v>
      </c>
      <c r="AR86" s="76">
        <v>32000</v>
      </c>
      <c r="AS86" s="76">
        <v>0</v>
      </c>
      <c r="AT86" s="76">
        <v>0</v>
      </c>
      <c r="AU86" s="76">
        <v>116000</v>
      </c>
      <c r="AV86" s="86" t="s">
        <v>771</v>
      </c>
      <c r="BC86" s="54"/>
      <c r="BD86" s="54"/>
      <c r="BE86" s="54"/>
      <c r="BF86" s="54"/>
      <c r="BG86" s="54"/>
      <c r="BI86" s="54"/>
      <c r="BK86" s="54"/>
      <c r="BL86" s="54"/>
      <c r="BM86" s="54"/>
      <c r="BN86" s="54"/>
      <c r="BO86" s="54"/>
      <c r="BP86" s="54"/>
      <c r="BS86" s="54"/>
      <c r="BT86" s="54"/>
      <c r="BU86" s="54"/>
      <c r="BV86" s="54"/>
      <c r="BW86" s="54"/>
    </row>
    <row r="87" spans="1:75" x14ac:dyDescent="0.2">
      <c r="A87" s="86" t="s">
        <v>772</v>
      </c>
      <c r="B87" s="86"/>
      <c r="C87" s="86" t="s">
        <v>7</v>
      </c>
      <c r="D87" s="86" t="s">
        <v>77</v>
      </c>
      <c r="E87" s="54" t="str">
        <f>_xlfn.CONCAT(Table1[[#This Row],[Geographic Scope]],": ",Table1[[#This Row],[Sub-Type/Focus]])</f>
        <v>Local: General</v>
      </c>
      <c r="F87" s="55">
        <f>Table1[[#This Row],[Total Contributed Income]]+Table1[[#This Row],[Total Earned Income]]</f>
        <v>127868</v>
      </c>
      <c r="G87" s="87">
        <f>IFERROR((Table1[[#This Row],[Cont. Income - Foundation]]+Table1[[#This Row],[Cont. Income - Membership]]+Table1[[#This Row],[Cont. Income - Small Donors]]+Table1[[#This Row],[Cont. Income - Med. Donors]]+Table1[[#This Row],[Cont. Income - Major Donors]]+Table1[[#This Row],[Cont. Income - Other]]),0)</f>
        <v>100362</v>
      </c>
      <c r="H87" s="87">
        <f>IFERROR((Table1[[#This Row],[Earned Income - Advertising]]+Table1[[#This Row],[Earned Income - Sponsorships/Underwriting]]+Table1[[#This Row],[Earned Income - Events]]+Table1[[#This Row],[Earned Income - Subscriptions]]+Table1[[#This Row],[Earned Income - Syndication]]+Table1[[#This Row],[Earned Income - Other TOTAL]]),0)</f>
        <v>27506</v>
      </c>
      <c r="I87" s="74">
        <v>19150</v>
      </c>
      <c r="J87" s="74">
        <v>4344</v>
      </c>
      <c r="K87" s="74">
        <v>23868</v>
      </c>
      <c r="L87" s="74">
        <v>3000</v>
      </c>
      <c r="M87" s="74">
        <v>50000</v>
      </c>
      <c r="N87" s="74">
        <v>0</v>
      </c>
      <c r="O87" s="79" t="s">
        <v>617</v>
      </c>
      <c r="P87" s="74">
        <v>27506</v>
      </c>
      <c r="Q87" s="74">
        <v>0</v>
      </c>
      <c r="R87" s="74">
        <v>0</v>
      </c>
      <c r="S87" s="74">
        <v>0</v>
      </c>
      <c r="T87" s="74">
        <v>0</v>
      </c>
      <c r="U87" s="88">
        <f>IFERROR(Table1[[#This Row],[Earned Income - Training Fees]]+Table1[[#This Row],[Earned Income - Fees]]+Table1[[#This Row],[Earned Income - Investments]]+Table1[[#This Row],[Earned Income - Other]],0)</f>
        <v>0</v>
      </c>
      <c r="V87" s="74">
        <v>0</v>
      </c>
      <c r="W87" s="74">
        <v>0</v>
      </c>
      <c r="X87" s="86" t="s">
        <v>617</v>
      </c>
      <c r="Y87" s="74">
        <v>0</v>
      </c>
      <c r="Z87" s="74">
        <v>0</v>
      </c>
      <c r="AA87" s="86" t="s">
        <v>617</v>
      </c>
      <c r="AB87" s="88">
        <f t="shared" si="2"/>
        <v>124991</v>
      </c>
      <c r="AC87" s="74">
        <v>62800</v>
      </c>
      <c r="AD87" s="88">
        <f>SUM(Table1[[#This Row],[Expenses - Revenue Generation]:[Expenses - Admin]])</f>
        <v>62191</v>
      </c>
      <c r="AE87" s="74">
        <v>1800</v>
      </c>
      <c r="AF87" s="74">
        <v>4855</v>
      </c>
      <c r="AG87" s="74">
        <v>55536</v>
      </c>
      <c r="AH87" s="75">
        <f>Table1[[#This Row],[Total FTE - Editorial]]+Table1[[#This Row],[Total FTE - Non-Editorial]]</f>
        <v>5</v>
      </c>
      <c r="AI87" s="75">
        <f>Table1[[#This Row],[FTE Salaried - Editorial]]+Table1[[#This Row],[FTE Contractors - Editorial]]</f>
        <v>4</v>
      </c>
      <c r="AJ87" s="57">
        <v>2</v>
      </c>
      <c r="AK87" s="57">
        <v>2</v>
      </c>
      <c r="AL87" s="60">
        <f>Table1[[#This Row],[FTE Salaried - Non-Editorial]]+Table1[[#This Row],[FTE Contractors - Non-Editorial]]</f>
        <v>1</v>
      </c>
      <c r="AM87" s="57">
        <v>1</v>
      </c>
      <c r="AN87" s="57">
        <v>0</v>
      </c>
      <c r="AO87" s="86" t="s">
        <v>351</v>
      </c>
      <c r="AP87" s="86" t="s">
        <v>617</v>
      </c>
      <c r="AQ87" s="76">
        <v>83399</v>
      </c>
      <c r="AR87" s="76">
        <v>3551</v>
      </c>
      <c r="AS87" s="76">
        <v>0</v>
      </c>
      <c r="AT87" s="76">
        <v>0</v>
      </c>
      <c r="AU87" s="76">
        <v>0</v>
      </c>
      <c r="AV87" s="86" t="s">
        <v>617</v>
      </c>
      <c r="BC87" s="54"/>
      <c r="BD87" s="54"/>
      <c r="BE87" s="54"/>
      <c r="BF87" s="54"/>
      <c r="BG87" s="54"/>
      <c r="BI87" s="54"/>
      <c r="BK87" s="54"/>
      <c r="BL87" s="54"/>
      <c r="BM87" s="54"/>
      <c r="BN87" s="54"/>
      <c r="BO87" s="54"/>
      <c r="BP87" s="54"/>
      <c r="BS87" s="54"/>
      <c r="BT87" s="54"/>
      <c r="BU87" s="54"/>
      <c r="BV87" s="54"/>
      <c r="BW87" s="54"/>
    </row>
    <row r="88" spans="1:75" x14ac:dyDescent="0.2">
      <c r="A88" s="86" t="s">
        <v>773</v>
      </c>
      <c r="B88" s="86"/>
      <c r="C88" s="86" t="s">
        <v>83</v>
      </c>
      <c r="D88" s="86" t="s">
        <v>77</v>
      </c>
      <c r="E88" s="54" t="str">
        <f>_xlfn.CONCAT(Table1[[#This Row],[Geographic Scope]],": ",Table1[[#This Row],[Sub-Type/Focus]])</f>
        <v>State: General</v>
      </c>
      <c r="F88" s="55">
        <f>Table1[[#This Row],[Total Contributed Income]]+Table1[[#This Row],[Total Earned Income]]</f>
        <v>939673.09</v>
      </c>
      <c r="G88" s="87">
        <f>IFERROR((Table1[[#This Row],[Cont. Income - Foundation]]+Table1[[#This Row],[Cont. Income - Membership]]+Table1[[#This Row],[Cont. Income - Small Donors]]+Table1[[#This Row],[Cont. Income - Med. Donors]]+Table1[[#This Row],[Cont. Income - Major Donors]]+Table1[[#This Row],[Cont. Income - Other]]),0)</f>
        <v>853016.09</v>
      </c>
      <c r="H88" s="87">
        <f>IFERROR((Table1[[#This Row],[Earned Income - Advertising]]+Table1[[#This Row],[Earned Income - Sponsorships/Underwriting]]+Table1[[#This Row],[Earned Income - Events]]+Table1[[#This Row],[Earned Income - Subscriptions]]+Table1[[#This Row],[Earned Income - Syndication]]+Table1[[#This Row],[Earned Income - Other TOTAL]]),0)</f>
        <v>86657</v>
      </c>
      <c r="I88" s="74">
        <v>405000</v>
      </c>
      <c r="J88" s="74">
        <v>0</v>
      </c>
      <c r="K88" s="74">
        <v>38474.67</v>
      </c>
      <c r="L88" s="74">
        <v>59468</v>
      </c>
      <c r="M88" s="74">
        <v>350073.42</v>
      </c>
      <c r="N88" s="74">
        <v>0</v>
      </c>
      <c r="O88" s="79" t="s">
        <v>617</v>
      </c>
      <c r="P88" s="74">
        <v>0</v>
      </c>
      <c r="Q88" s="74">
        <v>0</v>
      </c>
      <c r="R88" s="74">
        <v>20417</v>
      </c>
      <c r="S88" s="74">
        <v>0</v>
      </c>
      <c r="T88" s="74">
        <v>6240</v>
      </c>
      <c r="U88" s="88">
        <f>IFERROR(Table1[[#This Row],[Earned Income - Training Fees]]+Table1[[#This Row],[Earned Income - Fees]]+Table1[[#This Row],[Earned Income - Investments]]+Table1[[#This Row],[Earned Income - Other]],0)</f>
        <v>60000</v>
      </c>
      <c r="V88" s="74">
        <v>0</v>
      </c>
      <c r="W88" s="74">
        <v>0</v>
      </c>
      <c r="X88" s="86" t="s">
        <v>617</v>
      </c>
      <c r="Y88" s="74">
        <v>0</v>
      </c>
      <c r="Z88" s="74">
        <v>60000</v>
      </c>
      <c r="AA88" s="86" t="s">
        <v>774</v>
      </c>
      <c r="AB88" s="88">
        <f t="shared" si="2"/>
        <v>669729</v>
      </c>
      <c r="AC88" s="74">
        <v>418353</v>
      </c>
      <c r="AD88" s="88">
        <f>SUM(Table1[[#This Row],[Expenses - Revenue Generation]:[Expenses - Admin]])</f>
        <v>251376</v>
      </c>
      <c r="AE88" s="74">
        <v>138879</v>
      </c>
      <c r="AF88" s="74">
        <v>35647</v>
      </c>
      <c r="AG88" s="74">
        <v>76850</v>
      </c>
      <c r="AH88" s="75">
        <f>Table1[[#This Row],[Total FTE - Editorial]]+Table1[[#This Row],[Total FTE - Non-Editorial]]</f>
        <v>8.3000000000000007</v>
      </c>
      <c r="AI88" s="75">
        <f>Table1[[#This Row],[FTE Salaried - Editorial]]+Table1[[#This Row],[FTE Contractors - Editorial]]</f>
        <v>5</v>
      </c>
      <c r="AJ88" s="57">
        <v>5</v>
      </c>
      <c r="AK88" s="57">
        <v>0</v>
      </c>
      <c r="AL88" s="60">
        <f>Table1[[#This Row],[FTE Salaried - Non-Editorial]]+Table1[[#This Row],[FTE Contractors - Non-Editorial]]</f>
        <v>3.3</v>
      </c>
      <c r="AM88" s="57">
        <v>3.3</v>
      </c>
      <c r="AN88" s="57">
        <v>0</v>
      </c>
      <c r="AO88" s="86" t="s">
        <v>351</v>
      </c>
      <c r="AP88" s="86" t="s">
        <v>617</v>
      </c>
      <c r="AQ88" s="76">
        <v>20000</v>
      </c>
      <c r="AR88" s="76">
        <v>5200</v>
      </c>
      <c r="AS88" s="76">
        <v>0</v>
      </c>
      <c r="AT88" s="76">
        <v>0</v>
      </c>
      <c r="AU88" s="76">
        <v>0</v>
      </c>
      <c r="AV88" s="86" t="s">
        <v>617</v>
      </c>
      <c r="BC88" s="54"/>
      <c r="BD88" s="54"/>
      <c r="BE88" s="54"/>
      <c r="BF88" s="54"/>
      <c r="BG88" s="54"/>
      <c r="BI88" s="54"/>
      <c r="BK88" s="54"/>
      <c r="BL88" s="54"/>
      <c r="BM88" s="54"/>
      <c r="BN88" s="54"/>
      <c r="BO88" s="54"/>
      <c r="BP88" s="54"/>
      <c r="BS88" s="54"/>
      <c r="BT88" s="54"/>
      <c r="BU88" s="54"/>
      <c r="BV88" s="54"/>
      <c r="BW88" s="54"/>
    </row>
    <row r="89" spans="1:75" x14ac:dyDescent="0.2">
      <c r="A89" s="86" t="s">
        <v>775</v>
      </c>
      <c r="B89" s="86"/>
      <c r="C89" s="86" t="s">
        <v>83</v>
      </c>
      <c r="D89" s="86" t="s">
        <v>77</v>
      </c>
      <c r="E89" s="54" t="str">
        <f>_xlfn.CONCAT(Table1[[#This Row],[Geographic Scope]],": ",Table1[[#This Row],[Sub-Type/Focus]])</f>
        <v>State: General</v>
      </c>
      <c r="F89" s="55">
        <f>Table1[[#This Row],[Total Contributed Income]]+Table1[[#This Row],[Total Earned Income]]</f>
        <v>427539.51</v>
      </c>
      <c r="G89" s="87">
        <f>IFERROR((Table1[[#This Row],[Cont. Income - Foundation]]+Table1[[#This Row],[Cont. Income - Membership]]+Table1[[#This Row],[Cont. Income - Small Donors]]+Table1[[#This Row],[Cont. Income - Med. Donors]]+Table1[[#This Row],[Cont. Income - Major Donors]]+Table1[[#This Row],[Cont. Income - Other]]),0)</f>
        <v>421766.54000000004</v>
      </c>
      <c r="H89" s="87">
        <f>IFERROR((Table1[[#This Row],[Earned Income - Advertising]]+Table1[[#This Row],[Earned Income - Sponsorships/Underwriting]]+Table1[[#This Row],[Earned Income - Events]]+Table1[[#This Row],[Earned Income - Subscriptions]]+Table1[[#This Row],[Earned Income - Syndication]]+Table1[[#This Row],[Earned Income - Other TOTAL]]),0)</f>
        <v>5772.97</v>
      </c>
      <c r="I89" s="74">
        <v>159272.32000000001</v>
      </c>
      <c r="J89" s="74">
        <v>0</v>
      </c>
      <c r="K89" s="74">
        <v>99462.65</v>
      </c>
      <c r="L89" s="74">
        <v>88146.57</v>
      </c>
      <c r="M89" s="74">
        <v>74750</v>
      </c>
      <c r="N89" s="74">
        <v>135</v>
      </c>
      <c r="O89" s="79" t="s">
        <v>776</v>
      </c>
      <c r="P89" s="74">
        <v>5760</v>
      </c>
      <c r="Q89" s="74">
        <v>0</v>
      </c>
      <c r="R89" s="74">
        <v>0</v>
      </c>
      <c r="S89" s="74">
        <v>0</v>
      </c>
      <c r="T89" s="74">
        <v>0</v>
      </c>
      <c r="U89" s="88">
        <f>IFERROR(Table1[[#This Row],[Earned Income - Training Fees]]+Table1[[#This Row],[Earned Income - Fees]]+Table1[[#This Row],[Earned Income - Investments]]+Table1[[#This Row],[Earned Income - Other]],0)</f>
        <v>12.97</v>
      </c>
      <c r="V89" s="74">
        <v>0</v>
      </c>
      <c r="W89" s="74">
        <v>0</v>
      </c>
      <c r="X89" s="86" t="s">
        <v>617</v>
      </c>
      <c r="Y89" s="74">
        <v>12.97</v>
      </c>
      <c r="Z89" s="74">
        <v>0</v>
      </c>
      <c r="AA89" s="86" t="s">
        <v>617</v>
      </c>
      <c r="AB89" s="88">
        <f t="shared" si="2"/>
        <v>417299.39</v>
      </c>
      <c r="AC89" s="74">
        <v>262585.14</v>
      </c>
      <c r="AD89" s="88">
        <f>SUM(Table1[[#This Row],[Expenses - Revenue Generation]:[Expenses - Admin]])</f>
        <v>154714.25</v>
      </c>
      <c r="AE89" s="74">
        <v>60699.7</v>
      </c>
      <c r="AF89" s="74">
        <v>8194.68</v>
      </c>
      <c r="AG89" s="74">
        <v>85819.87</v>
      </c>
      <c r="AH89" s="75">
        <f>Table1[[#This Row],[Total FTE - Editorial]]+Table1[[#This Row],[Total FTE - Non-Editorial]]</f>
        <v>7</v>
      </c>
      <c r="AI89" s="75">
        <f>Table1[[#This Row],[FTE Salaried - Editorial]]+Table1[[#This Row],[FTE Contractors - Editorial]]</f>
        <v>4.5</v>
      </c>
      <c r="AJ89" s="57">
        <v>3.5</v>
      </c>
      <c r="AK89" s="57">
        <v>1</v>
      </c>
      <c r="AL89" s="60">
        <f>Table1[[#This Row],[FTE Salaried - Non-Editorial]]+Table1[[#This Row],[FTE Contractors - Non-Editorial]]</f>
        <v>2.5</v>
      </c>
      <c r="AM89" s="57">
        <v>1.5</v>
      </c>
      <c r="AN89" s="57">
        <v>1</v>
      </c>
      <c r="AO89" s="86" t="s">
        <v>351</v>
      </c>
      <c r="AP89" s="86" t="s">
        <v>617</v>
      </c>
      <c r="AQ89" s="76">
        <v>40727</v>
      </c>
      <c r="AR89" s="76">
        <v>6091</v>
      </c>
      <c r="AS89" s="76">
        <v>0</v>
      </c>
      <c r="AT89" s="76">
        <v>0</v>
      </c>
      <c r="AU89" s="76">
        <v>0</v>
      </c>
      <c r="AV89" s="86" t="s">
        <v>617</v>
      </c>
      <c r="BC89" s="54"/>
      <c r="BD89" s="54"/>
      <c r="BE89" s="54"/>
      <c r="BF89" s="54"/>
      <c r="BG89" s="54"/>
      <c r="BI89" s="54"/>
      <c r="BK89" s="54"/>
      <c r="BL89" s="54"/>
      <c r="BM89" s="54"/>
      <c r="BN89" s="54"/>
      <c r="BO89" s="54"/>
      <c r="BP89" s="54"/>
      <c r="BS89" s="54"/>
      <c r="BT89" s="54"/>
      <c r="BU89" s="54"/>
      <c r="BV89" s="54"/>
      <c r="BW89" s="54"/>
    </row>
    <row r="90" spans="1:75" x14ac:dyDescent="0.2">
      <c r="A90" s="86" t="s">
        <v>777</v>
      </c>
      <c r="B90" s="86"/>
      <c r="C90" s="86" t="s">
        <v>6</v>
      </c>
      <c r="D90" s="86" t="s">
        <v>77</v>
      </c>
      <c r="E90" s="54" t="str">
        <f>_xlfn.CONCAT(Table1[[#This Row],[Geographic Scope]],": ",Table1[[#This Row],[Sub-Type/Focus]])</f>
        <v>National: General</v>
      </c>
      <c r="F90" s="55">
        <f>Table1[[#This Row],[Total Contributed Income]]+Table1[[#This Row],[Total Earned Income]]</f>
        <v>5702196</v>
      </c>
      <c r="G90" s="87">
        <f>IFERROR((Table1[[#This Row],[Cont. Income - Foundation]]+Table1[[#This Row],[Cont. Income - Membership]]+Table1[[#This Row],[Cont. Income - Small Donors]]+Table1[[#This Row],[Cont. Income - Med. Donors]]+Table1[[#This Row],[Cont. Income - Major Donors]]+Table1[[#This Row],[Cont. Income - Other]]),0)</f>
        <v>5672648</v>
      </c>
      <c r="H90" s="87">
        <f>IFERROR((Table1[[#This Row],[Earned Income - Advertising]]+Table1[[#This Row],[Earned Income - Sponsorships/Underwriting]]+Table1[[#This Row],[Earned Income - Events]]+Table1[[#This Row],[Earned Income - Subscriptions]]+Table1[[#This Row],[Earned Income - Syndication]]+Table1[[#This Row],[Earned Income - Other TOTAL]]),0)</f>
        <v>29548</v>
      </c>
      <c r="I90" s="74">
        <v>4184137</v>
      </c>
      <c r="J90" s="74">
        <v>0</v>
      </c>
      <c r="K90" s="74">
        <v>18662</v>
      </c>
      <c r="L90" s="74">
        <v>64195</v>
      </c>
      <c r="M90" s="74">
        <v>89717</v>
      </c>
      <c r="N90" s="74">
        <v>1315937</v>
      </c>
      <c r="O90" s="79" t="s">
        <v>778</v>
      </c>
      <c r="P90" s="74">
        <v>0</v>
      </c>
      <c r="Q90" s="74">
        <v>361</v>
      </c>
      <c r="R90" s="74">
        <v>151</v>
      </c>
      <c r="S90" s="74">
        <v>0</v>
      </c>
      <c r="T90" s="74">
        <v>1077</v>
      </c>
      <c r="U90" s="88">
        <f>IFERROR(Table1[[#This Row],[Earned Income - Training Fees]]+Table1[[#This Row],[Earned Income - Fees]]+Table1[[#This Row],[Earned Income - Investments]]+Table1[[#This Row],[Earned Income - Other]],0)</f>
        <v>27959</v>
      </c>
      <c r="V90" s="74">
        <v>0</v>
      </c>
      <c r="W90" s="74">
        <v>0</v>
      </c>
      <c r="X90" s="86" t="s">
        <v>617</v>
      </c>
      <c r="Y90" s="74">
        <v>1366</v>
      </c>
      <c r="Z90" s="74">
        <v>26593</v>
      </c>
      <c r="AA90" s="86" t="s">
        <v>779</v>
      </c>
      <c r="AB90" s="88">
        <f t="shared" si="2"/>
        <v>5958336</v>
      </c>
      <c r="AC90" s="74">
        <v>3757313</v>
      </c>
      <c r="AD90" s="88">
        <f>SUM(Table1[[#This Row],[Expenses - Revenue Generation]:[Expenses - Admin]])</f>
        <v>2201023</v>
      </c>
      <c r="AE90" s="74">
        <v>344544</v>
      </c>
      <c r="AF90" s="74">
        <v>679560</v>
      </c>
      <c r="AG90" s="74">
        <v>1176919</v>
      </c>
      <c r="AH90" s="75">
        <f>Table1[[#This Row],[Total FTE - Editorial]]+Table1[[#This Row],[Total FTE - Non-Editorial]]</f>
        <v>41</v>
      </c>
      <c r="AI90" s="75">
        <f>Table1[[#This Row],[FTE Salaried - Editorial]]+Table1[[#This Row],[FTE Contractors - Editorial]]</f>
        <v>21.5</v>
      </c>
      <c r="AJ90" s="57">
        <v>21.5</v>
      </c>
      <c r="AK90" s="57">
        <v>0</v>
      </c>
      <c r="AL90" s="60">
        <f>Table1[[#This Row],[FTE Salaried - Non-Editorial]]+Table1[[#This Row],[FTE Contractors - Non-Editorial]]</f>
        <v>19.5</v>
      </c>
      <c r="AM90" s="57">
        <v>18.5</v>
      </c>
      <c r="AN90" s="57">
        <v>1</v>
      </c>
      <c r="AO90" s="86" t="s">
        <v>351</v>
      </c>
      <c r="AP90" s="86" t="s">
        <v>617</v>
      </c>
      <c r="AQ90" s="76">
        <v>51050</v>
      </c>
      <c r="AR90" s="76">
        <v>4741</v>
      </c>
      <c r="AS90" s="76">
        <v>0</v>
      </c>
      <c r="AT90" s="76">
        <v>0</v>
      </c>
      <c r="AU90" s="76">
        <v>0</v>
      </c>
      <c r="AV90" s="86" t="s">
        <v>617</v>
      </c>
      <c r="BC90" s="54"/>
      <c r="BD90" s="54"/>
      <c r="BE90" s="54"/>
      <c r="BF90" s="54"/>
      <c r="BG90" s="54"/>
      <c r="BI90" s="54"/>
      <c r="BK90" s="54"/>
      <c r="BL90" s="54"/>
      <c r="BM90" s="54"/>
      <c r="BN90" s="54"/>
      <c r="BO90" s="54"/>
      <c r="BP90" s="54"/>
      <c r="BS90" s="54"/>
      <c r="BT90" s="54"/>
      <c r="BU90" s="54"/>
      <c r="BV90" s="54"/>
      <c r="BW90" s="54"/>
    </row>
    <row r="91" spans="1:75" x14ac:dyDescent="0.2">
      <c r="A91" s="86" t="s">
        <v>780</v>
      </c>
      <c r="B91" s="86"/>
      <c r="C91" s="86" t="s">
        <v>7</v>
      </c>
      <c r="D91" s="86" t="s">
        <v>78</v>
      </c>
      <c r="E91" s="54" t="str">
        <f>_xlfn.CONCAT(Table1[[#This Row],[Geographic Scope]],": ",Table1[[#This Row],[Sub-Type/Focus]])</f>
        <v>Local: Multiple Related Topics</v>
      </c>
      <c r="F91" s="55">
        <f>Table1[[#This Row],[Total Contributed Income]]+Table1[[#This Row],[Total Earned Income]]</f>
        <v>92282</v>
      </c>
      <c r="G91" s="87">
        <f>IFERROR((Table1[[#This Row],[Cont. Income - Foundation]]+Table1[[#This Row],[Cont. Income - Membership]]+Table1[[#This Row],[Cont. Income - Small Donors]]+Table1[[#This Row],[Cont. Income - Med. Donors]]+Table1[[#This Row],[Cont. Income - Major Donors]]+Table1[[#This Row],[Cont. Income - Other]]),0)</f>
        <v>92282</v>
      </c>
      <c r="H91" s="87">
        <f>IFERROR((Table1[[#This Row],[Earned Income - Advertising]]+Table1[[#This Row],[Earned Income - Sponsorships/Underwriting]]+Table1[[#This Row],[Earned Income - Events]]+Table1[[#This Row],[Earned Income - Subscriptions]]+Table1[[#This Row],[Earned Income - Syndication]]+Table1[[#This Row],[Earned Income - Other TOTAL]]),0)</f>
        <v>0</v>
      </c>
      <c r="I91" s="74">
        <v>6000</v>
      </c>
      <c r="J91" s="74">
        <v>0</v>
      </c>
      <c r="K91" s="74">
        <v>12955.5</v>
      </c>
      <c r="L91" s="74">
        <v>27364</v>
      </c>
      <c r="M91" s="74">
        <v>45000</v>
      </c>
      <c r="N91" s="74">
        <v>962.5</v>
      </c>
      <c r="O91" s="79"/>
      <c r="P91" s="74">
        <v>0</v>
      </c>
      <c r="Q91" s="74">
        <v>0</v>
      </c>
      <c r="R91" s="74">
        <v>0</v>
      </c>
      <c r="S91" s="74">
        <v>0</v>
      </c>
      <c r="T91" s="74">
        <v>0</v>
      </c>
      <c r="U91" s="88">
        <f>IFERROR(Table1[[#This Row],[Earned Income - Training Fees]]+Table1[[#This Row],[Earned Income - Fees]]+Table1[[#This Row],[Earned Income - Investments]]+Table1[[#This Row],[Earned Income - Other]],0)</f>
        <v>0</v>
      </c>
      <c r="V91" s="74">
        <v>0</v>
      </c>
      <c r="W91" s="74">
        <v>0</v>
      </c>
      <c r="X91" s="86" t="s">
        <v>617</v>
      </c>
      <c r="Y91" s="74">
        <v>0</v>
      </c>
      <c r="Z91" s="74">
        <v>0</v>
      </c>
      <c r="AA91" s="86" t="s">
        <v>617</v>
      </c>
      <c r="AB91" s="88">
        <f t="shared" si="2"/>
        <v>64936</v>
      </c>
      <c r="AC91" s="74">
        <v>38010</v>
      </c>
      <c r="AD91" s="88">
        <f>SUM(Table1[[#This Row],[Expenses - Revenue Generation]:[Expenses - Admin]])</f>
        <v>26926</v>
      </c>
      <c r="AE91" s="74">
        <v>1192</v>
      </c>
      <c r="AF91" s="74">
        <v>1357</v>
      </c>
      <c r="AG91" s="74">
        <v>24377</v>
      </c>
      <c r="AH91" s="75">
        <f>Table1[[#This Row],[Total FTE - Editorial]]+Table1[[#This Row],[Total FTE - Non-Editorial]]</f>
        <v>0</v>
      </c>
      <c r="AI91" s="75">
        <f>Table1[[#This Row],[FTE Salaried - Editorial]]+Table1[[#This Row],[FTE Contractors - Editorial]]</f>
        <v>0</v>
      </c>
      <c r="AJ91" s="57">
        <v>0</v>
      </c>
      <c r="AK91" s="57">
        <v>0</v>
      </c>
      <c r="AL91" s="60">
        <f>Table1[[#This Row],[FTE Salaried - Non-Editorial]]+Table1[[#This Row],[FTE Contractors - Non-Editorial]]</f>
        <v>0</v>
      </c>
      <c r="AM91" s="57">
        <v>0</v>
      </c>
      <c r="AN91" s="57">
        <v>0</v>
      </c>
      <c r="AO91" s="86" t="s">
        <v>599</v>
      </c>
      <c r="AP91" s="86" t="s">
        <v>617</v>
      </c>
      <c r="AQ91" s="76">
        <v>34632</v>
      </c>
      <c r="AR91" s="76">
        <v>850</v>
      </c>
      <c r="AS91" s="76">
        <v>2000</v>
      </c>
      <c r="AT91" s="76">
        <v>51</v>
      </c>
      <c r="AU91" s="76">
        <v>0</v>
      </c>
      <c r="AV91" s="86" t="s">
        <v>617</v>
      </c>
      <c r="BC91" s="54"/>
      <c r="BD91" s="54"/>
      <c r="BE91" s="54"/>
      <c r="BF91" s="54"/>
      <c r="BG91" s="54"/>
      <c r="BI91" s="54"/>
      <c r="BK91" s="54"/>
      <c r="BL91" s="54"/>
      <c r="BM91" s="54"/>
      <c r="BN91" s="54"/>
      <c r="BO91" s="54"/>
      <c r="BP91" s="54"/>
      <c r="BS91" s="54"/>
      <c r="BT91" s="54"/>
      <c r="BU91" s="54"/>
      <c r="BV91" s="54"/>
      <c r="BW91" s="54"/>
    </row>
    <row r="92" spans="1:75" x14ac:dyDescent="0.2">
      <c r="A92" s="86" t="s">
        <v>781</v>
      </c>
      <c r="B92" s="86"/>
      <c r="C92" s="86" t="s">
        <v>6</v>
      </c>
      <c r="D92" s="86" t="s">
        <v>79</v>
      </c>
      <c r="E92" s="54" t="str">
        <f>_xlfn.CONCAT(Table1[[#This Row],[Geographic Scope]],": ",Table1[[#This Row],[Sub-Type/Focus]])</f>
        <v>National: Single-Topic</v>
      </c>
      <c r="F92" s="55">
        <f>Table1[[#This Row],[Total Contributed Income]]+Table1[[#This Row],[Total Earned Income]]</f>
        <v>16581</v>
      </c>
      <c r="G92" s="87">
        <f>IFERROR((Table1[[#This Row],[Cont. Income - Foundation]]+Table1[[#This Row],[Cont. Income - Membership]]+Table1[[#This Row],[Cont. Income - Small Donors]]+Table1[[#This Row],[Cont. Income - Med. Donors]]+Table1[[#This Row],[Cont. Income - Major Donors]]+Table1[[#This Row],[Cont. Income - Other]]),0)</f>
        <v>10979</v>
      </c>
      <c r="H92" s="87">
        <f>IFERROR((Table1[[#This Row],[Earned Income - Advertising]]+Table1[[#This Row],[Earned Income - Sponsorships/Underwriting]]+Table1[[#This Row],[Earned Income - Events]]+Table1[[#This Row],[Earned Income - Subscriptions]]+Table1[[#This Row],[Earned Income - Syndication]]+Table1[[#This Row],[Earned Income - Other TOTAL]]),0)</f>
        <v>5602</v>
      </c>
      <c r="I92" s="74">
        <v>0</v>
      </c>
      <c r="J92" s="74">
        <v>0</v>
      </c>
      <c r="K92" s="74">
        <v>3979</v>
      </c>
      <c r="L92" s="74">
        <v>7000</v>
      </c>
      <c r="M92" s="74">
        <v>0</v>
      </c>
      <c r="N92" s="74">
        <v>0</v>
      </c>
      <c r="O92" s="79" t="s">
        <v>617</v>
      </c>
      <c r="P92" s="74">
        <v>0</v>
      </c>
      <c r="Q92" s="74">
        <v>5500</v>
      </c>
      <c r="R92" s="74">
        <v>0</v>
      </c>
      <c r="S92" s="74">
        <v>0</v>
      </c>
      <c r="T92" s="74">
        <v>91</v>
      </c>
      <c r="U92" s="88">
        <f>IFERROR(Table1[[#This Row],[Earned Income - Training Fees]]+Table1[[#This Row],[Earned Income - Fees]]+Table1[[#This Row],[Earned Income - Investments]]+Table1[[#This Row],[Earned Income - Other]],0)</f>
        <v>11</v>
      </c>
      <c r="V92" s="74">
        <v>0</v>
      </c>
      <c r="W92" s="74">
        <v>0</v>
      </c>
      <c r="X92" s="86" t="s">
        <v>617</v>
      </c>
      <c r="Y92" s="74">
        <v>0</v>
      </c>
      <c r="Z92" s="74">
        <v>11</v>
      </c>
      <c r="AA92" s="86" t="s">
        <v>782</v>
      </c>
      <c r="AB92" s="88">
        <f t="shared" si="2"/>
        <v>40000</v>
      </c>
      <c r="AC92" s="74">
        <v>40000</v>
      </c>
      <c r="AD92" s="88">
        <f>SUM(Table1[[#This Row],[Expenses - Revenue Generation]:[Expenses - Admin]])</f>
        <v>0</v>
      </c>
      <c r="AE92" s="74">
        <v>0</v>
      </c>
      <c r="AF92" s="74">
        <v>0</v>
      </c>
      <c r="AG92" s="74">
        <v>0</v>
      </c>
      <c r="AH92" s="75">
        <f>Table1[[#This Row],[Total FTE - Editorial]]+Table1[[#This Row],[Total FTE - Non-Editorial]]</f>
        <v>2.2000000000000002</v>
      </c>
      <c r="AI92" s="75">
        <f>Table1[[#This Row],[FTE Salaried - Editorial]]+Table1[[#This Row],[FTE Contractors - Editorial]]</f>
        <v>2</v>
      </c>
      <c r="AJ92" s="57">
        <v>2</v>
      </c>
      <c r="AK92" s="57">
        <v>0</v>
      </c>
      <c r="AL92" s="60">
        <f>Table1[[#This Row],[FTE Salaried - Non-Editorial]]+Table1[[#This Row],[FTE Contractors - Non-Editorial]]</f>
        <v>0.2</v>
      </c>
      <c r="AM92" s="57">
        <v>0</v>
      </c>
      <c r="AN92" s="57">
        <v>0.2</v>
      </c>
      <c r="AO92" s="86" t="s">
        <v>352</v>
      </c>
      <c r="AP92" s="86" t="s">
        <v>783</v>
      </c>
      <c r="AQ92" s="76">
        <v>1500</v>
      </c>
      <c r="AR92" s="76">
        <v>550</v>
      </c>
      <c r="AS92" s="76">
        <v>0</v>
      </c>
      <c r="AT92" s="76">
        <v>0</v>
      </c>
      <c r="AU92" s="76">
        <v>12500</v>
      </c>
      <c r="AV92" s="86" t="s">
        <v>509</v>
      </c>
      <c r="BC92" s="54"/>
      <c r="BD92" s="54"/>
      <c r="BE92" s="54"/>
      <c r="BF92" s="54"/>
      <c r="BG92" s="54"/>
      <c r="BI92" s="54"/>
      <c r="BK92" s="54"/>
      <c r="BL92" s="54"/>
      <c r="BM92" s="54"/>
      <c r="BN92" s="54"/>
      <c r="BO92" s="54"/>
      <c r="BP92" s="54"/>
      <c r="BS92" s="54"/>
      <c r="BT92" s="54"/>
      <c r="BU92" s="54"/>
      <c r="BV92" s="54"/>
      <c r="BW92" s="54"/>
    </row>
    <row r="93" spans="1:75" x14ac:dyDescent="0.2">
      <c r="A93" s="83" t="s">
        <v>784</v>
      </c>
      <c r="B93" s="83"/>
      <c r="C93" s="83" t="s">
        <v>505</v>
      </c>
      <c r="D93" s="83" t="s">
        <v>79</v>
      </c>
      <c r="E93" s="60" t="str">
        <f>_xlfn.CONCAT(Table1[[#This Row],[Geographic Scope]],": ",Table1[[#This Row],[Sub-Type/Focus]])</f>
        <v>Regional: Single-Topic</v>
      </c>
      <c r="F93" s="71">
        <f>Table1[[#This Row],[Total Contributed Income]]+Table1[[#This Row],[Total Earned Income]]</f>
        <v>0</v>
      </c>
      <c r="G93" s="89">
        <f>IFERROR((Table1[[#This Row],[Cont. Income - Foundation]]+Table1[[#This Row],[Cont. Income - Membership]]+Table1[[#This Row],[Cont. Income - Small Donors]]+Table1[[#This Row],[Cont. Income - Med. Donors]]+Table1[[#This Row],[Cont. Income - Major Donors]]+Table1[[#This Row],[Cont. Income - Other]]),0)</f>
        <v>0</v>
      </c>
      <c r="H93" s="89">
        <f>IFERROR((Table1[[#This Row],[Earned Income - Advertising]]+Table1[[#This Row],[Earned Income - Sponsorships/Underwriting]]+Table1[[#This Row],[Earned Income - Events]]+Table1[[#This Row],[Earned Income - Subscriptions]]+Table1[[#This Row],[Earned Income - Syndication]]+Table1[[#This Row],[Earned Income - Other TOTAL]]),0)</f>
        <v>0</v>
      </c>
      <c r="I93" s="74" t="s">
        <v>617</v>
      </c>
      <c r="J93" s="74" t="s">
        <v>617</v>
      </c>
      <c r="K93" s="74" t="s">
        <v>617</v>
      </c>
      <c r="L93" s="74" t="s">
        <v>617</v>
      </c>
      <c r="M93" s="74" t="s">
        <v>617</v>
      </c>
      <c r="N93" s="74" t="s">
        <v>617</v>
      </c>
      <c r="O93" s="79" t="s">
        <v>617</v>
      </c>
      <c r="P93" s="74" t="s">
        <v>617</v>
      </c>
      <c r="Q93" s="74" t="s">
        <v>617</v>
      </c>
      <c r="R93" s="74" t="s">
        <v>617</v>
      </c>
      <c r="S93" s="74" t="s">
        <v>617</v>
      </c>
      <c r="T93" s="74" t="s">
        <v>617</v>
      </c>
      <c r="U93" s="85">
        <f>IFERROR(Table1[[#This Row],[Earned Income - Training Fees]]+Table1[[#This Row],[Earned Income - Fees]]+Table1[[#This Row],[Earned Income - Investments]]+Table1[[#This Row],[Earned Income - Other]],0)</f>
        <v>0</v>
      </c>
      <c r="V93" s="74" t="s">
        <v>617</v>
      </c>
      <c r="W93" s="74" t="s">
        <v>617</v>
      </c>
      <c r="X93" s="83" t="s">
        <v>617</v>
      </c>
      <c r="Y93" s="74" t="s">
        <v>617</v>
      </c>
      <c r="Z93" s="74" t="s">
        <v>617</v>
      </c>
      <c r="AA93" s="83" t="s">
        <v>617</v>
      </c>
      <c r="AB93" s="85">
        <f t="shared" si="2"/>
        <v>0</v>
      </c>
      <c r="AC93" s="74" t="s">
        <v>617</v>
      </c>
      <c r="AD93" s="85">
        <f>SUM(Table1[[#This Row],[Expenses - Revenue Generation]:[Expenses - Admin]])</f>
        <v>0</v>
      </c>
      <c r="AE93" s="74" t="s">
        <v>617</v>
      </c>
      <c r="AF93" s="74" t="s">
        <v>617</v>
      </c>
      <c r="AG93" s="74" t="s">
        <v>617</v>
      </c>
      <c r="AH93" s="75">
        <f>Table1[[#This Row],[Total FTE - Editorial]]+Table1[[#This Row],[Total FTE - Non-Editorial]]</f>
        <v>1.5</v>
      </c>
      <c r="AI93" s="75">
        <f>Table1[[#This Row],[FTE Salaried - Editorial]]+Table1[[#This Row],[FTE Contractors - Editorial]]</f>
        <v>1</v>
      </c>
      <c r="AJ93" s="57">
        <v>1</v>
      </c>
      <c r="AK93" s="57">
        <v>0</v>
      </c>
      <c r="AL93" s="60">
        <f>Table1[[#This Row],[FTE Salaried - Non-Editorial]]+Table1[[#This Row],[FTE Contractors - Non-Editorial]]</f>
        <v>0.5</v>
      </c>
      <c r="AM93" s="57">
        <v>0</v>
      </c>
      <c r="AN93" s="57">
        <v>0.5</v>
      </c>
      <c r="AO93" s="83"/>
      <c r="AP93" s="83" t="s">
        <v>617</v>
      </c>
      <c r="AQ93" s="76" t="s">
        <v>617</v>
      </c>
      <c r="AR93" s="76" t="s">
        <v>617</v>
      </c>
      <c r="AS93" s="76" t="s">
        <v>617</v>
      </c>
      <c r="AT93" s="76" t="s">
        <v>617</v>
      </c>
      <c r="AU93" s="76" t="s">
        <v>617</v>
      </c>
      <c r="AV93" s="83" t="s">
        <v>617</v>
      </c>
      <c r="BC93" s="54"/>
      <c r="BD93" s="54"/>
      <c r="BE93" s="54"/>
      <c r="BF93" s="54"/>
      <c r="BG93" s="54"/>
      <c r="BI93" s="54"/>
      <c r="BK93" s="54"/>
      <c r="BL93" s="54"/>
      <c r="BM93" s="54"/>
      <c r="BN93" s="54"/>
      <c r="BO93" s="54"/>
      <c r="BP93" s="54"/>
      <c r="BS93" s="54"/>
      <c r="BT93" s="54"/>
      <c r="BU93" s="54"/>
      <c r="BV93" s="54"/>
      <c r="BW93" s="54"/>
    </row>
    <row r="94" spans="1:75" x14ac:dyDescent="0.2">
      <c r="A94" s="86" t="s">
        <v>785</v>
      </c>
      <c r="B94" s="86"/>
      <c r="C94" s="86" t="s">
        <v>83</v>
      </c>
      <c r="D94" s="83" t="s">
        <v>78</v>
      </c>
      <c r="E94" s="54" t="str">
        <f>_xlfn.CONCAT(Table1[[#This Row],[Geographic Scope]],": ",Table1[[#This Row],[Sub-Type/Focus]])</f>
        <v>State: Multiple Related Topics</v>
      </c>
      <c r="F94" s="55">
        <f>Table1[[#This Row],[Total Contributed Income]]+Table1[[#This Row],[Total Earned Income]]</f>
        <v>138000</v>
      </c>
      <c r="G94" s="87">
        <f>IFERROR((Table1[[#This Row],[Cont. Income - Foundation]]+Table1[[#This Row],[Cont. Income - Membership]]+Table1[[#This Row],[Cont. Income - Small Donors]]+Table1[[#This Row],[Cont. Income - Med. Donors]]+Table1[[#This Row],[Cont. Income - Major Donors]]+Table1[[#This Row],[Cont. Income - Other]]),0)</f>
        <v>135000</v>
      </c>
      <c r="H94" s="87">
        <f>IFERROR((Table1[[#This Row],[Earned Income - Advertising]]+Table1[[#This Row],[Earned Income - Sponsorships/Underwriting]]+Table1[[#This Row],[Earned Income - Events]]+Table1[[#This Row],[Earned Income - Subscriptions]]+Table1[[#This Row],[Earned Income - Syndication]]+Table1[[#This Row],[Earned Income - Other TOTAL]]),0)</f>
        <v>3000</v>
      </c>
      <c r="I94" s="74">
        <v>135000</v>
      </c>
      <c r="J94" s="74">
        <v>0</v>
      </c>
      <c r="K94" s="74">
        <v>0</v>
      </c>
      <c r="L94" s="74">
        <v>0</v>
      </c>
      <c r="M94" s="74">
        <v>0</v>
      </c>
      <c r="N94" s="74">
        <v>0</v>
      </c>
      <c r="O94" s="79" t="s">
        <v>617</v>
      </c>
      <c r="P94" s="74">
        <v>0</v>
      </c>
      <c r="Q94" s="74">
        <v>0</v>
      </c>
      <c r="R94" s="74">
        <v>0</v>
      </c>
      <c r="S94" s="74">
        <v>0</v>
      </c>
      <c r="T94" s="74">
        <v>0</v>
      </c>
      <c r="U94" s="88">
        <f>IFERROR(Table1[[#This Row],[Earned Income - Training Fees]]+Table1[[#This Row],[Earned Income - Fees]]+Table1[[#This Row],[Earned Income - Investments]]+Table1[[#This Row],[Earned Income - Other]],0)</f>
        <v>3000</v>
      </c>
      <c r="V94" s="74">
        <v>3000</v>
      </c>
      <c r="W94" s="74">
        <v>0</v>
      </c>
      <c r="X94" s="86" t="s">
        <v>617</v>
      </c>
      <c r="Y94" s="74">
        <v>0</v>
      </c>
      <c r="Z94" s="74">
        <v>0</v>
      </c>
      <c r="AA94" s="86" t="s">
        <v>617</v>
      </c>
      <c r="AB94" s="88">
        <f t="shared" si="2"/>
        <v>130000</v>
      </c>
      <c r="AC94" s="74">
        <v>80000</v>
      </c>
      <c r="AD94" s="88">
        <f>SUM(Table1[[#This Row],[Expenses - Revenue Generation]:[Expenses - Admin]])</f>
        <v>50000</v>
      </c>
      <c r="AE94" s="74">
        <v>0</v>
      </c>
      <c r="AF94" s="74">
        <v>10000</v>
      </c>
      <c r="AG94" s="74">
        <v>40000</v>
      </c>
      <c r="AH94" s="75">
        <f>Table1[[#This Row],[Total FTE - Editorial]]+Table1[[#This Row],[Total FTE - Non-Editorial]]</f>
        <v>1</v>
      </c>
      <c r="AI94" s="75">
        <f>Table1[[#This Row],[FTE Salaried - Editorial]]+Table1[[#This Row],[FTE Contractors - Editorial]]</f>
        <v>1</v>
      </c>
      <c r="AJ94" s="57">
        <v>1</v>
      </c>
      <c r="AK94" s="57">
        <v>0</v>
      </c>
      <c r="AL94" s="60">
        <f>Table1[[#This Row],[FTE Salaried - Non-Editorial]]+Table1[[#This Row],[FTE Contractors - Non-Editorial]]</f>
        <v>0</v>
      </c>
      <c r="AM94" s="57">
        <v>0</v>
      </c>
      <c r="AN94" s="57">
        <v>0</v>
      </c>
      <c r="AO94" s="86" t="s">
        <v>351</v>
      </c>
      <c r="AP94" s="86" t="s">
        <v>617</v>
      </c>
      <c r="AQ94" s="76">
        <v>10000</v>
      </c>
      <c r="AR94" s="76">
        <v>305</v>
      </c>
      <c r="AS94" s="76">
        <v>0</v>
      </c>
      <c r="AT94" s="76">
        <v>0</v>
      </c>
      <c r="AU94" s="76">
        <v>0</v>
      </c>
      <c r="AV94" s="86" t="s">
        <v>617</v>
      </c>
      <c r="BC94" s="54"/>
      <c r="BD94" s="54"/>
      <c r="BE94" s="54"/>
      <c r="BF94" s="54"/>
      <c r="BG94" s="54"/>
      <c r="BI94" s="54"/>
      <c r="BK94" s="54"/>
      <c r="BL94" s="54"/>
      <c r="BM94" s="54"/>
      <c r="BN94" s="54"/>
      <c r="BO94" s="54"/>
      <c r="BP94" s="54"/>
      <c r="BS94" s="54"/>
      <c r="BT94" s="54"/>
      <c r="BU94" s="54"/>
      <c r="BV94" s="54"/>
      <c r="BW94" s="54"/>
    </row>
    <row r="95" spans="1:75" x14ac:dyDescent="0.2">
      <c r="A95" s="86" t="s">
        <v>786</v>
      </c>
      <c r="B95" s="86"/>
      <c r="C95" s="86" t="s">
        <v>6</v>
      </c>
      <c r="D95" s="86" t="s">
        <v>79</v>
      </c>
      <c r="E95" s="54" t="str">
        <f>_xlfn.CONCAT(Table1[[#This Row],[Geographic Scope]],": ",Table1[[#This Row],[Sub-Type/Focus]])</f>
        <v>National: Single-Topic</v>
      </c>
      <c r="F95" s="55">
        <f>Table1[[#This Row],[Total Contributed Income]]+Table1[[#This Row],[Total Earned Income]]</f>
        <v>0</v>
      </c>
      <c r="G95" s="87">
        <f>IFERROR((Table1[[#This Row],[Cont. Income - Foundation]]+Table1[[#This Row],[Cont. Income - Membership]]+Table1[[#This Row],[Cont. Income - Small Donors]]+Table1[[#This Row],[Cont. Income - Med. Donors]]+Table1[[#This Row],[Cont. Income - Major Donors]]+Table1[[#This Row],[Cont. Income - Other]]),0)</f>
        <v>0</v>
      </c>
      <c r="H95" s="87">
        <f>IFERROR((Table1[[#This Row],[Earned Income - Advertising]]+Table1[[#This Row],[Earned Income - Sponsorships/Underwriting]]+Table1[[#This Row],[Earned Income - Events]]+Table1[[#This Row],[Earned Income - Subscriptions]]+Table1[[#This Row],[Earned Income - Syndication]]+Table1[[#This Row],[Earned Income - Other TOTAL]]),0)</f>
        <v>0</v>
      </c>
      <c r="I95" s="74" t="s">
        <v>617</v>
      </c>
      <c r="J95" s="74" t="s">
        <v>617</v>
      </c>
      <c r="K95" s="74" t="s">
        <v>617</v>
      </c>
      <c r="L95" s="74" t="s">
        <v>617</v>
      </c>
      <c r="M95" s="74" t="s">
        <v>617</v>
      </c>
      <c r="N95" s="74" t="s">
        <v>617</v>
      </c>
      <c r="O95" s="79" t="s">
        <v>617</v>
      </c>
      <c r="P95" s="74" t="s">
        <v>617</v>
      </c>
      <c r="Q95" s="74" t="s">
        <v>617</v>
      </c>
      <c r="R95" s="74" t="s">
        <v>617</v>
      </c>
      <c r="S95" s="74" t="s">
        <v>617</v>
      </c>
      <c r="T95" s="74" t="s">
        <v>617</v>
      </c>
      <c r="U95" s="88">
        <f>IFERROR(Table1[[#This Row],[Earned Income - Training Fees]]+Table1[[#This Row],[Earned Income - Fees]]+Table1[[#This Row],[Earned Income - Investments]]+Table1[[#This Row],[Earned Income - Other]],0)</f>
        <v>0</v>
      </c>
      <c r="V95" s="74" t="s">
        <v>617</v>
      </c>
      <c r="W95" s="74" t="s">
        <v>617</v>
      </c>
      <c r="X95" s="86" t="s">
        <v>617</v>
      </c>
      <c r="Y95" s="74" t="s">
        <v>617</v>
      </c>
      <c r="Z95" s="74" t="s">
        <v>617</v>
      </c>
      <c r="AA95" s="86" t="s">
        <v>617</v>
      </c>
      <c r="AB95" s="88">
        <f t="shared" si="2"/>
        <v>0</v>
      </c>
      <c r="AC95" s="74" t="s">
        <v>617</v>
      </c>
      <c r="AD95" s="88">
        <f>SUM(Table1[[#This Row],[Expenses - Revenue Generation]:[Expenses - Admin]])</f>
        <v>0</v>
      </c>
      <c r="AE95" s="74" t="s">
        <v>617</v>
      </c>
      <c r="AF95" s="74" t="s">
        <v>617</v>
      </c>
      <c r="AG95" s="74" t="s">
        <v>617</v>
      </c>
      <c r="AH95" s="75">
        <f>Table1[[#This Row],[Total FTE - Editorial]]+Table1[[#This Row],[Total FTE - Non-Editorial]]</f>
        <v>0</v>
      </c>
      <c r="AI95" s="75">
        <f>Table1[[#This Row],[FTE Salaried - Editorial]]+Table1[[#This Row],[FTE Contractors - Editorial]]</f>
        <v>0</v>
      </c>
      <c r="AJ95" s="57">
        <v>0</v>
      </c>
      <c r="AK95" s="57">
        <v>0</v>
      </c>
      <c r="AL95" s="60">
        <f>Table1[[#This Row],[FTE Salaried - Non-Editorial]]+Table1[[#This Row],[FTE Contractors - Non-Editorial]]</f>
        <v>0</v>
      </c>
      <c r="AM95" s="57">
        <v>0</v>
      </c>
      <c r="AN95" s="57">
        <v>0</v>
      </c>
      <c r="AO95" s="86" t="s">
        <v>351</v>
      </c>
      <c r="AP95" s="86" t="s">
        <v>617</v>
      </c>
      <c r="AQ95" s="76">
        <v>1500</v>
      </c>
      <c r="AR95" s="76">
        <v>5000</v>
      </c>
      <c r="AS95" s="76">
        <v>0</v>
      </c>
      <c r="AT95" s="76">
        <v>0</v>
      </c>
      <c r="AU95" s="76">
        <v>0</v>
      </c>
      <c r="AV95" s="86" t="s">
        <v>617</v>
      </c>
      <c r="BC95" s="54"/>
      <c r="BD95" s="54"/>
      <c r="BE95" s="54"/>
      <c r="BF95" s="54"/>
      <c r="BG95" s="54"/>
      <c r="BI95" s="54"/>
      <c r="BK95" s="54"/>
      <c r="BL95" s="54"/>
      <c r="BM95" s="54"/>
      <c r="BN95" s="54"/>
      <c r="BO95" s="54"/>
      <c r="BP95" s="54"/>
      <c r="BS95" s="54"/>
      <c r="BT95" s="54"/>
      <c r="BU95" s="54"/>
      <c r="BV95" s="54"/>
      <c r="BW95" s="54"/>
    </row>
    <row r="96" spans="1:75" x14ac:dyDescent="0.2">
      <c r="A96" s="86" t="s">
        <v>787</v>
      </c>
      <c r="B96" s="86"/>
      <c r="C96" s="86" t="s">
        <v>7</v>
      </c>
      <c r="D96" s="86" t="s">
        <v>77</v>
      </c>
      <c r="E96" s="54" t="str">
        <f>_xlfn.CONCAT(Table1[[#This Row],[Geographic Scope]],": ",Table1[[#This Row],[Sub-Type/Focus]])</f>
        <v>Local: General</v>
      </c>
      <c r="F96" s="55">
        <f>Table1[[#This Row],[Total Contributed Income]]+Table1[[#This Row],[Total Earned Income]]</f>
        <v>1227248</v>
      </c>
      <c r="G96" s="87">
        <f>IFERROR((Table1[[#This Row],[Cont. Income - Foundation]]+Table1[[#This Row],[Cont. Income - Membership]]+Table1[[#This Row],[Cont. Income - Small Donors]]+Table1[[#This Row],[Cont. Income - Med. Donors]]+Table1[[#This Row],[Cont. Income - Major Donors]]+Table1[[#This Row],[Cont. Income - Other]]),0)</f>
        <v>327280</v>
      </c>
      <c r="H96" s="87">
        <f>IFERROR((Table1[[#This Row],[Earned Income - Advertising]]+Table1[[#This Row],[Earned Income - Sponsorships/Underwriting]]+Table1[[#This Row],[Earned Income - Events]]+Table1[[#This Row],[Earned Income - Subscriptions]]+Table1[[#This Row],[Earned Income - Syndication]]+Table1[[#This Row],[Earned Income - Other TOTAL]]),0)</f>
        <v>899968</v>
      </c>
      <c r="I96" s="74">
        <v>100000</v>
      </c>
      <c r="J96" s="74">
        <v>227280</v>
      </c>
      <c r="K96" s="74">
        <v>0</v>
      </c>
      <c r="L96" s="74">
        <v>0</v>
      </c>
      <c r="M96" s="74">
        <v>0</v>
      </c>
      <c r="N96" s="74">
        <v>0</v>
      </c>
      <c r="O96" s="79" t="s">
        <v>617</v>
      </c>
      <c r="P96" s="74">
        <v>391968</v>
      </c>
      <c r="Q96" s="74">
        <v>500000</v>
      </c>
      <c r="R96" s="74">
        <v>8000</v>
      </c>
      <c r="S96" s="74">
        <v>0</v>
      </c>
      <c r="T96" s="74">
        <v>0</v>
      </c>
      <c r="U96" s="88">
        <f>IFERROR(Table1[[#This Row],[Earned Income - Training Fees]]+Table1[[#This Row],[Earned Income - Fees]]+Table1[[#This Row],[Earned Income - Investments]]+Table1[[#This Row],[Earned Income - Other]],0)</f>
        <v>0</v>
      </c>
      <c r="V96" s="74">
        <v>0</v>
      </c>
      <c r="W96" s="74">
        <v>0</v>
      </c>
      <c r="X96" s="86" t="s">
        <v>617</v>
      </c>
      <c r="Y96" s="74">
        <v>0</v>
      </c>
      <c r="Z96" s="74">
        <v>0</v>
      </c>
      <c r="AA96" s="86" t="s">
        <v>617</v>
      </c>
      <c r="AB96" s="88">
        <f t="shared" si="2"/>
        <v>937000</v>
      </c>
      <c r="AC96" s="74">
        <v>672000</v>
      </c>
      <c r="AD96" s="88">
        <f>SUM(Table1[[#This Row],[Expenses - Revenue Generation]:[Expenses - Admin]])</f>
        <v>265000</v>
      </c>
      <c r="AE96" s="74">
        <v>140000</v>
      </c>
      <c r="AF96" s="74">
        <v>0</v>
      </c>
      <c r="AG96" s="74">
        <v>125000</v>
      </c>
      <c r="AH96" s="75">
        <f>Table1[[#This Row],[Total FTE - Editorial]]+Table1[[#This Row],[Total FTE - Non-Editorial]]</f>
        <v>8</v>
      </c>
      <c r="AI96" s="75">
        <f>Table1[[#This Row],[FTE Salaried - Editorial]]+Table1[[#This Row],[FTE Contractors - Editorial]]</f>
        <v>6</v>
      </c>
      <c r="AJ96" s="57">
        <v>6</v>
      </c>
      <c r="AK96" s="57">
        <v>0</v>
      </c>
      <c r="AL96" s="60">
        <f>Table1[[#This Row],[FTE Salaried - Non-Editorial]]+Table1[[#This Row],[FTE Contractors - Non-Editorial]]</f>
        <v>2</v>
      </c>
      <c r="AM96" s="57">
        <v>2</v>
      </c>
      <c r="AN96" s="57">
        <v>0</v>
      </c>
      <c r="AO96" s="86" t="s">
        <v>351</v>
      </c>
      <c r="AP96" s="86" t="s">
        <v>617</v>
      </c>
      <c r="AQ96" s="76">
        <v>350000</v>
      </c>
      <c r="AR96" s="76">
        <v>21000</v>
      </c>
      <c r="AS96" s="76">
        <v>0</v>
      </c>
      <c r="AT96" s="76">
        <v>0</v>
      </c>
      <c r="AU96" s="76">
        <v>0</v>
      </c>
      <c r="AV96" s="86" t="s">
        <v>617</v>
      </c>
      <c r="BC96" s="54"/>
      <c r="BD96" s="54"/>
      <c r="BE96" s="54"/>
      <c r="BF96" s="54"/>
      <c r="BG96" s="54"/>
      <c r="BI96" s="54"/>
      <c r="BK96" s="54"/>
      <c r="BL96" s="54"/>
      <c r="BM96" s="54"/>
      <c r="BN96" s="54"/>
      <c r="BO96" s="54"/>
      <c r="BP96" s="54"/>
      <c r="BS96" s="54"/>
      <c r="BT96" s="54"/>
      <c r="BU96" s="54"/>
      <c r="BV96" s="54"/>
      <c r="BW96" s="54"/>
    </row>
    <row r="97" spans="1:75" x14ac:dyDescent="0.2">
      <c r="A97" s="86" t="s">
        <v>788</v>
      </c>
      <c r="B97" s="86"/>
      <c r="C97" s="86" t="s">
        <v>7</v>
      </c>
      <c r="D97" s="86" t="s">
        <v>77</v>
      </c>
      <c r="E97" s="54" t="str">
        <f>_xlfn.CONCAT(Table1[[#This Row],[Geographic Scope]],": ",Table1[[#This Row],[Sub-Type/Focus]])</f>
        <v>Local: General</v>
      </c>
      <c r="F97" s="55">
        <f>Table1[[#This Row],[Total Contributed Income]]+Table1[[#This Row],[Total Earned Income]]</f>
        <v>135817</v>
      </c>
      <c r="G97" s="87">
        <f>IFERROR((Table1[[#This Row],[Cont. Income - Foundation]]+Table1[[#This Row],[Cont. Income - Membership]]+Table1[[#This Row],[Cont. Income - Small Donors]]+Table1[[#This Row],[Cont. Income - Med. Donors]]+Table1[[#This Row],[Cont. Income - Major Donors]]+Table1[[#This Row],[Cont. Income - Other]]),0)</f>
        <v>38498</v>
      </c>
      <c r="H97" s="87">
        <f>IFERROR((Table1[[#This Row],[Earned Income - Advertising]]+Table1[[#This Row],[Earned Income - Sponsorships/Underwriting]]+Table1[[#This Row],[Earned Income - Events]]+Table1[[#This Row],[Earned Income - Subscriptions]]+Table1[[#This Row],[Earned Income - Syndication]]+Table1[[#This Row],[Earned Income - Other TOTAL]]),0)</f>
        <v>97319</v>
      </c>
      <c r="I97" s="74">
        <v>7000</v>
      </c>
      <c r="J97" s="74">
        <v>0</v>
      </c>
      <c r="K97" s="74">
        <v>27748</v>
      </c>
      <c r="L97" s="74">
        <v>3750</v>
      </c>
      <c r="M97" s="74">
        <v>0</v>
      </c>
      <c r="N97" s="74">
        <v>0</v>
      </c>
      <c r="O97" s="79" t="s">
        <v>617</v>
      </c>
      <c r="P97" s="74">
        <v>94823</v>
      </c>
      <c r="Q97" s="74">
        <v>0</v>
      </c>
      <c r="R97" s="74">
        <v>0</v>
      </c>
      <c r="S97" s="74">
        <v>2496</v>
      </c>
      <c r="T97" s="74">
        <v>0</v>
      </c>
      <c r="U97" s="88">
        <f>IFERROR(Table1[[#This Row],[Earned Income - Training Fees]]+Table1[[#This Row],[Earned Income - Fees]]+Table1[[#This Row],[Earned Income - Investments]]+Table1[[#This Row],[Earned Income - Other]],0)</f>
        <v>0</v>
      </c>
      <c r="V97" s="74">
        <v>0</v>
      </c>
      <c r="W97" s="74">
        <v>0</v>
      </c>
      <c r="X97" s="86" t="s">
        <v>617</v>
      </c>
      <c r="Y97" s="74">
        <v>0</v>
      </c>
      <c r="Z97" s="74">
        <v>0</v>
      </c>
      <c r="AA97" s="86" t="s">
        <v>617</v>
      </c>
      <c r="AB97" s="88">
        <f t="shared" si="2"/>
        <v>71000</v>
      </c>
      <c r="AC97" s="74">
        <v>40000</v>
      </c>
      <c r="AD97" s="88">
        <f>SUM(Table1[[#This Row],[Expenses - Revenue Generation]:[Expenses - Admin]])</f>
        <v>31000</v>
      </c>
      <c r="AE97" s="74">
        <v>18000</v>
      </c>
      <c r="AF97" s="74">
        <v>3000</v>
      </c>
      <c r="AG97" s="74">
        <v>10000</v>
      </c>
      <c r="AH97" s="75">
        <f>Table1[[#This Row],[Total FTE - Editorial]]+Table1[[#This Row],[Total FTE - Non-Editorial]]</f>
        <v>2.75</v>
      </c>
      <c r="AI97" s="75">
        <f>Table1[[#This Row],[FTE Salaried - Editorial]]+Table1[[#This Row],[FTE Contractors - Editorial]]</f>
        <v>1.5</v>
      </c>
      <c r="AJ97" s="57">
        <v>0.5</v>
      </c>
      <c r="AK97" s="57">
        <v>1</v>
      </c>
      <c r="AL97" s="60">
        <f>Table1[[#This Row],[FTE Salaried - Non-Editorial]]+Table1[[#This Row],[FTE Contractors - Non-Editorial]]</f>
        <v>1.25</v>
      </c>
      <c r="AM97" s="57">
        <v>0.5</v>
      </c>
      <c r="AN97" s="57">
        <v>0.75</v>
      </c>
      <c r="AO97" s="86" t="s">
        <v>599</v>
      </c>
      <c r="AP97" s="86" t="s">
        <v>617</v>
      </c>
      <c r="AQ97" s="76">
        <v>14000</v>
      </c>
      <c r="AR97" s="76">
        <v>130</v>
      </c>
      <c r="AS97" s="76">
        <v>120000</v>
      </c>
      <c r="AT97" s="76">
        <v>12</v>
      </c>
      <c r="AU97" s="76">
        <v>0</v>
      </c>
      <c r="AV97" s="86" t="s">
        <v>617</v>
      </c>
      <c r="BC97" s="54"/>
      <c r="BD97" s="54"/>
      <c r="BE97" s="54"/>
      <c r="BF97" s="54"/>
      <c r="BG97" s="54"/>
      <c r="BI97" s="54"/>
      <c r="BK97" s="54"/>
      <c r="BL97" s="54"/>
      <c r="BM97" s="54"/>
      <c r="BN97" s="54"/>
      <c r="BO97" s="54"/>
      <c r="BP97" s="54"/>
      <c r="BS97" s="54"/>
      <c r="BT97" s="54"/>
      <c r="BU97" s="54"/>
      <c r="BV97" s="54"/>
      <c r="BW97" s="54"/>
    </row>
    <row r="98" spans="1:75" x14ac:dyDescent="0.2">
      <c r="A98" s="86" t="s">
        <v>789</v>
      </c>
      <c r="B98" s="86"/>
      <c r="C98" s="86" t="s">
        <v>6</v>
      </c>
      <c r="D98" s="86" t="s">
        <v>79</v>
      </c>
      <c r="E98" s="54" t="str">
        <f>_xlfn.CONCAT(Table1[[#This Row],[Geographic Scope]],": ",Table1[[#This Row],[Sub-Type/Focus]])</f>
        <v>National: Single-Topic</v>
      </c>
      <c r="F98" s="55">
        <f>Table1[[#This Row],[Total Contributed Income]]+Table1[[#This Row],[Total Earned Income]]</f>
        <v>0</v>
      </c>
      <c r="G98" s="87">
        <f>IFERROR((Table1[[#This Row],[Cont. Income - Foundation]]+Table1[[#This Row],[Cont. Income - Membership]]+Table1[[#This Row],[Cont. Income - Small Donors]]+Table1[[#This Row],[Cont. Income - Med. Donors]]+Table1[[#This Row],[Cont. Income - Major Donors]]+Table1[[#This Row],[Cont. Income - Other]]),0)</f>
        <v>0</v>
      </c>
      <c r="H98" s="87">
        <f>IFERROR((Table1[[#This Row],[Earned Income - Advertising]]+Table1[[#This Row],[Earned Income - Sponsorships/Underwriting]]+Table1[[#This Row],[Earned Income - Events]]+Table1[[#This Row],[Earned Income - Subscriptions]]+Table1[[#This Row],[Earned Income - Syndication]]+Table1[[#This Row],[Earned Income - Other TOTAL]]),0)</f>
        <v>0</v>
      </c>
      <c r="I98" s="74" t="s">
        <v>617</v>
      </c>
      <c r="J98" s="74" t="s">
        <v>617</v>
      </c>
      <c r="K98" s="74" t="s">
        <v>617</v>
      </c>
      <c r="L98" s="74" t="s">
        <v>617</v>
      </c>
      <c r="M98" s="74" t="s">
        <v>617</v>
      </c>
      <c r="N98" s="74" t="s">
        <v>617</v>
      </c>
      <c r="O98" s="79" t="s">
        <v>617</v>
      </c>
      <c r="P98" s="74" t="s">
        <v>617</v>
      </c>
      <c r="Q98" s="74" t="s">
        <v>617</v>
      </c>
      <c r="R98" s="74" t="s">
        <v>617</v>
      </c>
      <c r="S98" s="74" t="s">
        <v>617</v>
      </c>
      <c r="T98" s="74" t="s">
        <v>617</v>
      </c>
      <c r="U98" s="88">
        <f>IFERROR(Table1[[#This Row],[Earned Income - Training Fees]]+Table1[[#This Row],[Earned Income - Fees]]+Table1[[#This Row],[Earned Income - Investments]]+Table1[[#This Row],[Earned Income - Other]],0)</f>
        <v>0</v>
      </c>
      <c r="V98" s="74" t="s">
        <v>617</v>
      </c>
      <c r="W98" s="74" t="s">
        <v>617</v>
      </c>
      <c r="X98" s="86" t="s">
        <v>617</v>
      </c>
      <c r="Y98" s="74" t="s">
        <v>617</v>
      </c>
      <c r="Z98" s="74" t="s">
        <v>617</v>
      </c>
      <c r="AA98" s="86" t="s">
        <v>617</v>
      </c>
      <c r="AB98" s="88">
        <f t="shared" ref="AB98:AB109" si="3">SUM(AC98:AD98)</f>
        <v>0</v>
      </c>
      <c r="AC98" s="74" t="s">
        <v>617</v>
      </c>
      <c r="AD98" s="88">
        <f>SUM(Table1[[#This Row],[Expenses - Revenue Generation]:[Expenses - Admin]])</f>
        <v>0</v>
      </c>
      <c r="AE98" s="74" t="s">
        <v>617</v>
      </c>
      <c r="AF98" s="74" t="s">
        <v>617</v>
      </c>
      <c r="AG98" s="74" t="s">
        <v>617</v>
      </c>
      <c r="AH98" s="75">
        <f>Table1[[#This Row],[Total FTE - Editorial]]+Table1[[#This Row],[Total FTE - Non-Editorial]]</f>
        <v>2</v>
      </c>
      <c r="AI98" s="75">
        <f>Table1[[#This Row],[FTE Salaried - Editorial]]+Table1[[#This Row],[FTE Contractors - Editorial]]</f>
        <v>1</v>
      </c>
      <c r="AJ98" s="57">
        <v>1</v>
      </c>
      <c r="AK98" s="57">
        <v>0</v>
      </c>
      <c r="AL98" s="60">
        <f>Table1[[#This Row],[FTE Salaried - Non-Editorial]]+Table1[[#This Row],[FTE Contractors - Non-Editorial]]</f>
        <v>1</v>
      </c>
      <c r="AM98" s="57">
        <v>0</v>
      </c>
      <c r="AN98" s="57">
        <v>1</v>
      </c>
      <c r="AO98" s="86" t="s">
        <v>351</v>
      </c>
      <c r="AP98" s="86" t="s">
        <v>617</v>
      </c>
      <c r="AQ98" s="76">
        <v>0</v>
      </c>
      <c r="AR98" s="76">
        <v>7865</v>
      </c>
      <c r="AS98" s="76">
        <v>0</v>
      </c>
      <c r="AT98" s="76">
        <v>0</v>
      </c>
      <c r="AU98" s="76">
        <v>0</v>
      </c>
      <c r="AV98" s="86" t="s">
        <v>617</v>
      </c>
      <c r="BC98" s="54"/>
      <c r="BD98" s="54"/>
      <c r="BE98" s="54"/>
      <c r="BF98" s="54"/>
      <c r="BG98" s="54"/>
      <c r="BI98" s="54"/>
      <c r="BK98" s="54"/>
      <c r="BL98" s="54"/>
      <c r="BM98" s="54"/>
      <c r="BN98" s="54"/>
      <c r="BO98" s="54"/>
      <c r="BP98" s="54"/>
      <c r="BS98" s="54"/>
      <c r="BT98" s="54"/>
      <c r="BU98" s="54"/>
      <c r="BV98" s="54"/>
      <c r="BW98" s="54"/>
    </row>
    <row r="99" spans="1:75" x14ac:dyDescent="0.2">
      <c r="A99" s="86" t="s">
        <v>790</v>
      </c>
      <c r="B99" s="86"/>
      <c r="C99" s="86" t="s">
        <v>83</v>
      </c>
      <c r="D99" s="86" t="s">
        <v>78</v>
      </c>
      <c r="E99" s="54" t="str">
        <f>_xlfn.CONCAT(Table1[[#This Row],[Geographic Scope]],": ",Table1[[#This Row],[Sub-Type/Focus]])</f>
        <v>State: Multiple Related Topics</v>
      </c>
      <c r="F99" s="55">
        <f>Table1[[#This Row],[Total Contributed Income]]+Table1[[#This Row],[Total Earned Income]]</f>
        <v>0</v>
      </c>
      <c r="G99" s="87">
        <f>IFERROR((Table1[[#This Row],[Cont. Income - Foundation]]+Table1[[#This Row],[Cont. Income - Membership]]+Table1[[#This Row],[Cont. Income - Small Donors]]+Table1[[#This Row],[Cont. Income - Med. Donors]]+Table1[[#This Row],[Cont. Income - Major Donors]]+Table1[[#This Row],[Cont. Income - Other]]),0)</f>
        <v>0</v>
      </c>
      <c r="H99" s="87">
        <f>IFERROR((Table1[[#This Row],[Earned Income - Advertising]]+Table1[[#This Row],[Earned Income - Sponsorships/Underwriting]]+Table1[[#This Row],[Earned Income - Events]]+Table1[[#This Row],[Earned Income - Subscriptions]]+Table1[[#This Row],[Earned Income - Syndication]]+Table1[[#This Row],[Earned Income - Other TOTAL]]),0)</f>
        <v>0</v>
      </c>
      <c r="I99" s="74" t="s">
        <v>617</v>
      </c>
      <c r="J99" s="74" t="s">
        <v>617</v>
      </c>
      <c r="K99" s="74" t="s">
        <v>617</v>
      </c>
      <c r="L99" s="74" t="s">
        <v>617</v>
      </c>
      <c r="M99" s="74" t="s">
        <v>617</v>
      </c>
      <c r="N99" s="74" t="s">
        <v>617</v>
      </c>
      <c r="O99" s="79" t="s">
        <v>617</v>
      </c>
      <c r="P99" s="74" t="s">
        <v>617</v>
      </c>
      <c r="Q99" s="74" t="s">
        <v>617</v>
      </c>
      <c r="R99" s="74" t="s">
        <v>617</v>
      </c>
      <c r="S99" s="74" t="s">
        <v>617</v>
      </c>
      <c r="T99" s="74" t="s">
        <v>617</v>
      </c>
      <c r="U99" s="88">
        <f>IFERROR(Table1[[#This Row],[Earned Income - Training Fees]]+Table1[[#This Row],[Earned Income - Fees]]+Table1[[#This Row],[Earned Income - Investments]]+Table1[[#This Row],[Earned Income - Other]],0)</f>
        <v>0</v>
      </c>
      <c r="V99" s="74" t="s">
        <v>617</v>
      </c>
      <c r="W99" s="74" t="s">
        <v>617</v>
      </c>
      <c r="X99" s="86" t="s">
        <v>617</v>
      </c>
      <c r="Y99" s="74" t="s">
        <v>617</v>
      </c>
      <c r="Z99" s="74" t="s">
        <v>617</v>
      </c>
      <c r="AA99" s="86" t="s">
        <v>617</v>
      </c>
      <c r="AB99" s="88">
        <f t="shared" si="3"/>
        <v>0</v>
      </c>
      <c r="AC99" s="74" t="s">
        <v>617</v>
      </c>
      <c r="AD99" s="88">
        <f>SUM(Table1[[#This Row],[Expenses - Revenue Generation]:[Expenses - Admin]])</f>
        <v>0</v>
      </c>
      <c r="AE99" s="74" t="s">
        <v>617</v>
      </c>
      <c r="AF99" s="74" t="s">
        <v>617</v>
      </c>
      <c r="AG99" s="74" t="s">
        <v>617</v>
      </c>
      <c r="AH99" s="75">
        <f>Table1[[#This Row],[Total FTE - Editorial]]+Table1[[#This Row],[Total FTE - Non-Editorial]]</f>
        <v>3</v>
      </c>
      <c r="AI99" s="75">
        <f>Table1[[#This Row],[FTE Salaried - Editorial]]+Table1[[#This Row],[FTE Contractors - Editorial]]</f>
        <v>1.5</v>
      </c>
      <c r="AJ99" s="57">
        <v>1</v>
      </c>
      <c r="AK99" s="57">
        <v>0.5</v>
      </c>
      <c r="AL99" s="60">
        <f>Table1[[#This Row],[FTE Salaried - Non-Editorial]]+Table1[[#This Row],[FTE Contractors - Non-Editorial]]</f>
        <v>1.5</v>
      </c>
      <c r="AM99" s="57">
        <v>0</v>
      </c>
      <c r="AN99" s="57">
        <v>1.5</v>
      </c>
      <c r="AO99" s="86" t="s">
        <v>351</v>
      </c>
      <c r="AP99" s="86" t="s">
        <v>617</v>
      </c>
      <c r="AQ99" s="76">
        <v>20000</v>
      </c>
      <c r="AR99" s="76">
        <v>850</v>
      </c>
      <c r="AS99" s="76">
        <v>0</v>
      </c>
      <c r="AT99" s="76">
        <v>0</v>
      </c>
      <c r="AU99" s="76">
        <v>0</v>
      </c>
      <c r="AV99" s="86" t="s">
        <v>617</v>
      </c>
      <c r="BC99" s="54"/>
      <c r="BD99" s="54"/>
      <c r="BE99" s="54"/>
      <c r="BF99" s="54"/>
      <c r="BG99" s="54"/>
      <c r="BI99" s="54"/>
      <c r="BK99" s="54"/>
      <c r="BL99" s="54"/>
      <c r="BM99" s="54"/>
      <c r="BN99" s="54"/>
      <c r="BO99" s="54"/>
      <c r="BP99" s="54"/>
      <c r="BS99" s="54"/>
      <c r="BT99" s="54"/>
      <c r="BU99" s="54"/>
      <c r="BV99" s="54"/>
      <c r="BW99" s="54"/>
    </row>
    <row r="100" spans="1:75" x14ac:dyDescent="0.2">
      <c r="A100" s="86" t="s">
        <v>791</v>
      </c>
      <c r="B100" s="86"/>
      <c r="C100" s="86" t="s">
        <v>83</v>
      </c>
      <c r="D100" s="86" t="s">
        <v>78</v>
      </c>
      <c r="E100" s="54" t="str">
        <f>_xlfn.CONCAT(Table1[[#This Row],[Geographic Scope]],": ",Table1[[#This Row],[Sub-Type/Focus]])</f>
        <v>State: Multiple Related Topics</v>
      </c>
      <c r="F100" s="55">
        <f>Table1[[#This Row],[Total Contributed Income]]+Table1[[#This Row],[Total Earned Income]]</f>
        <v>0</v>
      </c>
      <c r="G100" s="87">
        <f>IFERROR((Table1[[#This Row],[Cont. Income - Foundation]]+Table1[[#This Row],[Cont. Income - Membership]]+Table1[[#This Row],[Cont. Income - Small Donors]]+Table1[[#This Row],[Cont. Income - Med. Donors]]+Table1[[#This Row],[Cont. Income - Major Donors]]+Table1[[#This Row],[Cont. Income - Other]]),0)</f>
        <v>0</v>
      </c>
      <c r="H100" s="87">
        <f>IFERROR((Table1[[#This Row],[Earned Income - Advertising]]+Table1[[#This Row],[Earned Income - Sponsorships/Underwriting]]+Table1[[#This Row],[Earned Income - Events]]+Table1[[#This Row],[Earned Income - Subscriptions]]+Table1[[#This Row],[Earned Income - Syndication]]+Table1[[#This Row],[Earned Income - Other TOTAL]]),0)</f>
        <v>0</v>
      </c>
      <c r="I100" s="74" t="s">
        <v>617</v>
      </c>
      <c r="J100" s="74" t="s">
        <v>617</v>
      </c>
      <c r="K100" s="74" t="s">
        <v>617</v>
      </c>
      <c r="L100" s="74" t="s">
        <v>617</v>
      </c>
      <c r="M100" s="74" t="s">
        <v>617</v>
      </c>
      <c r="N100" s="74" t="s">
        <v>617</v>
      </c>
      <c r="O100" s="79" t="s">
        <v>617</v>
      </c>
      <c r="P100" s="74" t="s">
        <v>617</v>
      </c>
      <c r="Q100" s="74" t="s">
        <v>617</v>
      </c>
      <c r="R100" s="74" t="s">
        <v>617</v>
      </c>
      <c r="S100" s="74" t="s">
        <v>617</v>
      </c>
      <c r="T100" s="74" t="s">
        <v>617</v>
      </c>
      <c r="U100" s="88">
        <f>IFERROR(Table1[[#This Row],[Earned Income - Training Fees]]+Table1[[#This Row],[Earned Income - Fees]]+Table1[[#This Row],[Earned Income - Investments]]+Table1[[#This Row],[Earned Income - Other]],0)</f>
        <v>0</v>
      </c>
      <c r="V100" s="74" t="s">
        <v>617</v>
      </c>
      <c r="W100" s="74" t="s">
        <v>617</v>
      </c>
      <c r="X100" s="86" t="s">
        <v>617</v>
      </c>
      <c r="Y100" s="74" t="s">
        <v>617</v>
      </c>
      <c r="Z100" s="74" t="s">
        <v>617</v>
      </c>
      <c r="AA100" s="86" t="s">
        <v>617</v>
      </c>
      <c r="AB100" s="88">
        <f t="shared" si="3"/>
        <v>0</v>
      </c>
      <c r="AC100" s="74" t="s">
        <v>617</v>
      </c>
      <c r="AD100" s="88">
        <f>SUM(Table1[[#This Row],[Expenses - Revenue Generation]:[Expenses - Admin]])</f>
        <v>0</v>
      </c>
      <c r="AE100" s="74" t="s">
        <v>617</v>
      </c>
      <c r="AF100" s="74" t="s">
        <v>617</v>
      </c>
      <c r="AG100" s="74" t="s">
        <v>617</v>
      </c>
      <c r="AH100" s="75">
        <f>Table1[[#This Row],[Total FTE - Editorial]]+Table1[[#This Row],[Total FTE - Non-Editorial]]</f>
        <v>10</v>
      </c>
      <c r="AI100" s="75">
        <f>Table1[[#This Row],[FTE Salaried - Editorial]]+Table1[[#This Row],[FTE Contractors - Editorial]]</f>
        <v>8</v>
      </c>
      <c r="AJ100" s="57">
        <v>8</v>
      </c>
      <c r="AK100" s="57">
        <v>0</v>
      </c>
      <c r="AL100" s="60">
        <f>Table1[[#This Row],[FTE Salaried - Non-Editorial]]+Table1[[#This Row],[FTE Contractors - Non-Editorial]]</f>
        <v>2</v>
      </c>
      <c r="AM100" s="57">
        <v>2</v>
      </c>
      <c r="AN100" s="57">
        <v>0</v>
      </c>
      <c r="AO100" s="86" t="s">
        <v>351</v>
      </c>
      <c r="AP100" s="86" t="s">
        <v>617</v>
      </c>
      <c r="AQ100" s="76">
        <v>10474</v>
      </c>
      <c r="AR100" s="76">
        <v>2897</v>
      </c>
      <c r="AS100" s="76">
        <v>0</v>
      </c>
      <c r="AT100" s="76">
        <v>0</v>
      </c>
      <c r="AU100" s="76">
        <v>0</v>
      </c>
      <c r="AV100" s="86" t="s">
        <v>617</v>
      </c>
      <c r="BC100" s="54"/>
      <c r="BD100" s="54"/>
      <c r="BE100" s="54"/>
      <c r="BF100" s="54"/>
      <c r="BG100" s="54"/>
      <c r="BI100" s="54"/>
      <c r="BK100" s="54"/>
      <c r="BL100" s="54"/>
      <c r="BM100" s="54"/>
      <c r="BN100" s="54"/>
      <c r="BO100" s="54"/>
      <c r="BP100" s="54"/>
      <c r="BS100" s="54"/>
      <c r="BT100" s="54"/>
      <c r="BU100" s="54"/>
      <c r="BV100" s="54"/>
      <c r="BW100" s="54"/>
    </row>
    <row r="101" spans="1:75" x14ac:dyDescent="0.2">
      <c r="A101" s="86" t="s">
        <v>792</v>
      </c>
      <c r="B101" s="86"/>
      <c r="C101" s="86" t="s">
        <v>505</v>
      </c>
      <c r="D101" s="86" t="s">
        <v>78</v>
      </c>
      <c r="E101" s="54" t="str">
        <f>_xlfn.CONCAT(Table1[[#This Row],[Geographic Scope]],": ",Table1[[#This Row],[Sub-Type/Focus]])</f>
        <v>Regional: Multiple Related Topics</v>
      </c>
      <c r="F101" s="55">
        <f>Table1[[#This Row],[Total Contributed Income]]+Table1[[#This Row],[Total Earned Income]]</f>
        <v>0</v>
      </c>
      <c r="G101" s="87">
        <f>IFERROR((Table1[[#This Row],[Cont. Income - Foundation]]+Table1[[#This Row],[Cont. Income - Membership]]+Table1[[#This Row],[Cont. Income - Small Donors]]+Table1[[#This Row],[Cont. Income - Med. Donors]]+Table1[[#This Row],[Cont. Income - Major Donors]]+Table1[[#This Row],[Cont. Income - Other]]),0)</f>
        <v>0</v>
      </c>
      <c r="H101" s="87">
        <f>IFERROR((Table1[[#This Row],[Earned Income - Advertising]]+Table1[[#This Row],[Earned Income - Sponsorships/Underwriting]]+Table1[[#This Row],[Earned Income - Events]]+Table1[[#This Row],[Earned Income - Subscriptions]]+Table1[[#This Row],[Earned Income - Syndication]]+Table1[[#This Row],[Earned Income - Other TOTAL]]),0)</f>
        <v>0</v>
      </c>
      <c r="I101" s="74" t="s">
        <v>617</v>
      </c>
      <c r="J101" s="74" t="s">
        <v>617</v>
      </c>
      <c r="K101" s="74" t="s">
        <v>617</v>
      </c>
      <c r="L101" s="74" t="s">
        <v>617</v>
      </c>
      <c r="M101" s="74" t="s">
        <v>617</v>
      </c>
      <c r="N101" s="74" t="s">
        <v>617</v>
      </c>
      <c r="O101" s="79" t="s">
        <v>617</v>
      </c>
      <c r="P101" s="74" t="s">
        <v>617</v>
      </c>
      <c r="Q101" s="74" t="s">
        <v>617</v>
      </c>
      <c r="R101" s="74" t="s">
        <v>617</v>
      </c>
      <c r="S101" s="74" t="s">
        <v>617</v>
      </c>
      <c r="T101" s="74" t="s">
        <v>617</v>
      </c>
      <c r="U101" s="88">
        <f>IFERROR(Table1[[#This Row],[Earned Income - Training Fees]]+Table1[[#This Row],[Earned Income - Fees]]+Table1[[#This Row],[Earned Income - Investments]]+Table1[[#This Row],[Earned Income - Other]],0)</f>
        <v>0</v>
      </c>
      <c r="V101" s="74" t="s">
        <v>617</v>
      </c>
      <c r="W101" s="74" t="s">
        <v>617</v>
      </c>
      <c r="X101" s="86" t="s">
        <v>617</v>
      </c>
      <c r="Y101" s="74" t="s">
        <v>617</v>
      </c>
      <c r="Z101" s="74" t="s">
        <v>617</v>
      </c>
      <c r="AA101" s="86" t="s">
        <v>617</v>
      </c>
      <c r="AB101" s="88">
        <f t="shared" si="3"/>
        <v>0</v>
      </c>
      <c r="AC101" s="74" t="s">
        <v>617</v>
      </c>
      <c r="AD101" s="88">
        <f>SUM(Table1[[#This Row],[Expenses - Revenue Generation]:[Expenses - Admin]])</f>
        <v>0</v>
      </c>
      <c r="AE101" s="74" t="s">
        <v>617</v>
      </c>
      <c r="AF101" s="74" t="s">
        <v>617</v>
      </c>
      <c r="AG101" s="74" t="s">
        <v>617</v>
      </c>
      <c r="AH101" s="75">
        <f>Table1[[#This Row],[Total FTE - Editorial]]+Table1[[#This Row],[Total FTE - Non-Editorial]]</f>
        <v>2</v>
      </c>
      <c r="AI101" s="75">
        <f>Table1[[#This Row],[FTE Salaried - Editorial]]+Table1[[#This Row],[FTE Contractors - Editorial]]</f>
        <v>1</v>
      </c>
      <c r="AJ101" s="57">
        <v>1</v>
      </c>
      <c r="AK101" s="57">
        <v>0</v>
      </c>
      <c r="AL101" s="60">
        <f>Table1[[#This Row],[FTE Salaried - Non-Editorial]]+Table1[[#This Row],[FTE Contractors - Non-Editorial]]</f>
        <v>1</v>
      </c>
      <c r="AM101" s="57">
        <v>1</v>
      </c>
      <c r="AN101" s="57">
        <v>0</v>
      </c>
      <c r="AO101" s="86" t="s">
        <v>351</v>
      </c>
      <c r="AP101" s="86" t="s">
        <v>617</v>
      </c>
      <c r="AQ101" s="76">
        <v>1000</v>
      </c>
      <c r="AR101" s="76">
        <v>575</v>
      </c>
      <c r="AS101" s="76">
        <v>0</v>
      </c>
      <c r="AT101" s="76">
        <v>0</v>
      </c>
      <c r="AU101" s="76">
        <v>0</v>
      </c>
      <c r="AV101" s="86" t="s">
        <v>617</v>
      </c>
      <c r="BC101" s="54"/>
      <c r="BD101" s="54"/>
      <c r="BE101" s="54"/>
      <c r="BF101" s="54"/>
      <c r="BG101" s="54"/>
      <c r="BI101" s="54"/>
      <c r="BK101" s="54"/>
      <c r="BL101" s="54"/>
      <c r="BM101" s="54"/>
      <c r="BN101" s="54"/>
      <c r="BO101" s="54"/>
      <c r="BP101" s="54"/>
      <c r="BS101" s="54"/>
      <c r="BT101" s="54"/>
      <c r="BU101" s="54"/>
      <c r="BV101" s="54"/>
      <c r="BW101" s="54"/>
    </row>
    <row r="102" spans="1:75" x14ac:dyDescent="0.2">
      <c r="A102" s="86" t="s">
        <v>793</v>
      </c>
      <c r="B102" s="86"/>
      <c r="C102" s="86" t="s">
        <v>7</v>
      </c>
      <c r="D102" s="86" t="s">
        <v>77</v>
      </c>
      <c r="E102" s="54" t="str">
        <f>_xlfn.CONCAT(Table1[[#This Row],[Geographic Scope]],": ",Table1[[#This Row],[Sub-Type/Focus]])</f>
        <v>Local: General</v>
      </c>
      <c r="F102" s="55">
        <f>Table1[[#This Row],[Total Contributed Income]]+Table1[[#This Row],[Total Earned Income]]</f>
        <v>110657</v>
      </c>
      <c r="G102" s="87">
        <f>IFERROR((Table1[[#This Row],[Cont. Income - Foundation]]+Table1[[#This Row],[Cont. Income - Membership]]+Table1[[#This Row],[Cont. Income - Small Donors]]+Table1[[#This Row],[Cont. Income - Med. Donors]]+Table1[[#This Row],[Cont. Income - Major Donors]]+Table1[[#This Row],[Cont. Income - Other]]),0)</f>
        <v>79847</v>
      </c>
      <c r="H102" s="87">
        <f>IFERROR((Table1[[#This Row],[Earned Income - Advertising]]+Table1[[#This Row],[Earned Income - Sponsorships/Underwriting]]+Table1[[#This Row],[Earned Income - Events]]+Table1[[#This Row],[Earned Income - Subscriptions]]+Table1[[#This Row],[Earned Income - Syndication]]+Table1[[#This Row],[Earned Income - Other TOTAL]]),0)</f>
        <v>30810</v>
      </c>
      <c r="I102" s="74">
        <v>0</v>
      </c>
      <c r="J102" s="74">
        <v>0</v>
      </c>
      <c r="K102" s="74">
        <v>43847</v>
      </c>
      <c r="L102" s="74">
        <v>26000</v>
      </c>
      <c r="M102" s="74">
        <v>10000</v>
      </c>
      <c r="N102" s="74">
        <v>0</v>
      </c>
      <c r="O102" s="79" t="s">
        <v>617</v>
      </c>
      <c r="P102" s="74">
        <v>22300</v>
      </c>
      <c r="Q102" s="74">
        <v>8510</v>
      </c>
      <c r="R102" s="74">
        <v>0</v>
      </c>
      <c r="S102" s="74">
        <v>0</v>
      </c>
      <c r="T102" s="74">
        <v>0</v>
      </c>
      <c r="U102" s="88">
        <f>IFERROR(Table1[[#This Row],[Earned Income - Training Fees]]+Table1[[#This Row],[Earned Income - Fees]]+Table1[[#This Row],[Earned Income - Investments]]+Table1[[#This Row],[Earned Income - Other]],0)</f>
        <v>0</v>
      </c>
      <c r="V102" s="74">
        <v>0</v>
      </c>
      <c r="W102" s="74">
        <v>0</v>
      </c>
      <c r="X102" s="86" t="s">
        <v>617</v>
      </c>
      <c r="Y102" s="74">
        <v>0</v>
      </c>
      <c r="Z102" s="74">
        <v>0</v>
      </c>
      <c r="AA102" s="86" t="s">
        <v>617</v>
      </c>
      <c r="AB102" s="88">
        <f t="shared" si="3"/>
        <v>62988</v>
      </c>
      <c r="AC102" s="74">
        <v>29641</v>
      </c>
      <c r="AD102" s="88">
        <f>SUM(Table1[[#This Row],[Expenses - Revenue Generation]:[Expenses - Admin]])</f>
        <v>33347</v>
      </c>
      <c r="AE102" s="74">
        <v>15304</v>
      </c>
      <c r="AF102" s="74">
        <v>3423</v>
      </c>
      <c r="AG102" s="74">
        <v>14620</v>
      </c>
      <c r="AH102" s="75">
        <f>Table1[[#This Row],[Total FTE - Editorial]]+Table1[[#This Row],[Total FTE - Non-Editorial]]</f>
        <v>2</v>
      </c>
      <c r="AI102" s="75">
        <f>Table1[[#This Row],[FTE Salaried - Editorial]]+Table1[[#This Row],[FTE Contractors - Editorial]]</f>
        <v>1</v>
      </c>
      <c r="AJ102" s="57">
        <v>1</v>
      </c>
      <c r="AK102" s="57">
        <v>0</v>
      </c>
      <c r="AL102" s="60">
        <f>Table1[[#This Row],[FTE Salaried - Non-Editorial]]+Table1[[#This Row],[FTE Contractors - Non-Editorial]]</f>
        <v>1</v>
      </c>
      <c r="AM102" s="57">
        <v>0</v>
      </c>
      <c r="AN102" s="57">
        <v>1</v>
      </c>
      <c r="AO102" s="86" t="s">
        <v>351</v>
      </c>
      <c r="AP102" s="86" t="s">
        <v>617</v>
      </c>
      <c r="AQ102" s="76">
        <v>11707</v>
      </c>
      <c r="AR102" s="76">
        <v>1690</v>
      </c>
      <c r="AS102" s="76">
        <v>6000</v>
      </c>
      <c r="AT102" s="76">
        <v>1</v>
      </c>
      <c r="AU102" s="76">
        <v>0</v>
      </c>
      <c r="AV102" s="86" t="s">
        <v>617</v>
      </c>
      <c r="BC102" s="54"/>
      <c r="BD102" s="54"/>
      <c r="BE102" s="54"/>
      <c r="BF102" s="54"/>
      <c r="BG102" s="54"/>
      <c r="BI102" s="54"/>
      <c r="BK102" s="54"/>
      <c r="BL102" s="54"/>
      <c r="BM102" s="54"/>
      <c r="BN102" s="54"/>
      <c r="BO102" s="54"/>
      <c r="BP102" s="54"/>
      <c r="BS102" s="54"/>
      <c r="BT102" s="54"/>
      <c r="BU102" s="54"/>
      <c r="BV102" s="54"/>
      <c r="BW102" s="54"/>
    </row>
    <row r="103" spans="1:75" x14ac:dyDescent="0.2">
      <c r="A103" s="86" t="s">
        <v>794</v>
      </c>
      <c r="B103" s="86"/>
      <c r="C103" s="86" t="s">
        <v>7</v>
      </c>
      <c r="D103" s="86" t="s">
        <v>77</v>
      </c>
      <c r="E103" s="54" t="str">
        <f>_xlfn.CONCAT(Table1[[#This Row],[Geographic Scope]],": ",Table1[[#This Row],[Sub-Type/Focus]])</f>
        <v>Local: General</v>
      </c>
      <c r="F103" s="55">
        <f>Table1[[#This Row],[Total Contributed Income]]+Table1[[#This Row],[Total Earned Income]]</f>
        <v>114500</v>
      </c>
      <c r="G103" s="87">
        <f>IFERROR((Table1[[#This Row],[Cont. Income - Foundation]]+Table1[[#This Row],[Cont. Income - Membership]]+Table1[[#This Row],[Cont. Income - Small Donors]]+Table1[[#This Row],[Cont. Income - Med. Donors]]+Table1[[#This Row],[Cont. Income - Major Donors]]+Table1[[#This Row],[Cont. Income - Other]]),0)</f>
        <v>95500</v>
      </c>
      <c r="H103" s="87">
        <f>IFERROR((Table1[[#This Row],[Earned Income - Advertising]]+Table1[[#This Row],[Earned Income - Sponsorships/Underwriting]]+Table1[[#This Row],[Earned Income - Events]]+Table1[[#This Row],[Earned Income - Subscriptions]]+Table1[[#This Row],[Earned Income - Syndication]]+Table1[[#This Row],[Earned Income - Other TOTAL]]),0)</f>
        <v>19000</v>
      </c>
      <c r="I103" s="74">
        <v>20500</v>
      </c>
      <c r="J103" s="74">
        <v>35000</v>
      </c>
      <c r="K103" s="74">
        <v>20000</v>
      </c>
      <c r="L103" s="74">
        <v>20000</v>
      </c>
      <c r="M103" s="74">
        <v>0</v>
      </c>
      <c r="N103" s="74">
        <v>0</v>
      </c>
      <c r="O103" s="79" t="s">
        <v>617</v>
      </c>
      <c r="P103" s="74">
        <v>15000</v>
      </c>
      <c r="Q103" s="74">
        <v>0</v>
      </c>
      <c r="R103" s="74">
        <v>4000</v>
      </c>
      <c r="S103" s="74">
        <v>0</v>
      </c>
      <c r="T103" s="74">
        <v>0</v>
      </c>
      <c r="U103" s="88">
        <f>IFERROR(Table1[[#This Row],[Earned Income - Training Fees]]+Table1[[#This Row],[Earned Income - Fees]]+Table1[[#This Row],[Earned Income - Investments]]+Table1[[#This Row],[Earned Income - Other]],0)</f>
        <v>0</v>
      </c>
      <c r="V103" s="74">
        <v>0</v>
      </c>
      <c r="W103" s="74">
        <v>0</v>
      </c>
      <c r="X103" s="86" t="s">
        <v>617</v>
      </c>
      <c r="Y103" s="74">
        <v>0</v>
      </c>
      <c r="Z103" s="74">
        <v>0</v>
      </c>
      <c r="AA103" s="86" t="s">
        <v>617</v>
      </c>
      <c r="AB103" s="88">
        <f t="shared" si="3"/>
        <v>54000</v>
      </c>
      <c r="AC103" s="74">
        <v>35000</v>
      </c>
      <c r="AD103" s="88">
        <f>SUM(Table1[[#This Row],[Expenses - Revenue Generation]:[Expenses - Admin]])</f>
        <v>19000</v>
      </c>
      <c r="AE103" s="74">
        <v>7000</v>
      </c>
      <c r="AF103" s="74">
        <v>3000</v>
      </c>
      <c r="AG103" s="74">
        <v>9000</v>
      </c>
      <c r="AH103" s="75">
        <f>Table1[[#This Row],[Total FTE - Editorial]]+Table1[[#This Row],[Total FTE - Non-Editorial]]</f>
        <v>2</v>
      </c>
      <c r="AI103" s="75">
        <f>Table1[[#This Row],[FTE Salaried - Editorial]]+Table1[[#This Row],[FTE Contractors - Editorial]]</f>
        <v>2</v>
      </c>
      <c r="AJ103" s="57">
        <v>0</v>
      </c>
      <c r="AK103" s="57">
        <v>2</v>
      </c>
      <c r="AL103" s="60">
        <f>Table1[[#This Row],[FTE Salaried - Non-Editorial]]+Table1[[#This Row],[FTE Contractors - Non-Editorial]]</f>
        <v>0</v>
      </c>
      <c r="AM103" s="57">
        <v>0</v>
      </c>
      <c r="AN103" s="57">
        <v>0</v>
      </c>
      <c r="AO103" s="86" t="s">
        <v>351</v>
      </c>
      <c r="AP103" s="86" t="s">
        <v>617</v>
      </c>
      <c r="AQ103" s="76">
        <v>11000</v>
      </c>
      <c r="AR103" s="76">
        <v>2350</v>
      </c>
      <c r="AS103" s="76">
        <v>0</v>
      </c>
      <c r="AT103" s="76">
        <v>0</v>
      </c>
      <c r="AU103" s="76">
        <v>0</v>
      </c>
      <c r="AV103" s="86" t="s">
        <v>617</v>
      </c>
      <c r="BC103" s="54"/>
      <c r="BD103" s="54"/>
      <c r="BE103" s="54"/>
      <c r="BF103" s="54"/>
      <c r="BG103" s="54"/>
      <c r="BI103" s="54"/>
      <c r="BK103" s="54"/>
      <c r="BL103" s="54"/>
      <c r="BM103" s="54"/>
      <c r="BN103" s="54"/>
      <c r="BO103" s="54"/>
      <c r="BP103" s="54"/>
      <c r="BS103" s="54"/>
      <c r="BT103" s="54"/>
      <c r="BU103" s="54"/>
      <c r="BV103" s="54"/>
      <c r="BW103" s="54"/>
    </row>
    <row r="104" spans="1:75" x14ac:dyDescent="0.2">
      <c r="A104" s="86" t="s">
        <v>795</v>
      </c>
      <c r="B104" s="86"/>
      <c r="C104" s="86" t="s">
        <v>83</v>
      </c>
      <c r="D104" s="86" t="s">
        <v>78</v>
      </c>
      <c r="E104" s="54" t="str">
        <f>_xlfn.CONCAT(Table1[[#This Row],[Geographic Scope]],": ",Table1[[#This Row],[Sub-Type/Focus]])</f>
        <v>State: Multiple Related Topics</v>
      </c>
      <c r="F104" s="55">
        <f>Table1[[#This Row],[Total Contributed Income]]+Table1[[#This Row],[Total Earned Income]]</f>
        <v>85539.33</v>
      </c>
      <c r="G104" s="87">
        <f>IFERROR((Table1[[#This Row],[Cont. Income - Foundation]]+Table1[[#This Row],[Cont. Income - Membership]]+Table1[[#This Row],[Cont. Income - Small Donors]]+Table1[[#This Row],[Cont. Income - Med. Donors]]+Table1[[#This Row],[Cont. Income - Major Donors]]+Table1[[#This Row],[Cont. Income - Other]]),0)</f>
        <v>85539.33</v>
      </c>
      <c r="H104" s="87">
        <f>IFERROR((Table1[[#This Row],[Earned Income - Advertising]]+Table1[[#This Row],[Earned Income - Sponsorships/Underwriting]]+Table1[[#This Row],[Earned Income - Events]]+Table1[[#This Row],[Earned Income - Subscriptions]]+Table1[[#This Row],[Earned Income - Syndication]]+Table1[[#This Row],[Earned Income - Other TOTAL]]),0)</f>
        <v>0</v>
      </c>
      <c r="I104" s="74">
        <v>0</v>
      </c>
      <c r="J104" s="74">
        <v>0</v>
      </c>
      <c r="K104" s="74">
        <v>12669.33</v>
      </c>
      <c r="L104" s="74">
        <v>2020</v>
      </c>
      <c r="M104" s="74">
        <v>70850</v>
      </c>
      <c r="N104" s="74">
        <v>0</v>
      </c>
      <c r="O104" s="79" t="s">
        <v>617</v>
      </c>
      <c r="P104" s="74">
        <v>0</v>
      </c>
      <c r="Q104" s="74">
        <v>0</v>
      </c>
      <c r="R104" s="74">
        <v>0</v>
      </c>
      <c r="S104" s="74">
        <v>0</v>
      </c>
      <c r="T104" s="74">
        <v>0</v>
      </c>
      <c r="U104" s="88">
        <f>IFERROR(Table1[[#This Row],[Earned Income - Training Fees]]+Table1[[#This Row],[Earned Income - Fees]]+Table1[[#This Row],[Earned Income - Investments]]+Table1[[#This Row],[Earned Income - Other]],0)</f>
        <v>0</v>
      </c>
      <c r="V104" s="74">
        <v>0</v>
      </c>
      <c r="W104" s="74">
        <v>0</v>
      </c>
      <c r="X104" s="86" t="s">
        <v>617</v>
      </c>
      <c r="Y104" s="74">
        <v>0</v>
      </c>
      <c r="Z104" s="74">
        <v>0</v>
      </c>
      <c r="AA104" s="86" t="s">
        <v>617</v>
      </c>
      <c r="AB104" s="88">
        <f t="shared" si="3"/>
        <v>78815</v>
      </c>
      <c r="AC104" s="74">
        <v>76508</v>
      </c>
      <c r="AD104" s="88">
        <f>SUM(Table1[[#This Row],[Expenses - Revenue Generation]:[Expenses - Admin]])</f>
        <v>2307</v>
      </c>
      <c r="AE104" s="74">
        <v>0</v>
      </c>
      <c r="AF104" s="74">
        <v>1364</v>
      </c>
      <c r="AG104" s="74">
        <v>943</v>
      </c>
      <c r="AH104" s="75">
        <f>Table1[[#This Row],[Total FTE - Editorial]]+Table1[[#This Row],[Total FTE - Non-Editorial]]</f>
        <v>3.25</v>
      </c>
      <c r="AI104" s="75">
        <f>Table1[[#This Row],[FTE Salaried - Editorial]]+Table1[[#This Row],[FTE Contractors - Editorial]]</f>
        <v>2.5</v>
      </c>
      <c r="AJ104" s="57">
        <v>0</v>
      </c>
      <c r="AK104" s="57">
        <v>2.5</v>
      </c>
      <c r="AL104" s="60">
        <f>Table1[[#This Row],[FTE Salaried - Non-Editorial]]+Table1[[#This Row],[FTE Contractors - Non-Editorial]]</f>
        <v>0.75</v>
      </c>
      <c r="AM104" s="57">
        <v>0</v>
      </c>
      <c r="AN104" s="57">
        <v>0.75</v>
      </c>
      <c r="AO104" s="86" t="s">
        <v>351</v>
      </c>
      <c r="AP104" s="86" t="s">
        <v>617</v>
      </c>
      <c r="AQ104" s="76">
        <v>26814</v>
      </c>
      <c r="AR104" s="76">
        <v>2189</v>
      </c>
      <c r="AS104" s="76">
        <v>0</v>
      </c>
      <c r="AT104" s="76">
        <v>0</v>
      </c>
      <c r="AU104" s="76">
        <v>0</v>
      </c>
      <c r="AV104" s="86" t="s">
        <v>617</v>
      </c>
      <c r="BC104" s="54"/>
      <c r="BD104" s="54"/>
      <c r="BE104" s="54"/>
      <c r="BF104" s="54"/>
      <c r="BG104" s="54"/>
      <c r="BI104" s="54"/>
      <c r="BK104" s="54"/>
      <c r="BL104" s="54"/>
      <c r="BM104" s="54"/>
      <c r="BN104" s="54"/>
      <c r="BO104" s="54"/>
      <c r="BP104" s="54"/>
      <c r="BS104" s="54"/>
      <c r="BT104" s="54"/>
      <c r="BU104" s="54"/>
      <c r="BV104" s="54"/>
      <c r="BW104" s="54"/>
    </row>
    <row r="105" spans="1:75" s="72" customFormat="1" x14ac:dyDescent="0.2">
      <c r="A105" s="83" t="s">
        <v>796</v>
      </c>
      <c r="B105" s="83"/>
      <c r="C105" s="83" t="s">
        <v>7</v>
      </c>
      <c r="D105" s="83" t="s">
        <v>77</v>
      </c>
      <c r="E105" s="60" t="str">
        <f>_xlfn.CONCAT(Table1[[#This Row],[Geographic Scope]],": ",Table1[[#This Row],[Sub-Type/Focus]])</f>
        <v>Local: General</v>
      </c>
      <c r="F105" s="71">
        <f>Table1[[#This Row],[Total Contributed Income]]+Table1[[#This Row],[Total Earned Income]]</f>
        <v>0</v>
      </c>
      <c r="G105" s="89">
        <f>IFERROR((Table1[[#This Row],[Cont. Income - Foundation]]+Table1[[#This Row],[Cont. Income - Membership]]+Table1[[#This Row],[Cont. Income - Small Donors]]+Table1[[#This Row],[Cont. Income - Med. Donors]]+Table1[[#This Row],[Cont. Income - Major Donors]]+Table1[[#This Row],[Cont. Income - Other]]),0)</f>
        <v>0</v>
      </c>
      <c r="H105" s="89">
        <f>IFERROR((Table1[[#This Row],[Earned Income - Advertising]]+Table1[[#This Row],[Earned Income - Sponsorships/Underwriting]]+Table1[[#This Row],[Earned Income - Events]]+Table1[[#This Row],[Earned Income - Subscriptions]]+Table1[[#This Row],[Earned Income - Syndication]]+Table1[[#This Row],[Earned Income - Other TOTAL]]),0)</f>
        <v>0</v>
      </c>
      <c r="I105" s="74" t="s">
        <v>617</v>
      </c>
      <c r="J105" s="74" t="s">
        <v>617</v>
      </c>
      <c r="K105" s="74" t="s">
        <v>617</v>
      </c>
      <c r="L105" s="74" t="s">
        <v>617</v>
      </c>
      <c r="M105" s="74" t="s">
        <v>617</v>
      </c>
      <c r="N105" s="74" t="s">
        <v>617</v>
      </c>
      <c r="O105" s="79" t="s">
        <v>617</v>
      </c>
      <c r="P105" s="74" t="s">
        <v>617</v>
      </c>
      <c r="Q105" s="74" t="s">
        <v>617</v>
      </c>
      <c r="R105" s="74" t="s">
        <v>617</v>
      </c>
      <c r="S105" s="74" t="s">
        <v>617</v>
      </c>
      <c r="T105" s="74" t="s">
        <v>617</v>
      </c>
      <c r="U105" s="85">
        <f>IFERROR(Table1[[#This Row],[Earned Income - Training Fees]]+Table1[[#This Row],[Earned Income - Fees]]+Table1[[#This Row],[Earned Income - Investments]]+Table1[[#This Row],[Earned Income - Other]],0)</f>
        <v>0</v>
      </c>
      <c r="V105" s="74" t="s">
        <v>617</v>
      </c>
      <c r="W105" s="74" t="s">
        <v>617</v>
      </c>
      <c r="X105" s="83" t="s">
        <v>617</v>
      </c>
      <c r="Y105" s="74" t="s">
        <v>617</v>
      </c>
      <c r="Z105" s="74" t="s">
        <v>617</v>
      </c>
      <c r="AA105" s="83" t="s">
        <v>617</v>
      </c>
      <c r="AB105" s="85">
        <f t="shared" si="3"/>
        <v>0</v>
      </c>
      <c r="AC105" s="74" t="s">
        <v>617</v>
      </c>
      <c r="AD105" s="85">
        <f>SUM(Table1[[#This Row],[Expenses - Revenue Generation]:[Expenses - Admin]])</f>
        <v>0</v>
      </c>
      <c r="AE105" s="74" t="s">
        <v>617</v>
      </c>
      <c r="AF105" s="74" t="s">
        <v>617</v>
      </c>
      <c r="AG105" s="74" t="s">
        <v>617</v>
      </c>
      <c r="AH105" s="75">
        <f>Table1[[#This Row],[Total FTE - Editorial]]+Table1[[#This Row],[Total FTE - Non-Editorial]]</f>
        <v>12.75</v>
      </c>
      <c r="AI105" s="75">
        <f>Table1[[#This Row],[FTE Salaried - Editorial]]+Table1[[#This Row],[FTE Contractors - Editorial]]</f>
        <v>9.5</v>
      </c>
      <c r="AJ105" s="57">
        <v>1</v>
      </c>
      <c r="AK105" s="57">
        <v>8.5</v>
      </c>
      <c r="AL105" s="60">
        <f>Table1[[#This Row],[FTE Salaried - Non-Editorial]]+Table1[[#This Row],[FTE Contractors - Non-Editorial]]</f>
        <v>3.25</v>
      </c>
      <c r="AM105" s="57">
        <v>3</v>
      </c>
      <c r="AN105" s="57">
        <v>0.25</v>
      </c>
      <c r="AO105" s="83"/>
      <c r="AP105" s="83" t="s">
        <v>617</v>
      </c>
      <c r="AQ105" s="76" t="s">
        <v>617</v>
      </c>
      <c r="AR105" s="76" t="s">
        <v>617</v>
      </c>
      <c r="AS105" s="76" t="s">
        <v>617</v>
      </c>
      <c r="AT105" s="76" t="s">
        <v>617</v>
      </c>
      <c r="AU105" s="76" t="s">
        <v>617</v>
      </c>
      <c r="AV105" s="83" t="s">
        <v>617</v>
      </c>
    </row>
    <row r="106" spans="1:75" s="72" customFormat="1" x14ac:dyDescent="0.2">
      <c r="A106" s="86" t="s">
        <v>797</v>
      </c>
      <c r="B106" s="86"/>
      <c r="C106" s="86" t="s">
        <v>83</v>
      </c>
      <c r="D106" s="86" t="s">
        <v>78</v>
      </c>
      <c r="E106" s="54" t="str">
        <f>_xlfn.CONCAT(Table1[[#This Row],[Geographic Scope]],": ",Table1[[#This Row],[Sub-Type/Focus]])</f>
        <v>State: Multiple Related Topics</v>
      </c>
      <c r="F106" s="55">
        <f>Table1[[#This Row],[Total Contributed Income]]+Table1[[#This Row],[Total Earned Income]]</f>
        <v>0</v>
      </c>
      <c r="G106" s="87">
        <f>IFERROR((Table1[[#This Row],[Cont. Income - Foundation]]+Table1[[#This Row],[Cont. Income - Membership]]+Table1[[#This Row],[Cont. Income - Small Donors]]+Table1[[#This Row],[Cont. Income - Med. Donors]]+Table1[[#This Row],[Cont. Income - Major Donors]]+Table1[[#This Row],[Cont. Income - Other]]),0)</f>
        <v>0</v>
      </c>
      <c r="H106" s="87">
        <f>IFERROR((Table1[[#This Row],[Earned Income - Advertising]]+Table1[[#This Row],[Earned Income - Sponsorships/Underwriting]]+Table1[[#This Row],[Earned Income - Events]]+Table1[[#This Row],[Earned Income - Subscriptions]]+Table1[[#This Row],[Earned Income - Syndication]]+Table1[[#This Row],[Earned Income - Other TOTAL]]),0)</f>
        <v>0</v>
      </c>
      <c r="I106" s="74" t="s">
        <v>617</v>
      </c>
      <c r="J106" s="74" t="s">
        <v>617</v>
      </c>
      <c r="K106" s="74" t="s">
        <v>617</v>
      </c>
      <c r="L106" s="74" t="s">
        <v>617</v>
      </c>
      <c r="M106" s="74" t="s">
        <v>617</v>
      </c>
      <c r="N106" s="74" t="s">
        <v>617</v>
      </c>
      <c r="O106" s="79" t="s">
        <v>617</v>
      </c>
      <c r="P106" s="74" t="s">
        <v>617</v>
      </c>
      <c r="Q106" s="74" t="s">
        <v>617</v>
      </c>
      <c r="R106" s="74" t="s">
        <v>617</v>
      </c>
      <c r="S106" s="74" t="s">
        <v>617</v>
      </c>
      <c r="T106" s="74" t="s">
        <v>617</v>
      </c>
      <c r="U106" s="88">
        <f>IFERROR(Table1[[#This Row],[Earned Income - Training Fees]]+Table1[[#This Row],[Earned Income - Fees]]+Table1[[#This Row],[Earned Income - Investments]]+Table1[[#This Row],[Earned Income - Other]],0)</f>
        <v>0</v>
      </c>
      <c r="V106" s="74" t="s">
        <v>617</v>
      </c>
      <c r="W106" s="74" t="s">
        <v>617</v>
      </c>
      <c r="X106" s="86" t="s">
        <v>617</v>
      </c>
      <c r="Y106" s="74" t="s">
        <v>617</v>
      </c>
      <c r="Z106" s="74" t="s">
        <v>617</v>
      </c>
      <c r="AA106" s="86" t="s">
        <v>617</v>
      </c>
      <c r="AB106" s="88">
        <f t="shared" si="3"/>
        <v>0</v>
      </c>
      <c r="AC106" s="74" t="s">
        <v>617</v>
      </c>
      <c r="AD106" s="88">
        <f>SUM(Table1[[#This Row],[Expenses - Revenue Generation]:[Expenses - Admin]])</f>
        <v>0</v>
      </c>
      <c r="AE106" s="74" t="s">
        <v>617</v>
      </c>
      <c r="AF106" s="74" t="s">
        <v>617</v>
      </c>
      <c r="AG106" s="74" t="s">
        <v>617</v>
      </c>
      <c r="AH106" s="75">
        <f>Table1[[#This Row],[Total FTE - Editorial]]+Table1[[#This Row],[Total FTE - Non-Editorial]]</f>
        <v>2</v>
      </c>
      <c r="AI106" s="75">
        <f>Table1[[#This Row],[FTE Salaried - Editorial]]+Table1[[#This Row],[FTE Contractors - Editorial]]</f>
        <v>2</v>
      </c>
      <c r="AJ106" s="57">
        <v>2</v>
      </c>
      <c r="AK106" s="57">
        <v>0</v>
      </c>
      <c r="AL106" s="60">
        <f>Table1[[#This Row],[FTE Salaried - Non-Editorial]]+Table1[[#This Row],[FTE Contractors - Non-Editorial]]</f>
        <v>0</v>
      </c>
      <c r="AM106" s="57">
        <v>0</v>
      </c>
      <c r="AN106" s="57">
        <v>0</v>
      </c>
      <c r="AO106" s="86" t="s">
        <v>351</v>
      </c>
      <c r="AP106" s="86" t="s">
        <v>798</v>
      </c>
      <c r="AQ106" s="76">
        <v>0</v>
      </c>
      <c r="AR106" s="76">
        <v>0</v>
      </c>
      <c r="AS106" s="76">
        <v>0</v>
      </c>
      <c r="AT106" s="76">
        <v>0</v>
      </c>
      <c r="AU106" s="76">
        <v>0</v>
      </c>
      <c r="AV106" s="86" t="s">
        <v>617</v>
      </c>
    </row>
    <row r="107" spans="1:75" s="72" customFormat="1" x14ac:dyDescent="0.2">
      <c r="A107" s="86" t="s">
        <v>799</v>
      </c>
      <c r="B107" s="86"/>
      <c r="C107" s="86" t="s">
        <v>505</v>
      </c>
      <c r="D107" s="86" t="s">
        <v>79</v>
      </c>
      <c r="E107" s="54" t="str">
        <f>_xlfn.CONCAT(Table1[[#This Row],[Geographic Scope]],": ",Table1[[#This Row],[Sub-Type/Focus]])</f>
        <v>Regional: Single-Topic</v>
      </c>
      <c r="F107" s="55">
        <f>Table1[[#This Row],[Total Contributed Income]]+Table1[[#This Row],[Total Earned Income]]</f>
        <v>108499.06</v>
      </c>
      <c r="G107" s="87">
        <f>IFERROR((Table1[[#This Row],[Cont. Income - Foundation]]+Table1[[#This Row],[Cont. Income - Membership]]+Table1[[#This Row],[Cont. Income - Small Donors]]+Table1[[#This Row],[Cont. Income - Med. Donors]]+Table1[[#This Row],[Cont. Income - Major Donors]]+Table1[[#This Row],[Cont. Income - Other]]),0)</f>
        <v>106299.06</v>
      </c>
      <c r="H107" s="87">
        <f>IFERROR((Table1[[#This Row],[Earned Income - Advertising]]+Table1[[#This Row],[Earned Income - Sponsorships/Underwriting]]+Table1[[#This Row],[Earned Income - Events]]+Table1[[#This Row],[Earned Income - Subscriptions]]+Table1[[#This Row],[Earned Income - Syndication]]+Table1[[#This Row],[Earned Income - Other TOTAL]]),0)</f>
        <v>2200</v>
      </c>
      <c r="I107" s="74">
        <v>96000</v>
      </c>
      <c r="J107" s="74">
        <v>0</v>
      </c>
      <c r="K107" s="74">
        <v>10299.06</v>
      </c>
      <c r="L107" s="74">
        <v>0</v>
      </c>
      <c r="M107" s="74">
        <v>0</v>
      </c>
      <c r="N107" s="74">
        <v>0</v>
      </c>
      <c r="O107" s="79" t="s">
        <v>617</v>
      </c>
      <c r="P107" s="74">
        <v>0</v>
      </c>
      <c r="Q107" s="74">
        <v>0</v>
      </c>
      <c r="R107" s="74">
        <v>0</v>
      </c>
      <c r="S107" s="74">
        <v>0</v>
      </c>
      <c r="T107" s="74">
        <v>0</v>
      </c>
      <c r="U107" s="88">
        <f>IFERROR(Table1[[#This Row],[Earned Income - Training Fees]]+Table1[[#This Row],[Earned Income - Fees]]+Table1[[#This Row],[Earned Income - Investments]]+Table1[[#This Row],[Earned Income - Other]],0)</f>
        <v>2200</v>
      </c>
      <c r="V107" s="74">
        <v>0</v>
      </c>
      <c r="W107" s="74">
        <v>2200</v>
      </c>
      <c r="X107" s="86" t="s">
        <v>800</v>
      </c>
      <c r="Y107" s="74">
        <v>0</v>
      </c>
      <c r="Z107" s="74">
        <v>0</v>
      </c>
      <c r="AA107" s="86" t="s">
        <v>617</v>
      </c>
      <c r="AB107" s="88">
        <f t="shared" si="3"/>
        <v>43259.820000000007</v>
      </c>
      <c r="AC107" s="74">
        <v>36472.730000000003</v>
      </c>
      <c r="AD107" s="88">
        <f>SUM(Table1[[#This Row],[Expenses - Revenue Generation]:[Expenses - Admin]])</f>
        <v>6787.09</v>
      </c>
      <c r="AE107" s="74">
        <v>0</v>
      </c>
      <c r="AF107" s="74">
        <v>0</v>
      </c>
      <c r="AG107" s="74">
        <v>6787.09</v>
      </c>
      <c r="AH107" s="75">
        <f>Table1[[#This Row],[Total FTE - Editorial]]+Table1[[#This Row],[Total FTE - Non-Editorial]]</f>
        <v>2.5</v>
      </c>
      <c r="AI107" s="75">
        <f>Table1[[#This Row],[FTE Salaried - Editorial]]+Table1[[#This Row],[FTE Contractors - Editorial]]</f>
        <v>2.5</v>
      </c>
      <c r="AJ107" s="57">
        <v>0</v>
      </c>
      <c r="AK107" s="57">
        <v>2.5</v>
      </c>
      <c r="AL107" s="60">
        <f>Table1[[#This Row],[FTE Salaried - Non-Editorial]]+Table1[[#This Row],[FTE Contractors - Non-Editorial]]</f>
        <v>0</v>
      </c>
      <c r="AM107" s="57">
        <v>0</v>
      </c>
      <c r="AN107" s="57">
        <v>0</v>
      </c>
      <c r="AO107" s="86" t="s">
        <v>351</v>
      </c>
      <c r="AP107" s="86" t="s">
        <v>617</v>
      </c>
      <c r="AQ107" s="76">
        <v>1600</v>
      </c>
      <c r="AR107" s="76">
        <v>430</v>
      </c>
      <c r="AS107" s="76">
        <v>0</v>
      </c>
      <c r="AT107" s="76">
        <v>0</v>
      </c>
      <c r="AU107" s="76">
        <v>0</v>
      </c>
      <c r="AV107" s="86" t="s">
        <v>617</v>
      </c>
    </row>
    <row r="108" spans="1:75" s="72" customFormat="1" x14ac:dyDescent="0.2">
      <c r="A108" s="86" t="s">
        <v>801</v>
      </c>
      <c r="B108" s="86"/>
      <c r="C108" s="83" t="s">
        <v>7</v>
      </c>
      <c r="D108" s="86" t="s">
        <v>78</v>
      </c>
      <c r="E108" s="54" t="str">
        <f>_xlfn.CONCAT(Table1[[#This Row],[Geographic Scope]],": ",Table1[[#This Row],[Sub-Type/Focus]])</f>
        <v>Local: Multiple Related Topics</v>
      </c>
      <c r="F108" s="55">
        <f>Table1[[#This Row],[Total Contributed Income]]+Table1[[#This Row],[Total Earned Income]]</f>
        <v>0</v>
      </c>
      <c r="G108" s="87">
        <f>IFERROR((Table1[[#This Row],[Cont. Income - Foundation]]+Table1[[#This Row],[Cont. Income - Membership]]+Table1[[#This Row],[Cont. Income - Small Donors]]+Table1[[#This Row],[Cont. Income - Med. Donors]]+Table1[[#This Row],[Cont. Income - Major Donors]]+Table1[[#This Row],[Cont. Income - Other]]),0)</f>
        <v>0</v>
      </c>
      <c r="H108" s="87">
        <f>IFERROR((Table1[[#This Row],[Earned Income - Advertising]]+Table1[[#This Row],[Earned Income - Sponsorships/Underwriting]]+Table1[[#This Row],[Earned Income - Events]]+Table1[[#This Row],[Earned Income - Subscriptions]]+Table1[[#This Row],[Earned Income - Syndication]]+Table1[[#This Row],[Earned Income - Other TOTAL]]),0)</f>
        <v>0</v>
      </c>
      <c r="I108" s="74" t="s">
        <v>617</v>
      </c>
      <c r="J108" s="74" t="s">
        <v>617</v>
      </c>
      <c r="K108" s="74" t="s">
        <v>617</v>
      </c>
      <c r="L108" s="74" t="s">
        <v>617</v>
      </c>
      <c r="M108" s="74" t="s">
        <v>617</v>
      </c>
      <c r="N108" s="74" t="s">
        <v>617</v>
      </c>
      <c r="O108" s="79" t="s">
        <v>617</v>
      </c>
      <c r="P108" s="74" t="s">
        <v>617</v>
      </c>
      <c r="Q108" s="74" t="s">
        <v>617</v>
      </c>
      <c r="R108" s="74" t="s">
        <v>617</v>
      </c>
      <c r="S108" s="74" t="s">
        <v>617</v>
      </c>
      <c r="T108" s="74" t="s">
        <v>617</v>
      </c>
      <c r="U108" s="88">
        <f>IFERROR(Table1[[#This Row],[Earned Income - Training Fees]]+Table1[[#This Row],[Earned Income - Fees]]+Table1[[#This Row],[Earned Income - Investments]]+Table1[[#This Row],[Earned Income - Other]],0)</f>
        <v>0</v>
      </c>
      <c r="V108" s="74" t="s">
        <v>617</v>
      </c>
      <c r="W108" s="74" t="s">
        <v>617</v>
      </c>
      <c r="X108" s="86" t="s">
        <v>617</v>
      </c>
      <c r="Y108" s="74" t="s">
        <v>617</v>
      </c>
      <c r="Z108" s="74" t="s">
        <v>617</v>
      </c>
      <c r="AA108" s="86" t="s">
        <v>617</v>
      </c>
      <c r="AB108" s="88">
        <f t="shared" si="3"/>
        <v>0</v>
      </c>
      <c r="AC108" s="74" t="s">
        <v>617</v>
      </c>
      <c r="AD108" s="88">
        <f>SUM(Table1[[#This Row],[Expenses - Revenue Generation]:[Expenses - Admin]])</f>
        <v>0</v>
      </c>
      <c r="AE108" s="74" t="s">
        <v>617</v>
      </c>
      <c r="AF108" s="74" t="s">
        <v>617</v>
      </c>
      <c r="AG108" s="74" t="s">
        <v>617</v>
      </c>
      <c r="AH108" s="75">
        <f>Table1[[#This Row],[Total FTE - Editorial]]+Table1[[#This Row],[Total FTE - Non-Editorial]]</f>
        <v>1</v>
      </c>
      <c r="AI108" s="75">
        <f>Table1[[#This Row],[FTE Salaried - Editorial]]+Table1[[#This Row],[FTE Contractors - Editorial]]</f>
        <v>1</v>
      </c>
      <c r="AJ108" s="57">
        <v>0</v>
      </c>
      <c r="AK108" s="57">
        <v>1</v>
      </c>
      <c r="AL108" s="60">
        <f>Table1[[#This Row],[FTE Salaried - Non-Editorial]]+Table1[[#This Row],[FTE Contractors - Non-Editorial]]</f>
        <v>0</v>
      </c>
      <c r="AM108" s="57">
        <v>0</v>
      </c>
      <c r="AN108" s="57">
        <v>0</v>
      </c>
      <c r="AO108" s="86" t="s">
        <v>351</v>
      </c>
      <c r="AP108" s="86" t="s">
        <v>617</v>
      </c>
      <c r="AQ108" s="76">
        <v>2512</v>
      </c>
      <c r="AR108" s="76">
        <v>48</v>
      </c>
      <c r="AS108" s="76">
        <v>0</v>
      </c>
      <c r="AT108" s="76">
        <v>0</v>
      </c>
      <c r="AU108" s="76">
        <v>0</v>
      </c>
      <c r="AV108" s="86" t="s">
        <v>617</v>
      </c>
    </row>
    <row r="109" spans="1:75" s="72" customFormat="1" x14ac:dyDescent="0.2">
      <c r="A109" s="86" t="s">
        <v>802</v>
      </c>
      <c r="B109" s="86"/>
      <c r="C109" s="86" t="s">
        <v>7</v>
      </c>
      <c r="D109" s="86" t="s">
        <v>77</v>
      </c>
      <c r="E109" s="54" t="str">
        <f>_xlfn.CONCAT(Table1[[#This Row],[Geographic Scope]],": ",Table1[[#This Row],[Sub-Type/Focus]])</f>
        <v>Local: General</v>
      </c>
      <c r="F109" s="55">
        <f>Table1[[#This Row],[Total Contributed Income]]+Table1[[#This Row],[Total Earned Income]]</f>
        <v>116632</v>
      </c>
      <c r="G109" s="87">
        <f>IFERROR((Table1[[#This Row],[Cont. Income - Foundation]]+Table1[[#This Row],[Cont. Income - Membership]]+Table1[[#This Row],[Cont. Income - Small Donors]]+Table1[[#This Row],[Cont. Income - Med. Donors]]+Table1[[#This Row],[Cont. Income - Major Donors]]+Table1[[#This Row],[Cont. Income - Other]]),0)</f>
        <v>115607</v>
      </c>
      <c r="H109" s="87">
        <f>IFERROR((Table1[[#This Row],[Earned Income - Advertising]]+Table1[[#This Row],[Earned Income - Sponsorships/Underwriting]]+Table1[[#This Row],[Earned Income - Events]]+Table1[[#This Row],[Earned Income - Subscriptions]]+Table1[[#This Row],[Earned Income - Syndication]]+Table1[[#This Row],[Earned Income - Other TOTAL]]),0)</f>
        <v>1025</v>
      </c>
      <c r="I109" s="74">
        <v>13750</v>
      </c>
      <c r="J109" s="74">
        <v>0</v>
      </c>
      <c r="K109" s="74">
        <v>44857</v>
      </c>
      <c r="L109" s="74">
        <v>32000</v>
      </c>
      <c r="M109" s="74">
        <v>25000</v>
      </c>
      <c r="N109" s="74">
        <v>0</v>
      </c>
      <c r="O109" s="79" t="s">
        <v>617</v>
      </c>
      <c r="P109" s="74">
        <v>1000</v>
      </c>
      <c r="Q109" s="74">
        <v>0</v>
      </c>
      <c r="R109" s="74">
        <v>0</v>
      </c>
      <c r="S109" s="74">
        <v>0</v>
      </c>
      <c r="T109" s="74">
        <v>0</v>
      </c>
      <c r="U109" s="88">
        <f>IFERROR(Table1[[#This Row],[Earned Income - Training Fees]]+Table1[[#This Row],[Earned Income - Fees]]+Table1[[#This Row],[Earned Income - Investments]]+Table1[[#This Row],[Earned Income - Other]],0)</f>
        <v>25</v>
      </c>
      <c r="V109" s="74">
        <v>0</v>
      </c>
      <c r="W109" s="74">
        <v>0</v>
      </c>
      <c r="X109" s="86" t="s">
        <v>617</v>
      </c>
      <c r="Y109" s="74">
        <v>0</v>
      </c>
      <c r="Z109" s="74">
        <v>25</v>
      </c>
      <c r="AA109" s="86" t="s">
        <v>803</v>
      </c>
      <c r="AB109" s="88">
        <f t="shared" si="3"/>
        <v>121811</v>
      </c>
      <c r="AC109" s="74">
        <v>69682</v>
      </c>
      <c r="AD109" s="88">
        <f>SUM(Table1[[#This Row],[Expenses - Revenue Generation]:[Expenses - Admin]])</f>
        <v>52129</v>
      </c>
      <c r="AE109" s="74">
        <v>10298</v>
      </c>
      <c r="AF109" s="74">
        <v>662</v>
      </c>
      <c r="AG109" s="74">
        <v>41169</v>
      </c>
      <c r="AH109" s="75">
        <f>Table1[[#This Row],[Total FTE - Editorial]]+Table1[[#This Row],[Total FTE - Non-Editorial]]</f>
        <v>6</v>
      </c>
      <c r="AI109" s="75">
        <f>Table1[[#This Row],[FTE Salaried - Editorial]]+Table1[[#This Row],[FTE Contractors - Editorial]]</f>
        <v>6</v>
      </c>
      <c r="AJ109" s="57">
        <v>3</v>
      </c>
      <c r="AK109" s="57">
        <v>3</v>
      </c>
      <c r="AL109" s="60">
        <f>Table1[[#This Row],[FTE Salaried - Non-Editorial]]+Table1[[#This Row],[FTE Contractors - Non-Editorial]]</f>
        <v>0</v>
      </c>
      <c r="AM109" s="57">
        <v>0</v>
      </c>
      <c r="AN109" s="57">
        <v>0</v>
      </c>
      <c r="AO109" s="86" t="s">
        <v>351</v>
      </c>
      <c r="AP109" s="86" t="s">
        <v>617</v>
      </c>
      <c r="AQ109" s="76">
        <v>2300</v>
      </c>
      <c r="AR109" s="76">
        <v>750</v>
      </c>
      <c r="AS109" s="76">
        <v>0</v>
      </c>
      <c r="AT109" s="76">
        <v>0</v>
      </c>
      <c r="AU109" s="76">
        <v>0</v>
      </c>
      <c r="AV109" s="86" t="s">
        <v>617</v>
      </c>
    </row>
  </sheetData>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FBF9FE4-66EE-4937-B3CC-F1CD911E7C9C}">
          <x14:formula1>
            <xm:f>'Dropdown Menus'!$C$2:$C$6</xm:f>
          </x14:formula1>
          <xm:sqref>C2:C109</xm:sqref>
        </x14:dataValidation>
        <x14:dataValidation type="list" allowBlank="1" showInputMessage="1" showErrorMessage="1" xr:uid="{15B250C0-E263-4314-9051-A3EDE38DCF33}">
          <x14:formula1>
            <xm:f>'Dropdown Menus'!$H$2:$H$9</xm:f>
          </x14:formula1>
          <xm:sqref>AO2:AO109</xm:sqref>
        </x14:dataValidation>
        <x14:dataValidation type="list" allowBlank="1" showInputMessage="1" showErrorMessage="1" xr:uid="{FB9F35A5-2217-466E-B5FC-6751D3AFD7F2}">
          <x14:formula1>
            <xm:f>'Dropdown Menus'!$D$2:$D$5</xm:f>
          </x14:formula1>
          <xm:sqref>D2:D109</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5115-1B2F-4DA1-84BA-0881CF75135A}">
  <sheetPr>
    <tabColor theme="5" tint="0.39997558519241921"/>
  </sheetPr>
  <dimension ref="A1:N37"/>
  <sheetViews>
    <sheetView view="pageBreakPreview" topLeftCell="B1" zoomScale="145" zoomScaleNormal="115" zoomScaleSheetLayoutView="145" workbookViewId="0">
      <selection activeCell="I9" sqref="I9"/>
    </sheetView>
  </sheetViews>
  <sheetFormatPr baseColWidth="10" defaultColWidth="9.1640625" defaultRowHeight="12" x14ac:dyDescent="0.15"/>
  <cols>
    <col min="1" max="1" width="20.5" style="137" customWidth="1"/>
    <col min="2" max="2" width="14.83203125" style="137" customWidth="1"/>
    <col min="3" max="3" width="9.5" style="137" bestFit="1" customWidth="1"/>
    <col min="4" max="4" width="9.83203125" style="137" bestFit="1" customWidth="1"/>
    <col min="5" max="6" width="12.1640625" style="137" customWidth="1"/>
    <col min="7" max="12" width="16.6640625" style="137" customWidth="1"/>
    <col min="13" max="16384" width="9.1640625" style="137"/>
  </cols>
  <sheetData>
    <row r="1" spans="1:14" ht="39" x14ac:dyDescent="0.15">
      <c r="A1" s="136" t="s">
        <v>804</v>
      </c>
      <c r="B1" s="136" t="s">
        <v>805</v>
      </c>
      <c r="C1" s="136" t="s">
        <v>806</v>
      </c>
      <c r="D1" s="277" t="s">
        <v>807</v>
      </c>
      <c r="E1" s="273" t="s">
        <v>808</v>
      </c>
      <c r="F1" s="273" t="s">
        <v>809</v>
      </c>
      <c r="G1" s="273" t="s">
        <v>810</v>
      </c>
      <c r="H1" s="273" t="s">
        <v>811</v>
      </c>
      <c r="I1" s="273" t="s">
        <v>812</v>
      </c>
      <c r="J1" s="273" t="s">
        <v>813</v>
      </c>
      <c r="K1" s="273" t="s">
        <v>814</v>
      </c>
      <c r="L1" s="273" t="s">
        <v>815</v>
      </c>
      <c r="M1" s="273" t="s">
        <v>40</v>
      </c>
      <c r="N1" s="273" t="s">
        <v>816</v>
      </c>
    </row>
    <row r="2" spans="1:14" x14ac:dyDescent="0.15">
      <c r="A2" s="137" t="s">
        <v>817</v>
      </c>
      <c r="B2" s="274" t="s">
        <v>818</v>
      </c>
      <c r="C2" s="137" t="s">
        <v>62</v>
      </c>
      <c r="D2" s="139">
        <v>6505</v>
      </c>
      <c r="E2" s="206">
        <f>H2/D2</f>
        <v>172.83243658724058</v>
      </c>
      <c r="F2" s="276">
        <f t="shared" ref="F2:F5" si="0">H2/G2</f>
        <v>0.42549475319960778</v>
      </c>
      <c r="G2" s="275">
        <v>2642277</v>
      </c>
      <c r="H2" s="275">
        <f t="shared" ref="H2:H8" si="1">SUM(I2:L2)</f>
        <v>1124275</v>
      </c>
      <c r="I2" s="197">
        <f>562369</f>
        <v>562369</v>
      </c>
      <c r="J2" s="278">
        <f>K2+L2</f>
        <v>280953</v>
      </c>
      <c r="K2" s="197">
        <f>184711+16453</f>
        <v>201164</v>
      </c>
      <c r="L2" s="197">
        <v>79789</v>
      </c>
      <c r="M2" s="139">
        <v>25</v>
      </c>
      <c r="N2" s="139">
        <f>F2*M2</f>
        <v>10.637368829990194</v>
      </c>
    </row>
    <row r="3" spans="1:14" x14ac:dyDescent="0.15">
      <c r="A3" s="137" t="s">
        <v>819</v>
      </c>
      <c r="B3" s="274" t="s">
        <v>820</v>
      </c>
      <c r="C3" s="137" t="s">
        <v>62</v>
      </c>
      <c r="D3" s="139">
        <v>1151801</v>
      </c>
      <c r="E3" s="206">
        <f>H3/D3</f>
        <v>0.89027271203966662</v>
      </c>
      <c r="F3" s="276">
        <f t="shared" si="0"/>
        <v>0.46322809607554638</v>
      </c>
      <c r="G3" s="275">
        <v>2213633</v>
      </c>
      <c r="H3" s="275">
        <f t="shared" si="1"/>
        <v>1025417</v>
      </c>
      <c r="I3" s="197">
        <f>397569+35000</f>
        <v>432569</v>
      </c>
      <c r="J3" s="278">
        <f t="shared" ref="J3:J9" si="2">K3+L3</f>
        <v>296424</v>
      </c>
      <c r="K3" s="197">
        <f>160160+2147</f>
        <v>162307</v>
      </c>
      <c r="L3" s="197">
        <v>134117</v>
      </c>
      <c r="M3" s="139">
        <v>25</v>
      </c>
      <c r="N3" s="139">
        <f t="shared" ref="N3:N9" si="3">F3*M3</f>
        <v>11.58070240188866</v>
      </c>
    </row>
    <row r="4" spans="1:14" x14ac:dyDescent="0.15">
      <c r="A4" s="137" t="s">
        <v>821</v>
      </c>
      <c r="B4" s="274" t="s">
        <v>822</v>
      </c>
      <c r="C4" s="137" t="s">
        <v>63</v>
      </c>
      <c r="D4" s="139">
        <v>2807338</v>
      </c>
      <c r="E4" s="206">
        <f>H4/D4</f>
        <v>1.5495387445330773</v>
      </c>
      <c r="F4" s="276">
        <f t="shared" si="0"/>
        <v>0.40285689810452324</v>
      </c>
      <c r="G4" s="275">
        <v>10798075</v>
      </c>
      <c r="H4" s="275">
        <f t="shared" si="1"/>
        <v>4350079</v>
      </c>
      <c r="I4" s="197">
        <v>2775841</v>
      </c>
      <c r="J4" s="278">
        <f t="shared" si="2"/>
        <v>787119</v>
      </c>
      <c r="K4" s="197">
        <f>787119/2</f>
        <v>393559.5</v>
      </c>
      <c r="L4" s="197">
        <f>787119/2</f>
        <v>393559.5</v>
      </c>
      <c r="M4" s="139">
        <v>65</v>
      </c>
      <c r="N4" s="139">
        <f t="shared" si="3"/>
        <v>26.185698376794011</v>
      </c>
    </row>
    <row r="5" spans="1:14" x14ac:dyDescent="0.15">
      <c r="A5" s="137" t="s">
        <v>823</v>
      </c>
      <c r="B5" s="274" t="s">
        <v>824</v>
      </c>
      <c r="C5" s="137" t="s">
        <v>63</v>
      </c>
      <c r="D5" s="139">
        <v>623989</v>
      </c>
      <c r="E5" s="206">
        <f t="shared" ref="E5:E9" si="4">H5/D5</f>
        <v>5.7945572758494137</v>
      </c>
      <c r="F5" s="276">
        <f t="shared" si="0"/>
        <v>0.36017784262861868</v>
      </c>
      <c r="G5" s="275">
        <v>10038763</v>
      </c>
      <c r="H5" s="275">
        <f t="shared" si="1"/>
        <v>3615740</v>
      </c>
      <c r="I5" s="197">
        <f>2000000+100000</f>
        <v>2100000</v>
      </c>
      <c r="J5" s="278">
        <f t="shared" si="2"/>
        <v>757870</v>
      </c>
      <c r="K5" s="197">
        <v>393705</v>
      </c>
      <c r="L5" s="197">
        <v>364165</v>
      </c>
      <c r="M5" s="139">
        <v>74</v>
      </c>
      <c r="N5" s="139">
        <f t="shared" si="3"/>
        <v>26.653160354517784</v>
      </c>
    </row>
    <row r="6" spans="1:14" x14ac:dyDescent="0.15">
      <c r="A6" s="137" t="s">
        <v>825</v>
      </c>
      <c r="B6" s="274" t="s">
        <v>826</v>
      </c>
      <c r="C6" s="137" t="s">
        <v>63</v>
      </c>
      <c r="D6" s="139">
        <v>2500000</v>
      </c>
      <c r="E6" s="206">
        <f t="shared" si="4"/>
        <v>1.7561899999999999</v>
      </c>
      <c r="F6" s="276">
        <f>H6/G6</f>
        <v>0.31134711206092042</v>
      </c>
      <c r="G6" s="275">
        <v>14101544</v>
      </c>
      <c r="H6" s="275">
        <f t="shared" si="1"/>
        <v>4390475</v>
      </c>
      <c r="I6" s="197">
        <f>2043066+651691</f>
        <v>2694757</v>
      </c>
      <c r="J6" s="278">
        <f t="shared" si="2"/>
        <v>847859</v>
      </c>
      <c r="K6" s="197">
        <v>324747</v>
      </c>
      <c r="L6" s="197">
        <v>523112</v>
      </c>
      <c r="M6" s="139">
        <v>77</v>
      </c>
      <c r="N6" s="139">
        <f t="shared" si="3"/>
        <v>23.973727628690874</v>
      </c>
    </row>
    <row r="7" spans="1:14" x14ac:dyDescent="0.15">
      <c r="A7" s="137" t="s">
        <v>827</v>
      </c>
      <c r="B7" s="274" t="s">
        <v>828</v>
      </c>
      <c r="C7" s="137" t="s">
        <v>63</v>
      </c>
      <c r="D7" s="139">
        <v>3979845</v>
      </c>
      <c r="E7" s="206">
        <f t="shared" si="4"/>
        <v>1.2461691347276087</v>
      </c>
      <c r="F7" s="276">
        <f t="shared" ref="F7:F8" si="5">H7/G7</f>
        <v>0.2704251241993943</v>
      </c>
      <c r="G7" s="275">
        <v>18339864</v>
      </c>
      <c r="H7" s="275">
        <f t="shared" si="1"/>
        <v>4959560</v>
      </c>
      <c r="I7" s="197">
        <f>1800000+500000</f>
        <v>2300000</v>
      </c>
      <c r="J7" s="278">
        <f t="shared" si="2"/>
        <v>1329780</v>
      </c>
      <c r="K7" s="197">
        <v>481380</v>
      </c>
      <c r="L7" s="197">
        <v>848400</v>
      </c>
      <c r="M7" s="139">
        <v>101</v>
      </c>
      <c r="N7" s="139">
        <f t="shared" si="3"/>
        <v>27.312937544138823</v>
      </c>
    </row>
    <row r="8" spans="1:14" x14ac:dyDescent="0.15">
      <c r="A8" s="137" t="s">
        <v>829</v>
      </c>
      <c r="B8" s="274" t="s">
        <v>830</v>
      </c>
      <c r="C8" s="137" t="s">
        <v>64</v>
      </c>
      <c r="D8" s="139">
        <v>5378000</v>
      </c>
      <c r="E8" s="206">
        <f t="shared" si="4"/>
        <v>1.3172880252882113</v>
      </c>
      <c r="F8" s="276">
        <f t="shared" si="5"/>
        <v>0.16750560844539189</v>
      </c>
      <c r="G8" s="275">
        <v>42293360</v>
      </c>
      <c r="H8" s="275">
        <f t="shared" si="1"/>
        <v>7084375</v>
      </c>
      <c r="I8" s="197">
        <f>3736337+213632</f>
        <v>3949969</v>
      </c>
      <c r="J8" s="278">
        <f t="shared" si="2"/>
        <v>1567203</v>
      </c>
      <c r="K8" s="197">
        <f>35780+5749+12500+6535+50732+756+1197802+151163+21633</f>
        <v>1482650</v>
      </c>
      <c r="L8" s="197">
        <v>84553</v>
      </c>
      <c r="M8" s="139">
        <v>86</v>
      </c>
      <c r="N8" s="139">
        <f t="shared" si="3"/>
        <v>14.405482326303703</v>
      </c>
    </row>
    <row r="9" spans="1:14" x14ac:dyDescent="0.15">
      <c r="A9" s="137" t="s">
        <v>831</v>
      </c>
      <c r="B9" s="274" t="s">
        <v>832</v>
      </c>
      <c r="C9" s="137" t="s">
        <v>64</v>
      </c>
      <c r="D9" s="139">
        <v>7000000</v>
      </c>
      <c r="E9" s="206">
        <f t="shared" si="4"/>
        <v>2.6027785714285714</v>
      </c>
      <c r="F9" s="276">
        <f>H9/G9</f>
        <v>0.21812201642244983</v>
      </c>
      <c r="G9" s="275">
        <v>83528707</v>
      </c>
      <c r="H9" s="275">
        <v>18219450</v>
      </c>
      <c r="I9" s="197"/>
      <c r="J9" s="278">
        <f t="shared" si="2"/>
        <v>0</v>
      </c>
      <c r="K9" s="197"/>
      <c r="L9" s="197"/>
      <c r="M9" s="139">
        <f>M8*(H9/H8)</f>
        <v>221.1730322011469</v>
      </c>
      <c r="N9" s="139">
        <f t="shared" si="3"/>
        <v>48.242707761981585</v>
      </c>
    </row>
    <row r="10" spans="1:14" x14ac:dyDescent="0.15">
      <c r="M10" s="139"/>
    </row>
    <row r="30" spans="11:11" x14ac:dyDescent="0.15">
      <c r="K30" s="375"/>
    </row>
    <row r="31" spans="11:11" x14ac:dyDescent="0.15">
      <c r="K31" s="375"/>
    </row>
    <row r="32" spans="11:11" x14ac:dyDescent="0.15">
      <c r="K32" s="375"/>
    </row>
    <row r="33" spans="11:11" x14ac:dyDescent="0.15">
      <c r="K33" s="375"/>
    </row>
    <row r="34" spans="11:11" x14ac:dyDescent="0.15">
      <c r="K34" s="375"/>
    </row>
    <row r="35" spans="11:11" x14ac:dyDescent="0.15">
      <c r="K35" s="375"/>
    </row>
    <row r="36" spans="11:11" x14ac:dyDescent="0.15">
      <c r="K36" s="375"/>
    </row>
    <row r="37" spans="11:11" x14ac:dyDescent="0.15">
      <c r="K37" s="375"/>
    </row>
  </sheetData>
  <mergeCells count="3">
    <mergeCell ref="K30:K31"/>
    <mergeCell ref="K32:K35"/>
    <mergeCell ref="K36:K37"/>
  </mergeCells>
  <pageMargins left="0.7" right="0.7" top="0.75" bottom="0.75" header="0.3" footer="0.3"/>
  <pageSetup scale="40"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84A7-606A-4C5E-934B-6757D0978B70}">
  <sheetPr>
    <tabColor theme="0"/>
  </sheetPr>
  <dimension ref="A1:D46"/>
  <sheetViews>
    <sheetView tabSelected="1" topLeftCell="A4" zoomScale="130" zoomScaleNormal="130" zoomScaleSheetLayoutView="145" workbookViewId="0">
      <pane ySplit="8" topLeftCell="A12" activePane="bottomLeft" state="frozen"/>
      <selection activeCell="A4" sqref="A4"/>
      <selection pane="bottomLeft" activeCell="C19" sqref="C19"/>
    </sheetView>
  </sheetViews>
  <sheetFormatPr baseColWidth="10" defaultColWidth="9.1640625" defaultRowHeight="12" x14ac:dyDescent="0.15"/>
  <cols>
    <col min="1" max="1" width="23.33203125" style="137" customWidth="1"/>
    <col min="2" max="2" width="42.6640625" style="137" bestFit="1" customWidth="1"/>
    <col min="3" max="3" width="46.33203125" style="137" bestFit="1" customWidth="1"/>
    <col min="4" max="4" width="54.33203125" style="137" customWidth="1"/>
    <col min="5" max="16384" width="9.1640625" style="137"/>
  </cols>
  <sheetData>
    <row r="1" spans="1:4" x14ac:dyDescent="0.15">
      <c r="A1" s="136" t="s">
        <v>0</v>
      </c>
      <c r="B1" s="213"/>
    </row>
    <row r="2" spans="1:4" x14ac:dyDescent="0.15">
      <c r="A2" s="136" t="s">
        <v>2</v>
      </c>
    </row>
    <row r="3" spans="1:4" x14ac:dyDescent="0.15">
      <c r="A3" s="138" t="s">
        <v>1082</v>
      </c>
    </row>
    <row r="4" spans="1:4" x14ac:dyDescent="0.15">
      <c r="A4" s="157" t="s">
        <v>1135</v>
      </c>
    </row>
    <row r="6" spans="1:4" x14ac:dyDescent="0.15">
      <c r="A6" s="136" t="s">
        <v>21</v>
      </c>
    </row>
    <row r="7" spans="1:4" x14ac:dyDescent="0.15">
      <c r="A7" s="136" t="s">
        <v>30</v>
      </c>
    </row>
    <row r="8" spans="1:4" x14ac:dyDescent="0.15">
      <c r="A8" s="136" t="s">
        <v>31</v>
      </c>
    </row>
    <row r="9" spans="1:4" x14ac:dyDescent="0.15">
      <c r="A9" s="136"/>
    </row>
    <row r="10" spans="1:4" x14ac:dyDescent="0.15">
      <c r="A10" s="136" t="s">
        <v>22</v>
      </c>
    </row>
    <row r="11" spans="1:4" ht="13" x14ac:dyDescent="0.15">
      <c r="A11" s="368" t="s">
        <v>23</v>
      </c>
      <c r="B11" s="369" t="s">
        <v>24</v>
      </c>
      <c r="C11" s="369" t="s">
        <v>1096</v>
      </c>
      <c r="D11" s="370" t="s">
        <v>1041</v>
      </c>
    </row>
    <row r="12" spans="1:4" ht="26" x14ac:dyDescent="0.15">
      <c r="A12" s="371" t="s">
        <v>29</v>
      </c>
      <c r="B12" s="361" t="s">
        <v>1097</v>
      </c>
      <c r="C12" s="362" t="s">
        <v>1128</v>
      </c>
      <c r="D12" s="367"/>
    </row>
    <row r="13" spans="1:4" ht="4.5" customHeight="1" x14ac:dyDescent="0.15">
      <c r="A13" s="373"/>
      <c r="B13" s="372"/>
      <c r="C13" s="372"/>
      <c r="D13" s="374"/>
    </row>
    <row r="14" spans="1:4" ht="39" x14ac:dyDescent="0.15">
      <c r="A14" s="371" t="s">
        <v>26</v>
      </c>
      <c r="B14" s="362" t="s">
        <v>1098</v>
      </c>
      <c r="C14" s="362" t="s">
        <v>1119</v>
      </c>
      <c r="D14" s="366" t="s">
        <v>1093</v>
      </c>
    </row>
    <row r="15" spans="1:4" ht="26" x14ac:dyDescent="0.15">
      <c r="A15" s="363"/>
      <c r="B15" s="362"/>
      <c r="C15" s="362"/>
      <c r="D15" s="366" t="s">
        <v>1094</v>
      </c>
    </row>
    <row r="16" spans="1:4" ht="26" x14ac:dyDescent="0.15">
      <c r="A16" s="363"/>
      <c r="B16" s="362"/>
      <c r="C16" s="362"/>
      <c r="D16" s="366" t="s">
        <v>1092</v>
      </c>
    </row>
    <row r="17" spans="1:4" ht="26" x14ac:dyDescent="0.15">
      <c r="A17" s="363"/>
      <c r="B17" s="362"/>
      <c r="C17" s="362"/>
      <c r="D17" s="366" t="s">
        <v>1095</v>
      </c>
    </row>
    <row r="18" spans="1:4" ht="4.5" customHeight="1" x14ac:dyDescent="0.15">
      <c r="A18" s="373"/>
      <c r="B18" s="372"/>
      <c r="C18" s="372"/>
      <c r="D18" s="374"/>
    </row>
    <row r="19" spans="1:4" ht="26" x14ac:dyDescent="0.15">
      <c r="A19" s="371" t="s">
        <v>27</v>
      </c>
      <c r="B19" s="362" t="s">
        <v>1130</v>
      </c>
      <c r="C19" s="362" t="s">
        <v>1110</v>
      </c>
      <c r="D19" s="366" t="s">
        <v>1105</v>
      </c>
    </row>
    <row r="20" spans="1:4" ht="26" x14ac:dyDescent="0.15">
      <c r="A20" s="363"/>
      <c r="B20" s="362"/>
      <c r="C20" s="362"/>
      <c r="D20" s="366" t="s">
        <v>1106</v>
      </c>
    </row>
    <row r="21" spans="1:4" ht="26" x14ac:dyDescent="0.15">
      <c r="A21" s="363"/>
      <c r="B21" s="362"/>
      <c r="C21" s="362"/>
      <c r="D21" s="366" t="s">
        <v>1107</v>
      </c>
    </row>
    <row r="22" spans="1:4" ht="26" x14ac:dyDescent="0.15">
      <c r="A22" s="363"/>
      <c r="B22" s="362"/>
      <c r="C22" s="362"/>
      <c r="D22" s="366" t="s">
        <v>1108</v>
      </c>
    </row>
    <row r="23" spans="1:4" ht="26" x14ac:dyDescent="0.15">
      <c r="A23" s="363"/>
      <c r="B23" s="362"/>
      <c r="C23" s="362"/>
      <c r="D23" s="366" t="s">
        <v>1109</v>
      </c>
    </row>
    <row r="24" spans="1:4" ht="26" x14ac:dyDescent="0.15">
      <c r="A24" s="363"/>
      <c r="B24" s="362"/>
      <c r="C24" s="362"/>
      <c r="D24" s="366" t="s">
        <v>1094</v>
      </c>
    </row>
    <row r="25" spans="1:4" ht="4.5" customHeight="1" x14ac:dyDescent="0.15">
      <c r="A25" s="373"/>
      <c r="B25" s="372"/>
      <c r="C25" s="372"/>
      <c r="D25" s="374"/>
    </row>
    <row r="26" spans="1:4" ht="26" x14ac:dyDescent="0.15">
      <c r="A26" s="371" t="s">
        <v>28</v>
      </c>
      <c r="B26" s="361" t="s">
        <v>1101</v>
      </c>
      <c r="C26" s="361" t="s">
        <v>1099</v>
      </c>
      <c r="D26" s="366" t="s">
        <v>1106</v>
      </c>
    </row>
    <row r="27" spans="1:4" ht="26" x14ac:dyDescent="0.15">
      <c r="A27" s="363"/>
      <c r="B27" s="361"/>
      <c r="C27" s="361"/>
      <c r="D27" s="366" t="s">
        <v>1107</v>
      </c>
    </row>
    <row r="28" spans="1:4" ht="26" x14ac:dyDescent="0.15">
      <c r="A28" s="363"/>
      <c r="B28" s="361"/>
      <c r="C28" s="361"/>
      <c r="D28" s="366" t="s">
        <v>1108</v>
      </c>
    </row>
    <row r="29" spans="1:4" ht="26" x14ac:dyDescent="0.15">
      <c r="A29" s="363"/>
      <c r="B29" s="361"/>
      <c r="C29" s="361"/>
      <c r="D29" s="366" t="s">
        <v>1109</v>
      </c>
    </row>
    <row r="30" spans="1:4" ht="26" x14ac:dyDescent="0.15">
      <c r="A30" s="363"/>
      <c r="B30" s="361"/>
      <c r="C30" s="361"/>
      <c r="D30" s="366" t="s">
        <v>1122</v>
      </c>
    </row>
    <row r="31" spans="1:4" ht="4.5" customHeight="1" x14ac:dyDescent="0.15">
      <c r="A31" s="373"/>
      <c r="B31" s="372"/>
      <c r="C31" s="372"/>
      <c r="D31" s="374"/>
    </row>
    <row r="32" spans="1:4" x14ac:dyDescent="0.15">
      <c r="A32" s="371" t="s">
        <v>1111</v>
      </c>
      <c r="B32" s="361" t="s">
        <v>1112</v>
      </c>
      <c r="C32" s="361" t="s">
        <v>1113</v>
      </c>
      <c r="D32" s="196" t="s">
        <v>1115</v>
      </c>
    </row>
    <row r="33" spans="1:4" x14ac:dyDescent="0.15">
      <c r="A33" s="363"/>
      <c r="B33" s="361"/>
      <c r="C33" s="361"/>
      <c r="D33" s="367" t="s">
        <v>1116</v>
      </c>
    </row>
    <row r="34" spans="1:4" x14ac:dyDescent="0.15">
      <c r="A34" s="363"/>
      <c r="B34" s="361"/>
      <c r="C34" s="361"/>
      <c r="D34" s="367" t="s">
        <v>1114</v>
      </c>
    </row>
    <row r="35" spans="1:4" ht="39" x14ac:dyDescent="0.15">
      <c r="A35" s="363"/>
      <c r="B35" s="361" t="s">
        <v>1118</v>
      </c>
      <c r="C35" s="362" t="s">
        <v>1120</v>
      </c>
      <c r="D35" s="366" t="s">
        <v>1121</v>
      </c>
    </row>
    <row r="36" spans="1:4" ht="26" x14ac:dyDescent="0.15">
      <c r="A36" s="363"/>
      <c r="B36" s="361"/>
      <c r="C36" s="361"/>
      <c r="D36" s="366" t="s">
        <v>1122</v>
      </c>
    </row>
    <row r="37" spans="1:4" ht="26" x14ac:dyDescent="0.15">
      <c r="A37" s="363"/>
      <c r="B37" s="361"/>
      <c r="C37" s="361"/>
      <c r="D37" s="366" t="s">
        <v>1092</v>
      </c>
    </row>
    <row r="38" spans="1:4" ht="26" x14ac:dyDescent="0.15">
      <c r="A38" s="363"/>
      <c r="B38" s="361"/>
      <c r="C38" s="361"/>
      <c r="D38" s="366" t="s">
        <v>1123</v>
      </c>
    </row>
    <row r="39" spans="1:4" ht="4.5" customHeight="1" x14ac:dyDescent="0.15">
      <c r="A39" s="373"/>
      <c r="B39" s="372"/>
      <c r="C39" s="372"/>
      <c r="D39" s="374"/>
    </row>
    <row r="40" spans="1:4" ht="39" x14ac:dyDescent="0.15">
      <c r="A40" s="371" t="s">
        <v>1124</v>
      </c>
      <c r="B40" s="361" t="s">
        <v>1125</v>
      </c>
      <c r="C40" s="362" t="s">
        <v>1120</v>
      </c>
      <c r="D40" s="366" t="s">
        <v>1121</v>
      </c>
    </row>
    <row r="41" spans="1:4" ht="26" x14ac:dyDescent="0.15">
      <c r="A41" s="363"/>
      <c r="B41" s="361" t="s">
        <v>1126</v>
      </c>
      <c r="C41" s="361" t="s">
        <v>1127</v>
      </c>
      <c r="D41" s="366" t="s">
        <v>1122</v>
      </c>
    </row>
    <row r="42" spans="1:4" ht="26" x14ac:dyDescent="0.15">
      <c r="A42" s="363"/>
      <c r="B42" s="361"/>
      <c r="C42" s="361"/>
      <c r="D42" s="366" t="s">
        <v>1092</v>
      </c>
    </row>
    <row r="43" spans="1:4" ht="26" x14ac:dyDescent="0.15">
      <c r="A43" s="363"/>
      <c r="B43" s="361"/>
      <c r="C43" s="361"/>
      <c r="D43" s="366" t="s">
        <v>1123</v>
      </c>
    </row>
    <row r="44" spans="1:4" ht="4.5" customHeight="1" x14ac:dyDescent="0.15">
      <c r="A44" s="373"/>
      <c r="B44" s="372"/>
      <c r="C44" s="372"/>
      <c r="D44" s="374"/>
    </row>
    <row r="45" spans="1:4" ht="26" x14ac:dyDescent="0.15">
      <c r="A45" s="371" t="s">
        <v>25</v>
      </c>
      <c r="B45" s="362" t="s">
        <v>1102</v>
      </c>
      <c r="C45" s="362" t="s">
        <v>1100</v>
      </c>
      <c r="D45" s="196"/>
    </row>
    <row r="46" spans="1:4" ht="13" x14ac:dyDescent="0.15">
      <c r="A46" s="364"/>
      <c r="B46" s="365" t="s">
        <v>1132</v>
      </c>
      <c r="C46" s="365" t="s">
        <v>1103</v>
      </c>
      <c r="D46" s="195"/>
    </row>
  </sheetData>
  <pageMargins left="0.7" right="0.7" top="0.75" bottom="0.75" header="0.3" footer="0.3"/>
  <pageSetup scale="73"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4411-44ED-4AD8-B1ED-99C2507A46BE}">
  <sheetPr>
    <tabColor theme="5" tint="0.39997558519241921"/>
  </sheetPr>
  <dimension ref="A1:U33"/>
  <sheetViews>
    <sheetView topLeftCell="B1" zoomScale="130" zoomScaleNormal="130" workbookViewId="0">
      <selection activeCell="F13" sqref="F13"/>
    </sheetView>
  </sheetViews>
  <sheetFormatPr baseColWidth="10" defaultColWidth="8.83203125" defaultRowHeight="15" x14ac:dyDescent="0.2"/>
  <cols>
    <col min="1" max="1" width="22.5" bestFit="1" customWidth="1"/>
    <col min="2" max="2" width="9.5" bestFit="1" customWidth="1"/>
    <col min="3" max="3" width="14.5" bestFit="1" customWidth="1"/>
    <col min="4" max="4" width="24.1640625" bestFit="1" customWidth="1"/>
    <col min="5" max="5" width="10.6640625" bestFit="1" customWidth="1"/>
    <col min="6" max="6" width="12.6640625" customWidth="1"/>
    <col min="7" max="7" width="9.83203125" bestFit="1" customWidth="1"/>
    <col min="8" max="8" width="10.6640625" bestFit="1" customWidth="1"/>
  </cols>
  <sheetData>
    <row r="1" spans="1:21" s="1" customFormat="1" ht="27" x14ac:dyDescent="0.2">
      <c r="A1" s="136" t="s">
        <v>833</v>
      </c>
      <c r="B1" s="136" t="s">
        <v>834</v>
      </c>
      <c r="C1" s="136" t="s">
        <v>302</v>
      </c>
      <c r="D1" s="136" t="s">
        <v>835</v>
      </c>
      <c r="E1" s="273" t="s">
        <v>836</v>
      </c>
      <c r="F1" s="273" t="s">
        <v>272</v>
      </c>
      <c r="G1" s="273" t="s">
        <v>273</v>
      </c>
      <c r="H1" s="273" t="s">
        <v>37</v>
      </c>
      <c r="I1" s="277" t="s">
        <v>40</v>
      </c>
      <c r="J1" s="136"/>
      <c r="K1" s="136"/>
      <c r="L1" s="136"/>
      <c r="M1" s="136"/>
      <c r="N1" s="136"/>
      <c r="O1" s="136"/>
      <c r="P1" s="136"/>
      <c r="Q1" s="136"/>
      <c r="R1" s="136"/>
      <c r="S1" s="136"/>
      <c r="T1" s="136"/>
      <c r="U1" s="136"/>
    </row>
    <row r="2" spans="1:21" x14ac:dyDescent="0.2">
      <c r="A2" s="137" t="s">
        <v>837</v>
      </c>
      <c r="B2" s="137" t="s">
        <v>203</v>
      </c>
      <c r="C2" s="137" t="s">
        <v>83</v>
      </c>
      <c r="D2" s="137" t="s">
        <v>838</v>
      </c>
      <c r="E2" s="173">
        <f>SUM(F2:G2)</f>
        <v>800000</v>
      </c>
      <c r="F2" s="173">
        <v>750000</v>
      </c>
      <c r="G2" s="173">
        <v>50000</v>
      </c>
      <c r="H2" s="173">
        <v>750000</v>
      </c>
      <c r="I2" s="137">
        <v>14</v>
      </c>
      <c r="J2" s="137"/>
      <c r="K2" s="137"/>
      <c r="L2" s="137"/>
      <c r="M2" s="137"/>
      <c r="N2" s="137"/>
      <c r="O2" s="137"/>
      <c r="P2" s="137"/>
      <c r="Q2" s="137"/>
      <c r="R2" s="137"/>
      <c r="S2" s="137"/>
      <c r="T2" s="137"/>
      <c r="U2" s="137"/>
    </row>
    <row r="3" spans="1:21" x14ac:dyDescent="0.2">
      <c r="A3" s="193" t="s">
        <v>839</v>
      </c>
      <c r="B3" s="137" t="s">
        <v>178</v>
      </c>
      <c r="C3" s="137" t="s">
        <v>83</v>
      </c>
      <c r="D3" s="137" t="s">
        <v>840</v>
      </c>
      <c r="E3" s="173">
        <f>SUM(F3:G3)</f>
        <v>1142108</v>
      </c>
      <c r="F3" s="173">
        <v>1142108</v>
      </c>
      <c r="G3" s="173">
        <v>0</v>
      </c>
      <c r="H3" s="173">
        <v>948038</v>
      </c>
      <c r="I3" s="137">
        <v>3</v>
      </c>
      <c r="J3" s="137"/>
      <c r="K3" s="137"/>
      <c r="L3" s="137"/>
      <c r="M3" s="137"/>
      <c r="N3" s="137"/>
      <c r="O3" s="137"/>
      <c r="P3" s="137"/>
      <c r="Q3" s="137"/>
      <c r="R3" s="137"/>
      <c r="S3" s="137"/>
      <c r="T3" s="137"/>
      <c r="U3" s="137"/>
    </row>
    <row r="4" spans="1:21" x14ac:dyDescent="0.2">
      <c r="A4" s="319" t="s">
        <v>841</v>
      </c>
      <c r="B4" s="137" t="s">
        <v>178</v>
      </c>
      <c r="C4" s="137" t="s">
        <v>83</v>
      </c>
      <c r="D4" s="137" t="s">
        <v>838</v>
      </c>
      <c r="E4" s="173">
        <v>927000</v>
      </c>
      <c r="F4" s="194">
        <f>E4</f>
        <v>927000</v>
      </c>
      <c r="G4" s="173">
        <v>0</v>
      </c>
      <c r="H4" s="173">
        <v>848419</v>
      </c>
      <c r="I4" s="137">
        <v>6</v>
      </c>
      <c r="J4" s="137"/>
      <c r="K4" s="137"/>
      <c r="L4" s="137"/>
      <c r="M4" s="137"/>
      <c r="N4" s="137"/>
      <c r="O4" s="137"/>
      <c r="P4" s="137"/>
      <c r="Q4" s="137"/>
      <c r="R4" s="137"/>
      <c r="S4" s="137"/>
      <c r="T4" s="137"/>
      <c r="U4" s="137"/>
    </row>
    <row r="5" spans="1:21" x14ac:dyDescent="0.2">
      <c r="A5" s="171"/>
      <c r="B5" s="137"/>
      <c r="C5" s="137"/>
      <c r="D5" s="137"/>
      <c r="E5" s="137"/>
      <c r="F5" s="137"/>
      <c r="G5" s="137"/>
      <c r="H5" s="137"/>
      <c r="I5" s="137"/>
      <c r="J5" s="137"/>
      <c r="K5" s="137"/>
      <c r="L5" s="137"/>
      <c r="M5" s="137"/>
      <c r="N5" s="137"/>
      <c r="O5" s="137"/>
      <c r="P5" s="137"/>
      <c r="Q5" s="137"/>
      <c r="R5" s="137"/>
      <c r="S5" s="137"/>
      <c r="T5" s="137"/>
      <c r="U5" s="137"/>
    </row>
    <row r="6" spans="1:21" x14ac:dyDescent="0.2">
      <c r="A6" s="174"/>
      <c r="B6" s="137"/>
      <c r="C6" s="137"/>
      <c r="D6" s="137"/>
      <c r="E6" s="137"/>
      <c r="F6" s="137"/>
      <c r="G6" s="137"/>
      <c r="H6" s="137"/>
      <c r="I6" s="137"/>
      <c r="J6" s="137"/>
      <c r="K6" s="137"/>
      <c r="L6" s="137"/>
      <c r="M6" s="137"/>
      <c r="N6" s="137"/>
      <c r="O6" s="137"/>
      <c r="P6" s="137"/>
      <c r="Q6" s="137"/>
      <c r="R6" s="137"/>
      <c r="S6" s="137"/>
      <c r="T6" s="137"/>
      <c r="U6" s="137"/>
    </row>
    <row r="7" spans="1:21" x14ac:dyDescent="0.2">
      <c r="A7" s="174"/>
      <c r="B7" s="137"/>
      <c r="C7" s="137"/>
      <c r="D7" s="137"/>
      <c r="E7" s="137"/>
      <c r="F7" s="137"/>
      <c r="G7" s="137"/>
      <c r="H7" s="137"/>
      <c r="I7" s="137"/>
      <c r="J7" s="137"/>
      <c r="K7" s="137"/>
      <c r="L7" s="137"/>
      <c r="M7" s="137"/>
      <c r="N7" s="137"/>
      <c r="O7" s="137"/>
      <c r="P7" s="137"/>
      <c r="Q7" s="137"/>
      <c r="R7" s="137"/>
      <c r="S7" s="137"/>
      <c r="T7" s="137"/>
      <c r="U7" s="137"/>
    </row>
    <row r="8" spans="1:21" x14ac:dyDescent="0.2">
      <c r="A8" s="171"/>
      <c r="B8" s="137"/>
      <c r="C8" s="137"/>
      <c r="D8" s="137"/>
      <c r="E8" s="137"/>
      <c r="F8" s="137"/>
      <c r="G8" s="137"/>
      <c r="H8" s="137"/>
      <c r="I8" s="137"/>
      <c r="J8" s="137"/>
      <c r="K8" s="137"/>
      <c r="L8" s="137"/>
      <c r="M8" s="137"/>
      <c r="N8" s="137"/>
      <c r="O8" s="137"/>
      <c r="P8" s="137"/>
      <c r="Q8" s="137"/>
      <c r="R8" s="137"/>
      <c r="S8" s="137"/>
      <c r="T8" s="137"/>
      <c r="U8" s="137"/>
    </row>
    <row r="9" spans="1:21" x14ac:dyDescent="0.2">
      <c r="A9" s="171"/>
      <c r="B9" s="137"/>
      <c r="C9" s="137"/>
      <c r="D9" s="137"/>
      <c r="E9" s="137"/>
      <c r="F9" s="137"/>
      <c r="G9" s="137"/>
      <c r="H9" s="137"/>
      <c r="I9" s="137"/>
      <c r="J9" s="137"/>
      <c r="K9" s="137"/>
      <c r="L9" s="137"/>
      <c r="M9" s="137"/>
      <c r="N9" s="137"/>
      <c r="O9" s="137"/>
      <c r="P9" s="137"/>
      <c r="Q9" s="137"/>
      <c r="R9" s="137"/>
      <c r="S9" s="137"/>
      <c r="T9" s="137"/>
      <c r="U9" s="137"/>
    </row>
    <row r="10" spans="1:21" x14ac:dyDescent="0.2">
      <c r="A10" s="171"/>
      <c r="B10" s="137"/>
      <c r="C10" s="137"/>
      <c r="D10" s="137"/>
      <c r="E10" s="137"/>
      <c r="F10" s="137"/>
      <c r="G10" s="137"/>
      <c r="H10" s="137"/>
      <c r="I10" s="137"/>
      <c r="J10" s="137"/>
      <c r="K10" s="137"/>
      <c r="L10" s="137"/>
      <c r="M10" s="137"/>
      <c r="N10" s="137"/>
      <c r="O10" s="137"/>
      <c r="P10" s="137"/>
      <c r="Q10" s="137"/>
      <c r="R10" s="137"/>
      <c r="S10" s="137"/>
      <c r="T10" s="137"/>
      <c r="U10" s="137"/>
    </row>
    <row r="11" spans="1:21" x14ac:dyDescent="0.2">
      <c r="A11" s="174"/>
      <c r="B11" s="137"/>
      <c r="C11" s="137"/>
      <c r="D11" s="137"/>
      <c r="E11" s="137"/>
      <c r="F11" s="137"/>
      <c r="G11" s="137"/>
      <c r="H11" s="137"/>
      <c r="I11" s="137"/>
      <c r="J11" s="137"/>
      <c r="K11" s="137"/>
      <c r="L11" s="137"/>
      <c r="M11" s="137"/>
      <c r="N11" s="137"/>
      <c r="O11" s="137"/>
      <c r="P11" s="137"/>
      <c r="Q11" s="137"/>
      <c r="R11" s="137"/>
      <c r="S11" s="137"/>
      <c r="T11" s="137"/>
      <c r="U11" s="137"/>
    </row>
    <row r="12" spans="1:21" x14ac:dyDescent="0.2">
      <c r="A12" s="171"/>
      <c r="B12" s="137"/>
      <c r="C12" s="137"/>
      <c r="D12" s="137"/>
      <c r="E12" s="137"/>
      <c r="F12" s="137"/>
      <c r="G12" s="137"/>
      <c r="H12" s="137"/>
      <c r="I12" s="137"/>
      <c r="J12" s="137"/>
      <c r="K12" s="137"/>
      <c r="L12" s="137"/>
      <c r="M12" s="137"/>
      <c r="N12" s="137"/>
      <c r="O12" s="137"/>
      <c r="P12" s="137"/>
      <c r="Q12" s="137"/>
      <c r="R12" s="137"/>
      <c r="S12" s="137"/>
      <c r="T12" s="137"/>
      <c r="U12" s="137"/>
    </row>
    <row r="13" spans="1:21" x14ac:dyDescent="0.2">
      <c r="A13" s="174"/>
      <c r="B13" s="137"/>
      <c r="C13" s="137"/>
      <c r="D13" s="137"/>
      <c r="E13" s="137"/>
      <c r="F13" s="137"/>
      <c r="G13" s="137"/>
      <c r="H13" s="137"/>
      <c r="I13" s="137"/>
      <c r="J13" s="137"/>
      <c r="K13" s="137"/>
      <c r="L13" s="137"/>
      <c r="M13" s="137"/>
      <c r="N13" s="137"/>
      <c r="O13" s="137"/>
      <c r="P13" s="137"/>
      <c r="Q13" s="137"/>
      <c r="R13" s="137"/>
      <c r="S13" s="137"/>
      <c r="T13" s="137"/>
      <c r="U13" s="137"/>
    </row>
    <row r="14" spans="1:21" x14ac:dyDescent="0.2">
      <c r="A14" s="171"/>
      <c r="B14" s="137"/>
      <c r="C14" s="137"/>
      <c r="D14" s="137"/>
      <c r="E14" s="137"/>
      <c r="F14" s="137"/>
      <c r="G14" s="137"/>
      <c r="H14" s="137"/>
      <c r="I14" s="137"/>
      <c r="J14" s="137"/>
      <c r="K14" s="137"/>
      <c r="L14" s="137"/>
      <c r="M14" s="137"/>
      <c r="N14" s="137"/>
      <c r="O14" s="137"/>
      <c r="P14" s="137"/>
      <c r="Q14" s="137"/>
      <c r="R14" s="137"/>
      <c r="S14" s="137"/>
      <c r="T14" s="137"/>
      <c r="U14" s="137"/>
    </row>
    <row r="15" spans="1:21" x14ac:dyDescent="0.2">
      <c r="A15" s="193"/>
      <c r="B15" s="137"/>
      <c r="C15" s="137"/>
      <c r="D15" s="137"/>
      <c r="E15" s="137"/>
      <c r="F15" s="137"/>
      <c r="G15" s="137"/>
      <c r="H15" s="137"/>
      <c r="I15" s="137"/>
      <c r="J15" s="137"/>
      <c r="K15" s="137"/>
      <c r="L15" s="137"/>
      <c r="M15" s="137"/>
      <c r="N15" s="137"/>
      <c r="O15" s="137"/>
      <c r="P15" s="137"/>
      <c r="Q15" s="137"/>
      <c r="R15" s="137"/>
      <c r="S15" s="137"/>
      <c r="T15" s="137"/>
      <c r="U15" s="137"/>
    </row>
    <row r="16" spans="1:21" x14ac:dyDescent="0.2">
      <c r="A16" s="193"/>
      <c r="B16" s="137"/>
      <c r="C16" s="137"/>
      <c r="D16" s="137"/>
      <c r="E16" s="137"/>
      <c r="F16" s="137"/>
      <c r="G16" s="137"/>
      <c r="H16" s="137"/>
      <c r="I16" s="137"/>
      <c r="J16" s="137"/>
      <c r="K16" s="137"/>
      <c r="L16" s="137"/>
      <c r="M16" s="137"/>
      <c r="N16" s="137"/>
      <c r="O16" s="137"/>
      <c r="P16" s="137"/>
      <c r="Q16" s="137"/>
      <c r="R16" s="137"/>
      <c r="S16" s="137"/>
      <c r="T16" s="137"/>
      <c r="U16" s="137"/>
    </row>
    <row r="17" spans="1:21" x14ac:dyDescent="0.2">
      <c r="A17" s="193"/>
      <c r="B17" s="137"/>
      <c r="C17" s="137"/>
      <c r="D17" s="137"/>
      <c r="E17" s="137"/>
      <c r="F17" s="137"/>
      <c r="G17" s="137"/>
      <c r="H17" s="137"/>
      <c r="I17" s="137"/>
      <c r="J17" s="137"/>
      <c r="K17" s="137"/>
      <c r="L17" s="137"/>
      <c r="M17" s="137"/>
      <c r="N17" s="137"/>
      <c r="O17" s="137"/>
      <c r="P17" s="137"/>
      <c r="Q17" s="137"/>
      <c r="R17" s="137"/>
      <c r="S17" s="137"/>
      <c r="T17" s="137"/>
      <c r="U17" s="137"/>
    </row>
    <row r="18" spans="1:21" x14ac:dyDescent="0.2">
      <c r="A18" s="137"/>
      <c r="B18" s="137"/>
      <c r="C18" s="137"/>
      <c r="D18" s="137"/>
      <c r="E18" s="137"/>
      <c r="F18" s="137"/>
      <c r="G18" s="137"/>
      <c r="H18" s="137"/>
      <c r="I18" s="137"/>
      <c r="J18" s="137"/>
      <c r="K18" s="137"/>
      <c r="L18" s="137"/>
      <c r="M18" s="137"/>
      <c r="N18" s="137"/>
      <c r="O18" s="137"/>
      <c r="P18" s="137"/>
      <c r="Q18" s="137"/>
      <c r="R18" s="137"/>
      <c r="S18" s="137"/>
      <c r="T18" s="137"/>
      <c r="U18" s="137"/>
    </row>
    <row r="19" spans="1:21" x14ac:dyDescent="0.2">
      <c r="A19" s="137"/>
      <c r="B19" s="137"/>
      <c r="C19" s="137"/>
      <c r="D19" s="137"/>
      <c r="E19" s="137"/>
      <c r="F19" s="137"/>
      <c r="G19" s="137"/>
      <c r="H19" s="137"/>
      <c r="I19" s="137"/>
      <c r="J19" s="137"/>
      <c r="K19" s="137"/>
      <c r="L19" s="137"/>
      <c r="M19" s="137"/>
      <c r="N19" s="137"/>
      <c r="O19" s="137"/>
      <c r="P19" s="137"/>
      <c r="Q19" s="137"/>
      <c r="R19" s="137"/>
      <c r="S19" s="137"/>
      <c r="T19" s="137"/>
      <c r="U19" s="137"/>
    </row>
    <row r="20" spans="1:21" x14ac:dyDescent="0.2">
      <c r="A20" s="136"/>
      <c r="B20" s="137"/>
      <c r="C20" s="137"/>
      <c r="D20" s="137"/>
      <c r="E20" s="137"/>
      <c r="F20" s="137"/>
      <c r="G20" s="137"/>
      <c r="H20" s="137"/>
      <c r="I20" s="137"/>
      <c r="J20" s="137"/>
      <c r="K20" s="137"/>
      <c r="L20" s="137"/>
      <c r="M20" s="137"/>
      <c r="N20" s="137"/>
      <c r="O20" s="137"/>
      <c r="P20" s="137"/>
      <c r="Q20" s="137"/>
      <c r="R20" s="137"/>
      <c r="S20" s="137"/>
      <c r="T20" s="137"/>
      <c r="U20" s="137"/>
    </row>
    <row r="21" spans="1:21" x14ac:dyDescent="0.2">
      <c r="A21" s="137"/>
      <c r="B21" s="137"/>
      <c r="C21" s="137"/>
      <c r="D21" s="137"/>
      <c r="E21" s="137"/>
      <c r="F21" s="137"/>
      <c r="G21" s="137"/>
      <c r="H21" s="137"/>
      <c r="I21" s="137"/>
      <c r="J21" s="137"/>
      <c r="K21" s="137"/>
      <c r="L21" s="137"/>
      <c r="M21" s="137"/>
      <c r="N21" s="137"/>
      <c r="O21" s="137"/>
      <c r="P21" s="137"/>
      <c r="Q21" s="137"/>
      <c r="R21" s="137"/>
      <c r="S21" s="137"/>
      <c r="T21" s="137"/>
      <c r="U21" s="137"/>
    </row>
    <row r="22" spans="1:21" x14ac:dyDescent="0.2">
      <c r="A22" s="137"/>
    </row>
    <row r="23" spans="1:21" x14ac:dyDescent="0.2">
      <c r="A23" s="137"/>
    </row>
    <row r="24" spans="1:21" x14ac:dyDescent="0.2">
      <c r="A24" s="137"/>
    </row>
    <row r="25" spans="1:21" x14ac:dyDescent="0.2">
      <c r="A25" s="136"/>
    </row>
    <row r="26" spans="1:21" x14ac:dyDescent="0.2">
      <c r="A26" s="136"/>
    </row>
    <row r="27" spans="1:21" x14ac:dyDescent="0.2">
      <c r="A27" s="136"/>
    </row>
    <row r="28" spans="1:21" x14ac:dyDescent="0.2">
      <c r="A28" s="137"/>
    </row>
    <row r="29" spans="1:21" x14ac:dyDescent="0.2">
      <c r="A29" s="137"/>
    </row>
    <row r="30" spans="1:21" x14ac:dyDescent="0.2">
      <c r="A30" s="136"/>
    </row>
    <row r="31" spans="1:21" x14ac:dyDescent="0.2">
      <c r="A31" s="137"/>
    </row>
    <row r="32" spans="1:21" x14ac:dyDescent="0.2">
      <c r="A32" s="137"/>
    </row>
    <row r="33" spans="1:1" x14ac:dyDescent="0.2">
      <c r="A33" s="1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1BBFC-06A8-4A26-9510-BA16FA9ACCE0}">
  <sheetPr>
    <tabColor theme="5" tint="0.39997558519241921"/>
  </sheetPr>
  <dimension ref="A1:D54"/>
  <sheetViews>
    <sheetView view="pageBreakPreview" topLeftCell="A2" zoomScale="115" zoomScaleNormal="100" zoomScaleSheetLayoutView="115" workbookViewId="0">
      <selection sqref="A1:XFD1"/>
    </sheetView>
  </sheetViews>
  <sheetFormatPr baseColWidth="10" defaultColWidth="8.83203125" defaultRowHeight="15" outlineLevelRow="1" x14ac:dyDescent="0.2"/>
  <cols>
    <col min="1" max="1" width="18.6640625" bestFit="1" customWidth="1"/>
    <col min="2" max="2" width="19.5" bestFit="1" customWidth="1"/>
    <col min="4" max="4" width="9.5" bestFit="1" customWidth="1"/>
  </cols>
  <sheetData>
    <row r="1" spans="1:4" hidden="1" outlineLevel="1" x14ac:dyDescent="0.2">
      <c r="A1">
        <v>1</v>
      </c>
      <c r="B1">
        <v>2</v>
      </c>
      <c r="C1">
        <v>3</v>
      </c>
      <c r="D1">
        <v>4</v>
      </c>
    </row>
    <row r="2" spans="1:4" collapsed="1" x14ac:dyDescent="0.2">
      <c r="A2" s="127" t="s">
        <v>842</v>
      </c>
      <c r="B2" s="127" t="s">
        <v>843</v>
      </c>
      <c r="C2" s="127" t="s">
        <v>844</v>
      </c>
      <c r="D2" s="128" t="s">
        <v>845</v>
      </c>
    </row>
    <row r="3" spans="1:4" x14ac:dyDescent="0.2">
      <c r="A3" s="129" t="s">
        <v>846</v>
      </c>
      <c r="B3" s="129" t="s">
        <v>847</v>
      </c>
      <c r="C3" s="129" t="s">
        <v>848</v>
      </c>
      <c r="D3" s="130">
        <v>14061</v>
      </c>
    </row>
    <row r="4" spans="1:4" x14ac:dyDescent="0.2">
      <c r="A4" s="129" t="s">
        <v>173</v>
      </c>
      <c r="B4" s="129" t="s">
        <v>847</v>
      </c>
      <c r="C4" s="129" t="s">
        <v>848</v>
      </c>
      <c r="D4" s="130">
        <v>137</v>
      </c>
    </row>
    <row r="5" spans="1:4" x14ac:dyDescent="0.2">
      <c r="A5" s="129" t="s">
        <v>174</v>
      </c>
      <c r="B5" s="129" t="s">
        <v>847</v>
      </c>
      <c r="C5" s="129" t="s">
        <v>848</v>
      </c>
      <c r="D5" s="130">
        <v>55</v>
      </c>
    </row>
    <row r="6" spans="1:4" x14ac:dyDescent="0.2">
      <c r="A6" s="129" t="s">
        <v>175</v>
      </c>
      <c r="B6" s="129" t="s">
        <v>847</v>
      </c>
      <c r="C6" s="129" t="s">
        <v>848</v>
      </c>
      <c r="D6" s="130">
        <v>254</v>
      </c>
    </row>
    <row r="7" spans="1:4" x14ac:dyDescent="0.2">
      <c r="A7" s="129" t="s">
        <v>176</v>
      </c>
      <c r="B7" s="129" t="s">
        <v>847</v>
      </c>
      <c r="C7" s="129" t="s">
        <v>848</v>
      </c>
      <c r="D7" s="130">
        <v>235</v>
      </c>
    </row>
    <row r="8" spans="1:4" x14ac:dyDescent="0.2">
      <c r="A8" s="129" t="s">
        <v>177</v>
      </c>
      <c r="B8" s="129" t="s">
        <v>847</v>
      </c>
      <c r="C8" s="129" t="s">
        <v>848</v>
      </c>
      <c r="D8" s="130">
        <v>1068</v>
      </c>
    </row>
    <row r="9" spans="1:4" x14ac:dyDescent="0.2">
      <c r="A9" s="129" t="s">
        <v>178</v>
      </c>
      <c r="B9" s="129" t="s">
        <v>847</v>
      </c>
      <c r="C9" s="129" t="s">
        <v>848</v>
      </c>
      <c r="D9" s="130">
        <v>180</v>
      </c>
    </row>
    <row r="10" spans="1:4" x14ac:dyDescent="0.2">
      <c r="A10" s="129" t="s">
        <v>179</v>
      </c>
      <c r="B10" s="129" t="s">
        <v>847</v>
      </c>
      <c r="C10" s="129" t="s">
        <v>848</v>
      </c>
      <c r="D10" s="130">
        <v>166</v>
      </c>
    </row>
    <row r="11" spans="1:4" x14ac:dyDescent="0.2">
      <c r="A11" s="129" t="s">
        <v>180</v>
      </c>
      <c r="B11" s="129" t="s">
        <v>847</v>
      </c>
      <c r="C11" s="129" t="s">
        <v>848</v>
      </c>
      <c r="D11" s="130">
        <v>19</v>
      </c>
    </row>
    <row r="12" spans="1:4" x14ac:dyDescent="0.2">
      <c r="A12" s="129" t="s">
        <v>181</v>
      </c>
      <c r="B12" s="129" t="s">
        <v>847</v>
      </c>
      <c r="C12" s="129" t="s">
        <v>848</v>
      </c>
      <c r="D12" s="130">
        <v>2</v>
      </c>
    </row>
    <row r="13" spans="1:4" x14ac:dyDescent="0.2">
      <c r="A13" s="129" t="s">
        <v>182</v>
      </c>
      <c r="B13" s="129" t="s">
        <v>847</v>
      </c>
      <c r="C13" s="129" t="s">
        <v>848</v>
      </c>
      <c r="D13" s="130">
        <v>95</v>
      </c>
    </row>
    <row r="14" spans="1:4" x14ac:dyDescent="0.2">
      <c r="A14" s="129" t="s">
        <v>183</v>
      </c>
      <c r="B14" s="129" t="s">
        <v>847</v>
      </c>
      <c r="C14" s="129" t="s">
        <v>848</v>
      </c>
      <c r="D14" s="130">
        <v>180</v>
      </c>
    </row>
    <row r="15" spans="1:4" x14ac:dyDescent="0.2">
      <c r="A15" s="129" t="s">
        <v>184</v>
      </c>
      <c r="B15" s="129" t="s">
        <v>847</v>
      </c>
      <c r="C15" s="129" t="s">
        <v>848</v>
      </c>
      <c r="D15" s="130">
        <v>1</v>
      </c>
    </row>
    <row r="16" spans="1:4" x14ac:dyDescent="0.2">
      <c r="A16" s="129" t="s">
        <v>185</v>
      </c>
      <c r="B16" s="129" t="s">
        <v>847</v>
      </c>
      <c r="C16" s="129" t="s">
        <v>848</v>
      </c>
      <c r="D16" s="130">
        <v>118</v>
      </c>
    </row>
    <row r="17" spans="1:4" x14ac:dyDescent="0.2">
      <c r="A17" s="129" t="s">
        <v>186</v>
      </c>
      <c r="B17" s="129" t="s">
        <v>847</v>
      </c>
      <c r="C17" s="129" t="s">
        <v>848</v>
      </c>
      <c r="D17" s="130">
        <v>886</v>
      </c>
    </row>
    <row r="18" spans="1:4" x14ac:dyDescent="0.2">
      <c r="A18" s="129" t="s">
        <v>187</v>
      </c>
      <c r="B18" s="129" t="s">
        <v>847</v>
      </c>
      <c r="C18" s="129" t="s">
        <v>848</v>
      </c>
      <c r="D18" s="130">
        <v>289</v>
      </c>
    </row>
    <row r="19" spans="1:4" x14ac:dyDescent="0.2">
      <c r="A19" s="129" t="s">
        <v>188</v>
      </c>
      <c r="B19" s="129" t="s">
        <v>847</v>
      </c>
      <c r="C19" s="129" t="s">
        <v>848</v>
      </c>
      <c r="D19" s="130">
        <v>348</v>
      </c>
    </row>
    <row r="20" spans="1:4" x14ac:dyDescent="0.2">
      <c r="A20" s="129" t="s">
        <v>189</v>
      </c>
      <c r="B20" s="129" t="s">
        <v>847</v>
      </c>
      <c r="C20" s="129" t="s">
        <v>848</v>
      </c>
      <c r="D20" s="130">
        <v>306</v>
      </c>
    </row>
    <row r="21" spans="1:4" x14ac:dyDescent="0.2">
      <c r="A21" s="129" t="s">
        <v>190</v>
      </c>
      <c r="B21" s="129" t="s">
        <v>847</v>
      </c>
      <c r="C21" s="129" t="s">
        <v>848</v>
      </c>
      <c r="D21" s="130">
        <v>173</v>
      </c>
    </row>
    <row r="22" spans="1:4" x14ac:dyDescent="0.2">
      <c r="A22" s="129" t="s">
        <v>191</v>
      </c>
      <c r="B22" s="129" t="s">
        <v>847</v>
      </c>
      <c r="C22" s="129" t="s">
        <v>848</v>
      </c>
      <c r="D22" s="130">
        <v>70</v>
      </c>
    </row>
    <row r="23" spans="1:4" x14ac:dyDescent="0.2">
      <c r="A23" s="129" t="s">
        <v>192</v>
      </c>
      <c r="B23" s="129" t="s">
        <v>847</v>
      </c>
      <c r="C23" s="129" t="s">
        <v>848</v>
      </c>
      <c r="D23" s="130">
        <v>258</v>
      </c>
    </row>
    <row r="24" spans="1:4" x14ac:dyDescent="0.2">
      <c r="A24" s="129" t="s">
        <v>193</v>
      </c>
      <c r="B24" s="129" t="s">
        <v>847</v>
      </c>
      <c r="C24" s="129" t="s">
        <v>848</v>
      </c>
      <c r="D24" s="130">
        <v>39</v>
      </c>
    </row>
    <row r="25" spans="1:4" x14ac:dyDescent="0.2">
      <c r="A25" s="129" t="s">
        <v>194</v>
      </c>
      <c r="B25" s="129" t="s">
        <v>847</v>
      </c>
      <c r="C25" s="129" t="s">
        <v>848</v>
      </c>
      <c r="D25" s="130">
        <v>321</v>
      </c>
    </row>
    <row r="26" spans="1:4" x14ac:dyDescent="0.2">
      <c r="A26" s="129" t="s">
        <v>195</v>
      </c>
      <c r="B26" s="129" t="s">
        <v>847</v>
      </c>
      <c r="C26" s="129" t="s">
        <v>848</v>
      </c>
      <c r="D26" s="130">
        <v>571</v>
      </c>
    </row>
    <row r="27" spans="1:4" x14ac:dyDescent="0.2">
      <c r="A27" s="129" t="s">
        <v>196</v>
      </c>
      <c r="B27" s="129" t="s">
        <v>847</v>
      </c>
      <c r="C27" s="129" t="s">
        <v>848</v>
      </c>
      <c r="D27" s="130">
        <v>333</v>
      </c>
    </row>
    <row r="28" spans="1:4" x14ac:dyDescent="0.2">
      <c r="A28" s="129" t="s">
        <v>197</v>
      </c>
      <c r="B28" s="129" t="s">
        <v>847</v>
      </c>
      <c r="C28" s="129" t="s">
        <v>848</v>
      </c>
      <c r="D28" s="130">
        <v>160</v>
      </c>
    </row>
    <row r="29" spans="1:4" x14ac:dyDescent="0.2">
      <c r="A29" s="129" t="s">
        <v>198</v>
      </c>
      <c r="B29" s="129" t="s">
        <v>847</v>
      </c>
      <c r="C29" s="129" t="s">
        <v>848</v>
      </c>
      <c r="D29" s="130">
        <v>530</v>
      </c>
    </row>
    <row r="30" spans="1:4" x14ac:dyDescent="0.2">
      <c r="A30" s="129" t="s">
        <v>199</v>
      </c>
      <c r="B30" s="129" t="s">
        <v>847</v>
      </c>
      <c r="C30" s="129" t="s">
        <v>848</v>
      </c>
      <c r="D30" s="130">
        <v>313</v>
      </c>
    </row>
    <row r="31" spans="1:4" x14ac:dyDescent="0.2">
      <c r="A31" s="129" t="s">
        <v>200</v>
      </c>
      <c r="B31" s="129" t="s">
        <v>847</v>
      </c>
      <c r="C31" s="129" t="s">
        <v>848</v>
      </c>
      <c r="D31" s="130">
        <v>269</v>
      </c>
    </row>
    <row r="32" spans="1:4" x14ac:dyDescent="0.2">
      <c r="A32" s="129" t="s">
        <v>201</v>
      </c>
      <c r="B32" s="129" t="s">
        <v>847</v>
      </c>
      <c r="C32" s="129" t="s">
        <v>848</v>
      </c>
      <c r="D32" s="130">
        <v>17</v>
      </c>
    </row>
    <row r="33" spans="1:4" x14ac:dyDescent="0.2">
      <c r="A33" s="129" t="s">
        <v>202</v>
      </c>
      <c r="B33" s="129" t="s">
        <v>847</v>
      </c>
      <c r="C33" s="129" t="s">
        <v>848</v>
      </c>
      <c r="D33" s="130">
        <v>178</v>
      </c>
    </row>
    <row r="34" spans="1:4" x14ac:dyDescent="0.2">
      <c r="A34" s="129" t="s">
        <v>203</v>
      </c>
      <c r="B34" s="129" t="s">
        <v>847</v>
      </c>
      <c r="C34" s="129" t="s">
        <v>848</v>
      </c>
      <c r="D34" s="130">
        <v>593</v>
      </c>
    </row>
    <row r="35" spans="1:4" x14ac:dyDescent="0.2">
      <c r="A35" s="129" t="s">
        <v>204</v>
      </c>
      <c r="B35" s="129" t="s">
        <v>847</v>
      </c>
      <c r="C35" s="129" t="s">
        <v>848</v>
      </c>
      <c r="D35" s="130">
        <v>96</v>
      </c>
    </row>
    <row r="36" spans="1:4" x14ac:dyDescent="0.2">
      <c r="A36" s="129" t="s">
        <v>205</v>
      </c>
      <c r="B36" s="129" t="s">
        <v>847</v>
      </c>
      <c r="C36" s="129" t="s">
        <v>848</v>
      </c>
      <c r="D36" s="130">
        <v>714</v>
      </c>
    </row>
    <row r="37" spans="1:4" x14ac:dyDescent="0.2">
      <c r="A37" s="129" t="s">
        <v>206</v>
      </c>
      <c r="B37" s="129" t="s">
        <v>847</v>
      </c>
      <c r="C37" s="129" t="s">
        <v>848</v>
      </c>
      <c r="D37" s="130">
        <v>174</v>
      </c>
    </row>
    <row r="38" spans="1:4" x14ac:dyDescent="0.2">
      <c r="A38" s="129" t="s">
        <v>207</v>
      </c>
      <c r="B38" s="129" t="s">
        <v>847</v>
      </c>
      <c r="C38" s="129" t="s">
        <v>848</v>
      </c>
      <c r="D38" s="130">
        <v>179</v>
      </c>
    </row>
    <row r="39" spans="1:4" x14ac:dyDescent="0.2">
      <c r="A39" s="129" t="s">
        <v>208</v>
      </c>
      <c r="B39" s="129" t="s">
        <v>847</v>
      </c>
      <c r="C39" s="129" t="s">
        <v>848</v>
      </c>
      <c r="D39" s="130">
        <v>666</v>
      </c>
    </row>
    <row r="40" spans="1:4" x14ac:dyDescent="0.2">
      <c r="A40" s="129" t="s">
        <v>209</v>
      </c>
      <c r="B40" s="129" t="s">
        <v>847</v>
      </c>
      <c r="C40" s="129" t="s">
        <v>848</v>
      </c>
      <c r="D40" s="130">
        <v>542</v>
      </c>
    </row>
    <row r="41" spans="1:4" x14ac:dyDescent="0.2">
      <c r="A41" s="129" t="s">
        <v>210</v>
      </c>
      <c r="B41" s="129" t="s">
        <v>847</v>
      </c>
      <c r="C41" s="129" t="s">
        <v>848</v>
      </c>
      <c r="D41" s="130">
        <v>230</v>
      </c>
    </row>
    <row r="42" spans="1:4" x14ac:dyDescent="0.2">
      <c r="A42" s="129" t="s">
        <v>211</v>
      </c>
      <c r="B42" s="129" t="s">
        <v>847</v>
      </c>
      <c r="C42" s="129" t="s">
        <v>848</v>
      </c>
      <c r="D42" s="130">
        <v>514</v>
      </c>
    </row>
    <row r="43" spans="1:4" x14ac:dyDescent="0.2">
      <c r="A43" s="129" t="s">
        <v>212</v>
      </c>
      <c r="B43" s="129" t="s">
        <v>847</v>
      </c>
      <c r="C43" s="129" t="s">
        <v>848</v>
      </c>
      <c r="D43" s="130">
        <v>36</v>
      </c>
    </row>
    <row r="44" spans="1:4" x14ac:dyDescent="0.2">
      <c r="A44" s="129" t="s">
        <v>213</v>
      </c>
      <c r="B44" s="129" t="s">
        <v>847</v>
      </c>
      <c r="C44" s="129" t="s">
        <v>848</v>
      </c>
      <c r="D44" s="130">
        <v>81</v>
      </c>
    </row>
    <row r="45" spans="1:4" x14ac:dyDescent="0.2">
      <c r="A45" s="129" t="s">
        <v>214</v>
      </c>
      <c r="B45" s="129" t="s">
        <v>847</v>
      </c>
      <c r="C45" s="129" t="s">
        <v>848</v>
      </c>
      <c r="D45" s="130">
        <v>150</v>
      </c>
    </row>
    <row r="46" spans="1:4" x14ac:dyDescent="0.2">
      <c r="A46" s="129" t="s">
        <v>215</v>
      </c>
      <c r="B46" s="129" t="s">
        <v>847</v>
      </c>
      <c r="C46" s="129" t="s">
        <v>848</v>
      </c>
      <c r="D46" s="130">
        <v>142</v>
      </c>
    </row>
    <row r="47" spans="1:4" x14ac:dyDescent="0.2">
      <c r="A47" s="129" t="s">
        <v>216</v>
      </c>
      <c r="B47" s="129" t="s">
        <v>847</v>
      </c>
      <c r="C47" s="129" t="s">
        <v>848</v>
      </c>
      <c r="D47" s="130">
        <v>1075</v>
      </c>
    </row>
    <row r="48" spans="1:4" x14ac:dyDescent="0.2">
      <c r="A48" s="129" t="s">
        <v>217</v>
      </c>
      <c r="B48" s="129" t="s">
        <v>847</v>
      </c>
      <c r="C48" s="129" t="s">
        <v>848</v>
      </c>
      <c r="D48" s="130">
        <v>41</v>
      </c>
    </row>
    <row r="49" spans="1:4" x14ac:dyDescent="0.2">
      <c r="A49" s="129" t="s">
        <v>218</v>
      </c>
      <c r="B49" s="129" t="s">
        <v>847</v>
      </c>
      <c r="C49" s="129" t="s">
        <v>848</v>
      </c>
      <c r="D49" s="130">
        <v>277</v>
      </c>
    </row>
    <row r="50" spans="1:4" x14ac:dyDescent="0.2">
      <c r="A50" s="129" t="s">
        <v>219</v>
      </c>
      <c r="B50" s="129" t="s">
        <v>847</v>
      </c>
      <c r="C50" s="129" t="s">
        <v>848</v>
      </c>
      <c r="D50" s="130">
        <v>134</v>
      </c>
    </row>
    <row r="51" spans="1:4" x14ac:dyDescent="0.2">
      <c r="A51" s="129" t="s">
        <v>220</v>
      </c>
      <c r="B51" s="129" t="s">
        <v>847</v>
      </c>
      <c r="C51" s="129" t="s">
        <v>848</v>
      </c>
      <c r="D51" s="130">
        <v>295</v>
      </c>
    </row>
    <row r="52" spans="1:4" x14ac:dyDescent="0.2">
      <c r="A52" s="129" t="s">
        <v>221</v>
      </c>
      <c r="B52" s="129" t="s">
        <v>847</v>
      </c>
      <c r="C52" s="129" t="s">
        <v>848</v>
      </c>
      <c r="D52" s="130">
        <v>55</v>
      </c>
    </row>
    <row r="53" spans="1:4" x14ac:dyDescent="0.2">
      <c r="A53" s="129" t="s">
        <v>222</v>
      </c>
      <c r="B53" s="129" t="s">
        <v>847</v>
      </c>
      <c r="C53" s="129" t="s">
        <v>848</v>
      </c>
      <c r="D53" s="130">
        <v>441</v>
      </c>
    </row>
    <row r="54" spans="1:4" x14ac:dyDescent="0.2">
      <c r="A54" s="129" t="s">
        <v>223</v>
      </c>
      <c r="B54" s="129" t="s">
        <v>847</v>
      </c>
      <c r="C54" s="129" t="s">
        <v>848</v>
      </c>
      <c r="D54" s="130">
        <v>55</v>
      </c>
    </row>
  </sheetData>
  <pageMargins left="0.7" right="0.7" top="0.75" bottom="0.75" header="0.3" footer="0.3"/>
  <pageSetup orientation="portrait" horizontalDpi="4294967293"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7A45-E7CB-42A6-A8F9-A1CE3805CD7A}">
  <sheetPr>
    <tabColor theme="5" tint="0.39997558519241921"/>
  </sheetPr>
  <dimension ref="A1:M67"/>
  <sheetViews>
    <sheetView view="pageBreakPreview" topLeftCell="A2" zoomScale="115" zoomScaleNormal="100" zoomScaleSheetLayoutView="115" workbookViewId="0">
      <pane ySplit="3" topLeftCell="A5" activePane="bottomLeft" state="frozen"/>
      <selection activeCell="A2" sqref="A2"/>
      <selection pane="bottomLeft" activeCell="A65" sqref="A65:M65"/>
    </sheetView>
  </sheetViews>
  <sheetFormatPr baseColWidth="10" defaultColWidth="9.1640625" defaultRowHeight="12" outlineLevelRow="1" x14ac:dyDescent="0.15"/>
  <cols>
    <col min="1" max="1" width="18.5" style="137" bestFit="1" customWidth="1"/>
    <col min="2" max="13" width="10.83203125" style="137" bestFit="1" customWidth="1"/>
    <col min="14" max="16384" width="9.1640625" style="137"/>
  </cols>
  <sheetData>
    <row r="1" spans="1:13" hidden="1" outlineLevel="1" x14ac:dyDescent="0.15">
      <c r="A1" s="137">
        <v>1</v>
      </c>
      <c r="B1" s="137">
        <f>A1+1</f>
        <v>2</v>
      </c>
      <c r="C1" s="137">
        <f t="shared" ref="C1:M1" si="0">B1+1</f>
        <v>3</v>
      </c>
      <c r="D1" s="137">
        <f t="shared" si="0"/>
        <v>4</v>
      </c>
      <c r="E1" s="137">
        <f t="shared" si="0"/>
        <v>5</v>
      </c>
      <c r="F1" s="137">
        <f t="shared" si="0"/>
        <v>6</v>
      </c>
      <c r="G1" s="137">
        <f t="shared" si="0"/>
        <v>7</v>
      </c>
      <c r="H1" s="137">
        <f t="shared" si="0"/>
        <v>8</v>
      </c>
      <c r="I1" s="137">
        <f t="shared" si="0"/>
        <v>9</v>
      </c>
      <c r="J1" s="137">
        <f t="shared" si="0"/>
        <v>10</v>
      </c>
      <c r="K1" s="137">
        <f t="shared" si="0"/>
        <v>11</v>
      </c>
      <c r="L1" s="137">
        <f t="shared" si="0"/>
        <v>12</v>
      </c>
      <c r="M1" s="137">
        <f t="shared" si="0"/>
        <v>13</v>
      </c>
    </row>
    <row r="2" spans="1:13" collapsed="1" x14ac:dyDescent="0.15">
      <c r="A2" s="385" t="s">
        <v>849</v>
      </c>
      <c r="B2" s="386"/>
      <c r="C2" s="386"/>
      <c r="D2" s="386"/>
      <c r="E2" s="386"/>
      <c r="F2" s="386"/>
      <c r="G2" s="386"/>
      <c r="H2" s="386"/>
      <c r="I2" s="386"/>
      <c r="J2" s="386"/>
      <c r="K2" s="386"/>
      <c r="L2" s="386"/>
      <c r="M2" s="386"/>
    </row>
    <row r="3" spans="1:13" x14ac:dyDescent="0.15">
      <c r="A3" s="387" t="s">
        <v>850</v>
      </c>
      <c r="B3" s="391">
        <v>40269</v>
      </c>
      <c r="C3" s="390"/>
      <c r="D3" s="389" t="s">
        <v>851</v>
      </c>
      <c r="E3" s="390"/>
      <c r="F3" s="390"/>
      <c r="G3" s="390"/>
      <c r="H3" s="390"/>
      <c r="I3" s="390"/>
      <c r="J3" s="390"/>
      <c r="K3" s="390"/>
      <c r="L3" s="390"/>
      <c r="M3" s="390"/>
    </row>
    <row r="4" spans="1:13" ht="13" x14ac:dyDescent="0.15">
      <c r="A4" s="388"/>
      <c r="B4" s="335" t="s">
        <v>852</v>
      </c>
      <c r="C4" s="335" t="s">
        <v>853</v>
      </c>
      <c r="D4" s="335">
        <v>2010</v>
      </c>
      <c r="E4" s="335">
        <v>2011</v>
      </c>
      <c r="F4" s="335">
        <v>2012</v>
      </c>
      <c r="G4" s="335">
        <v>2013</v>
      </c>
      <c r="H4" s="335">
        <v>2014</v>
      </c>
      <c r="I4" s="335">
        <v>2015</v>
      </c>
      <c r="J4" s="335">
        <v>2016</v>
      </c>
      <c r="K4" s="335">
        <v>2017</v>
      </c>
      <c r="L4" s="335">
        <v>2018</v>
      </c>
      <c r="M4" s="335">
        <v>2019</v>
      </c>
    </row>
    <row r="5" spans="1:13" x14ac:dyDescent="0.15">
      <c r="A5" s="289" t="s">
        <v>846</v>
      </c>
      <c r="B5" s="290">
        <v>308745538</v>
      </c>
      <c r="C5" s="290">
        <v>308758105</v>
      </c>
      <c r="D5" s="290">
        <v>309321666</v>
      </c>
      <c r="E5" s="290">
        <v>311556874</v>
      </c>
      <c r="F5" s="290">
        <v>313830990</v>
      </c>
      <c r="G5" s="290">
        <v>315993715</v>
      </c>
      <c r="H5" s="290">
        <v>318301008</v>
      </c>
      <c r="I5" s="290">
        <v>320635163</v>
      </c>
      <c r="J5" s="290">
        <v>322941311</v>
      </c>
      <c r="K5" s="290">
        <v>324985539</v>
      </c>
      <c r="L5" s="290">
        <v>326687501</v>
      </c>
      <c r="M5" s="290">
        <v>328239523</v>
      </c>
    </row>
    <row r="6" spans="1:13" x14ac:dyDescent="0.15">
      <c r="A6" s="291" t="s">
        <v>854</v>
      </c>
      <c r="B6" s="292">
        <v>55317240</v>
      </c>
      <c r="C6" s="292">
        <v>55318443</v>
      </c>
      <c r="D6" s="292">
        <v>55380134</v>
      </c>
      <c r="E6" s="292">
        <v>55604223</v>
      </c>
      <c r="F6" s="292">
        <v>55775216</v>
      </c>
      <c r="G6" s="292">
        <v>55901806</v>
      </c>
      <c r="H6" s="292">
        <v>56006011</v>
      </c>
      <c r="I6" s="292">
        <v>56034684</v>
      </c>
      <c r="J6" s="292">
        <v>56042330</v>
      </c>
      <c r="K6" s="292">
        <v>56059240</v>
      </c>
      <c r="L6" s="292">
        <v>56046620</v>
      </c>
      <c r="M6" s="292">
        <v>55982803</v>
      </c>
    </row>
    <row r="7" spans="1:13" x14ac:dyDescent="0.15">
      <c r="A7" s="291" t="s">
        <v>855</v>
      </c>
      <c r="B7" s="292">
        <v>66927001</v>
      </c>
      <c r="C7" s="292">
        <v>66929725</v>
      </c>
      <c r="D7" s="292">
        <v>66974416</v>
      </c>
      <c r="E7" s="292">
        <v>67157800</v>
      </c>
      <c r="F7" s="292">
        <v>67336743</v>
      </c>
      <c r="G7" s="292">
        <v>67560379</v>
      </c>
      <c r="H7" s="292">
        <v>67745167</v>
      </c>
      <c r="I7" s="292">
        <v>67860583</v>
      </c>
      <c r="J7" s="292">
        <v>67987540</v>
      </c>
      <c r="K7" s="292">
        <v>68126781</v>
      </c>
      <c r="L7" s="292">
        <v>68236628</v>
      </c>
      <c r="M7" s="292">
        <v>68329004</v>
      </c>
    </row>
    <row r="8" spans="1:13" x14ac:dyDescent="0.15">
      <c r="A8" s="291" t="s">
        <v>856</v>
      </c>
      <c r="B8" s="292">
        <v>114555744</v>
      </c>
      <c r="C8" s="292">
        <v>114563030</v>
      </c>
      <c r="D8" s="292">
        <v>114866680</v>
      </c>
      <c r="E8" s="292">
        <v>116006522</v>
      </c>
      <c r="F8" s="292">
        <v>117241208</v>
      </c>
      <c r="G8" s="292">
        <v>118364400</v>
      </c>
      <c r="H8" s="292">
        <v>119624037</v>
      </c>
      <c r="I8" s="292">
        <v>120997341</v>
      </c>
      <c r="J8" s="292">
        <v>122351760</v>
      </c>
      <c r="K8" s="292">
        <v>123542189</v>
      </c>
      <c r="L8" s="292">
        <v>124569433</v>
      </c>
      <c r="M8" s="292">
        <v>125580448</v>
      </c>
    </row>
    <row r="9" spans="1:13" x14ac:dyDescent="0.15">
      <c r="A9" s="293" t="s">
        <v>857</v>
      </c>
      <c r="B9" s="294">
        <v>71945553</v>
      </c>
      <c r="C9" s="294">
        <v>71946907</v>
      </c>
      <c r="D9" s="294">
        <v>72100436</v>
      </c>
      <c r="E9" s="294">
        <v>72788329</v>
      </c>
      <c r="F9" s="294">
        <v>73477823</v>
      </c>
      <c r="G9" s="294">
        <v>74167130</v>
      </c>
      <c r="H9" s="294">
        <v>74925793</v>
      </c>
      <c r="I9" s="294">
        <v>75742555</v>
      </c>
      <c r="J9" s="294">
        <v>76559681</v>
      </c>
      <c r="K9" s="294">
        <v>77257329</v>
      </c>
      <c r="L9" s="294">
        <v>77834820</v>
      </c>
      <c r="M9" s="294">
        <v>78347268</v>
      </c>
    </row>
    <row r="10" spans="1:13" x14ac:dyDescent="0.15">
      <c r="A10" s="295" t="s">
        <v>173</v>
      </c>
      <c r="B10" s="292">
        <v>4779736</v>
      </c>
      <c r="C10" s="292">
        <v>4780125</v>
      </c>
      <c r="D10" s="292">
        <v>4785437</v>
      </c>
      <c r="E10" s="292">
        <v>4799069</v>
      </c>
      <c r="F10" s="292">
        <v>4815588</v>
      </c>
      <c r="G10" s="292">
        <v>4830081</v>
      </c>
      <c r="H10" s="292">
        <v>4841799</v>
      </c>
      <c r="I10" s="292">
        <v>4852347</v>
      </c>
      <c r="J10" s="292">
        <v>4863525</v>
      </c>
      <c r="K10" s="292">
        <v>4874486</v>
      </c>
      <c r="L10" s="292">
        <v>4887681</v>
      </c>
      <c r="M10" s="292">
        <v>4903185</v>
      </c>
    </row>
    <row r="11" spans="1:13" x14ac:dyDescent="0.15">
      <c r="A11" s="295" t="s">
        <v>174</v>
      </c>
      <c r="B11" s="292">
        <v>710231</v>
      </c>
      <c r="C11" s="292">
        <v>710249</v>
      </c>
      <c r="D11" s="292">
        <v>713910</v>
      </c>
      <c r="E11" s="292">
        <v>722128</v>
      </c>
      <c r="F11" s="292">
        <v>730443</v>
      </c>
      <c r="G11" s="292">
        <v>737068</v>
      </c>
      <c r="H11" s="292">
        <v>736283</v>
      </c>
      <c r="I11" s="292">
        <v>737498</v>
      </c>
      <c r="J11" s="292">
        <v>741456</v>
      </c>
      <c r="K11" s="292">
        <v>739700</v>
      </c>
      <c r="L11" s="292">
        <v>735139</v>
      </c>
      <c r="M11" s="292">
        <v>731545</v>
      </c>
    </row>
    <row r="12" spans="1:13" x14ac:dyDescent="0.15">
      <c r="A12" s="295" t="s">
        <v>175</v>
      </c>
      <c r="B12" s="292">
        <v>6392017</v>
      </c>
      <c r="C12" s="292">
        <v>6392288</v>
      </c>
      <c r="D12" s="292">
        <v>6407172</v>
      </c>
      <c r="E12" s="292">
        <v>6472643</v>
      </c>
      <c r="F12" s="292">
        <v>6554978</v>
      </c>
      <c r="G12" s="292">
        <v>6632764</v>
      </c>
      <c r="H12" s="292">
        <v>6730413</v>
      </c>
      <c r="I12" s="292">
        <v>6829676</v>
      </c>
      <c r="J12" s="292">
        <v>6941072</v>
      </c>
      <c r="K12" s="292">
        <v>7044008</v>
      </c>
      <c r="L12" s="292">
        <v>7158024</v>
      </c>
      <c r="M12" s="292">
        <v>7278717</v>
      </c>
    </row>
    <row r="13" spans="1:13" x14ac:dyDescent="0.15">
      <c r="A13" s="295" t="s">
        <v>176</v>
      </c>
      <c r="B13" s="292">
        <v>2915918</v>
      </c>
      <c r="C13" s="292">
        <v>2916031</v>
      </c>
      <c r="D13" s="292">
        <v>2921964</v>
      </c>
      <c r="E13" s="292">
        <v>2940667</v>
      </c>
      <c r="F13" s="292">
        <v>2952164</v>
      </c>
      <c r="G13" s="292">
        <v>2959400</v>
      </c>
      <c r="H13" s="292">
        <v>2967392</v>
      </c>
      <c r="I13" s="292">
        <v>2978048</v>
      </c>
      <c r="J13" s="292">
        <v>2989918</v>
      </c>
      <c r="K13" s="292">
        <v>3001345</v>
      </c>
      <c r="L13" s="292">
        <v>3009733</v>
      </c>
      <c r="M13" s="292">
        <v>3017804</v>
      </c>
    </row>
    <row r="14" spans="1:13" x14ac:dyDescent="0.15">
      <c r="A14" s="295" t="s">
        <v>177</v>
      </c>
      <c r="B14" s="292">
        <v>37253956</v>
      </c>
      <c r="C14" s="292">
        <v>37254519</v>
      </c>
      <c r="D14" s="292">
        <v>37319502</v>
      </c>
      <c r="E14" s="292">
        <v>37638369</v>
      </c>
      <c r="F14" s="292">
        <v>37948800</v>
      </c>
      <c r="G14" s="292">
        <v>38260787</v>
      </c>
      <c r="H14" s="292">
        <v>38596972</v>
      </c>
      <c r="I14" s="292">
        <v>38918045</v>
      </c>
      <c r="J14" s="292">
        <v>39167117</v>
      </c>
      <c r="K14" s="292">
        <v>39358497</v>
      </c>
      <c r="L14" s="292">
        <v>39461588</v>
      </c>
      <c r="M14" s="292">
        <v>39512223</v>
      </c>
    </row>
    <row r="15" spans="1:13" x14ac:dyDescent="0.15">
      <c r="A15" s="295" t="s">
        <v>178</v>
      </c>
      <c r="B15" s="292">
        <v>5029196</v>
      </c>
      <c r="C15" s="292">
        <v>5029319</v>
      </c>
      <c r="D15" s="292">
        <v>5047349</v>
      </c>
      <c r="E15" s="292">
        <v>5121108</v>
      </c>
      <c r="F15" s="292">
        <v>5192647</v>
      </c>
      <c r="G15" s="292">
        <v>5269035</v>
      </c>
      <c r="H15" s="292">
        <v>5350101</v>
      </c>
      <c r="I15" s="292">
        <v>5450623</v>
      </c>
      <c r="J15" s="292">
        <v>5539215</v>
      </c>
      <c r="K15" s="292">
        <v>5611885</v>
      </c>
      <c r="L15" s="292">
        <v>5691287</v>
      </c>
      <c r="M15" s="292">
        <v>5758736</v>
      </c>
    </row>
    <row r="16" spans="1:13" x14ac:dyDescent="0.15">
      <c r="A16" s="295" t="s">
        <v>179</v>
      </c>
      <c r="B16" s="292">
        <v>3574097</v>
      </c>
      <c r="C16" s="292">
        <v>3574147</v>
      </c>
      <c r="D16" s="292">
        <v>3579114</v>
      </c>
      <c r="E16" s="292">
        <v>3588283</v>
      </c>
      <c r="F16" s="292">
        <v>3594547</v>
      </c>
      <c r="G16" s="292">
        <v>3594841</v>
      </c>
      <c r="H16" s="292">
        <v>3594524</v>
      </c>
      <c r="I16" s="292">
        <v>3587122</v>
      </c>
      <c r="J16" s="292">
        <v>3578141</v>
      </c>
      <c r="K16" s="292">
        <v>3573297</v>
      </c>
      <c r="L16" s="292">
        <v>3571520</v>
      </c>
      <c r="M16" s="292">
        <v>3565287</v>
      </c>
    </row>
    <row r="17" spans="1:13" x14ac:dyDescent="0.15">
      <c r="A17" s="295" t="s">
        <v>180</v>
      </c>
      <c r="B17" s="292">
        <v>897934</v>
      </c>
      <c r="C17" s="292">
        <v>897937</v>
      </c>
      <c r="D17" s="292">
        <v>899593</v>
      </c>
      <c r="E17" s="292">
        <v>907381</v>
      </c>
      <c r="F17" s="292">
        <v>915179</v>
      </c>
      <c r="G17" s="292">
        <v>923576</v>
      </c>
      <c r="H17" s="292">
        <v>932487</v>
      </c>
      <c r="I17" s="292">
        <v>941252</v>
      </c>
      <c r="J17" s="292">
        <v>948921</v>
      </c>
      <c r="K17" s="292">
        <v>956823</v>
      </c>
      <c r="L17" s="292">
        <v>965479</v>
      </c>
      <c r="M17" s="292">
        <v>973764</v>
      </c>
    </row>
    <row r="18" spans="1:13" x14ac:dyDescent="0.15">
      <c r="A18" s="295" t="s">
        <v>181</v>
      </c>
      <c r="B18" s="292">
        <v>601723</v>
      </c>
      <c r="C18" s="292">
        <v>601767</v>
      </c>
      <c r="D18" s="292">
        <v>605226</v>
      </c>
      <c r="E18" s="292">
        <v>619800</v>
      </c>
      <c r="F18" s="292">
        <v>634924</v>
      </c>
      <c r="G18" s="292">
        <v>650581</v>
      </c>
      <c r="H18" s="292">
        <v>662328</v>
      </c>
      <c r="I18" s="292">
        <v>675400</v>
      </c>
      <c r="J18" s="292">
        <v>685815</v>
      </c>
      <c r="K18" s="292">
        <v>694906</v>
      </c>
      <c r="L18" s="292">
        <v>701547</v>
      </c>
      <c r="M18" s="292">
        <v>705749</v>
      </c>
    </row>
    <row r="19" spans="1:13" x14ac:dyDescent="0.15">
      <c r="A19" s="295" t="s">
        <v>182</v>
      </c>
      <c r="B19" s="292">
        <v>18801310</v>
      </c>
      <c r="C19" s="292">
        <v>18804564</v>
      </c>
      <c r="D19" s="292">
        <v>18845537</v>
      </c>
      <c r="E19" s="292">
        <v>19053237</v>
      </c>
      <c r="F19" s="292">
        <v>19297822</v>
      </c>
      <c r="G19" s="292">
        <v>19545621</v>
      </c>
      <c r="H19" s="292">
        <v>19845911</v>
      </c>
      <c r="I19" s="292">
        <v>20209042</v>
      </c>
      <c r="J19" s="292">
        <v>20613477</v>
      </c>
      <c r="K19" s="292">
        <v>20963613</v>
      </c>
      <c r="L19" s="292">
        <v>21244317</v>
      </c>
      <c r="M19" s="292">
        <v>21477737</v>
      </c>
    </row>
    <row r="20" spans="1:13" x14ac:dyDescent="0.15">
      <c r="A20" s="295" t="s">
        <v>183</v>
      </c>
      <c r="B20" s="292">
        <v>9687653</v>
      </c>
      <c r="C20" s="292">
        <v>9688729</v>
      </c>
      <c r="D20" s="292">
        <v>9711881</v>
      </c>
      <c r="E20" s="292">
        <v>9802431</v>
      </c>
      <c r="F20" s="292">
        <v>9901430</v>
      </c>
      <c r="G20" s="292">
        <v>9972479</v>
      </c>
      <c r="H20" s="292">
        <v>10067278</v>
      </c>
      <c r="I20" s="292">
        <v>10178447</v>
      </c>
      <c r="J20" s="292">
        <v>10301890</v>
      </c>
      <c r="K20" s="292">
        <v>10410330</v>
      </c>
      <c r="L20" s="292">
        <v>10511131</v>
      </c>
      <c r="M20" s="292">
        <v>10617423</v>
      </c>
    </row>
    <row r="21" spans="1:13" x14ac:dyDescent="0.15">
      <c r="A21" s="295" t="s">
        <v>184</v>
      </c>
      <c r="B21" s="292">
        <v>1360301</v>
      </c>
      <c r="C21" s="292">
        <v>1360307</v>
      </c>
      <c r="D21" s="292">
        <v>1363963</v>
      </c>
      <c r="E21" s="292">
        <v>1379329</v>
      </c>
      <c r="F21" s="292">
        <v>1394804</v>
      </c>
      <c r="G21" s="292">
        <v>1408243</v>
      </c>
      <c r="H21" s="292">
        <v>1414538</v>
      </c>
      <c r="I21" s="292">
        <v>1422052</v>
      </c>
      <c r="J21" s="292">
        <v>1427559</v>
      </c>
      <c r="K21" s="292">
        <v>1424393</v>
      </c>
      <c r="L21" s="292">
        <v>1420593</v>
      </c>
      <c r="M21" s="292">
        <v>1415872</v>
      </c>
    </row>
    <row r="22" spans="1:13" x14ac:dyDescent="0.15">
      <c r="A22" s="295" t="s">
        <v>185</v>
      </c>
      <c r="B22" s="292">
        <v>1567582</v>
      </c>
      <c r="C22" s="292">
        <v>1567657</v>
      </c>
      <c r="D22" s="292">
        <v>1570746</v>
      </c>
      <c r="E22" s="292">
        <v>1583910</v>
      </c>
      <c r="F22" s="292">
        <v>1595324</v>
      </c>
      <c r="G22" s="292">
        <v>1611206</v>
      </c>
      <c r="H22" s="292">
        <v>1631112</v>
      </c>
      <c r="I22" s="292">
        <v>1651059</v>
      </c>
      <c r="J22" s="292">
        <v>1682380</v>
      </c>
      <c r="K22" s="292">
        <v>1717715</v>
      </c>
      <c r="L22" s="292">
        <v>1750536</v>
      </c>
      <c r="M22" s="292">
        <v>1787065</v>
      </c>
    </row>
    <row r="23" spans="1:13" x14ac:dyDescent="0.15">
      <c r="A23" s="295" t="s">
        <v>186</v>
      </c>
      <c r="B23" s="292">
        <v>12830632</v>
      </c>
      <c r="C23" s="292">
        <v>12831572</v>
      </c>
      <c r="D23" s="292">
        <v>12840503</v>
      </c>
      <c r="E23" s="292">
        <v>12867454</v>
      </c>
      <c r="F23" s="292">
        <v>12882510</v>
      </c>
      <c r="G23" s="292">
        <v>12895129</v>
      </c>
      <c r="H23" s="292">
        <v>12884493</v>
      </c>
      <c r="I23" s="292">
        <v>12858913</v>
      </c>
      <c r="J23" s="292">
        <v>12820527</v>
      </c>
      <c r="K23" s="292">
        <v>12778828</v>
      </c>
      <c r="L23" s="292">
        <v>12723071</v>
      </c>
      <c r="M23" s="292">
        <v>12671821</v>
      </c>
    </row>
    <row r="24" spans="1:13" x14ac:dyDescent="0.15">
      <c r="A24" s="295" t="s">
        <v>187</v>
      </c>
      <c r="B24" s="292">
        <v>6483802</v>
      </c>
      <c r="C24" s="292">
        <v>6484051</v>
      </c>
      <c r="D24" s="292">
        <v>6490432</v>
      </c>
      <c r="E24" s="292">
        <v>6516528</v>
      </c>
      <c r="F24" s="292">
        <v>6537703</v>
      </c>
      <c r="G24" s="292">
        <v>6568713</v>
      </c>
      <c r="H24" s="292">
        <v>6593644</v>
      </c>
      <c r="I24" s="292">
        <v>6608422</v>
      </c>
      <c r="J24" s="292">
        <v>6634304</v>
      </c>
      <c r="K24" s="292">
        <v>6658078</v>
      </c>
      <c r="L24" s="292">
        <v>6695497</v>
      </c>
      <c r="M24" s="292">
        <v>6732219</v>
      </c>
    </row>
    <row r="25" spans="1:13" x14ac:dyDescent="0.15">
      <c r="A25" s="295" t="s">
        <v>188</v>
      </c>
      <c r="B25" s="292">
        <v>3046355</v>
      </c>
      <c r="C25" s="292">
        <v>3046871</v>
      </c>
      <c r="D25" s="292">
        <v>3050745</v>
      </c>
      <c r="E25" s="292">
        <v>3066336</v>
      </c>
      <c r="F25" s="292">
        <v>3076190</v>
      </c>
      <c r="G25" s="292">
        <v>3092997</v>
      </c>
      <c r="H25" s="292">
        <v>3109350</v>
      </c>
      <c r="I25" s="292">
        <v>3120960</v>
      </c>
      <c r="J25" s="292">
        <v>3131371</v>
      </c>
      <c r="K25" s="292">
        <v>3141550</v>
      </c>
      <c r="L25" s="292">
        <v>3148618</v>
      </c>
      <c r="M25" s="292">
        <v>3155070</v>
      </c>
    </row>
    <row r="26" spans="1:13" x14ac:dyDescent="0.15">
      <c r="A26" s="295" t="s">
        <v>189</v>
      </c>
      <c r="B26" s="292">
        <v>2853118</v>
      </c>
      <c r="C26" s="292">
        <v>2853123</v>
      </c>
      <c r="D26" s="292">
        <v>2858190</v>
      </c>
      <c r="E26" s="292">
        <v>2869225</v>
      </c>
      <c r="F26" s="292">
        <v>2885257</v>
      </c>
      <c r="G26" s="292">
        <v>2893212</v>
      </c>
      <c r="H26" s="292">
        <v>2900475</v>
      </c>
      <c r="I26" s="292">
        <v>2909011</v>
      </c>
      <c r="J26" s="292">
        <v>2910844</v>
      </c>
      <c r="K26" s="292">
        <v>2908718</v>
      </c>
      <c r="L26" s="292">
        <v>2911359</v>
      </c>
      <c r="M26" s="292">
        <v>2913314</v>
      </c>
    </row>
    <row r="27" spans="1:13" x14ac:dyDescent="0.15">
      <c r="A27" s="295" t="s">
        <v>190</v>
      </c>
      <c r="B27" s="292">
        <v>4339367</v>
      </c>
      <c r="C27" s="292">
        <v>4339333</v>
      </c>
      <c r="D27" s="292">
        <v>4348181</v>
      </c>
      <c r="E27" s="292">
        <v>4369821</v>
      </c>
      <c r="F27" s="292">
        <v>4386346</v>
      </c>
      <c r="G27" s="292">
        <v>4404659</v>
      </c>
      <c r="H27" s="292">
        <v>4414349</v>
      </c>
      <c r="I27" s="292">
        <v>4425976</v>
      </c>
      <c r="J27" s="292">
        <v>4438182</v>
      </c>
      <c r="K27" s="292">
        <v>4452268</v>
      </c>
      <c r="L27" s="292">
        <v>4461153</v>
      </c>
      <c r="M27" s="292">
        <v>4467673</v>
      </c>
    </row>
    <row r="28" spans="1:13" x14ac:dyDescent="0.15">
      <c r="A28" s="295" t="s">
        <v>191</v>
      </c>
      <c r="B28" s="292">
        <v>4533372</v>
      </c>
      <c r="C28" s="292">
        <v>4533487</v>
      </c>
      <c r="D28" s="292">
        <v>4544532</v>
      </c>
      <c r="E28" s="292">
        <v>4575625</v>
      </c>
      <c r="F28" s="292">
        <v>4600972</v>
      </c>
      <c r="G28" s="292">
        <v>4624527</v>
      </c>
      <c r="H28" s="292">
        <v>4644013</v>
      </c>
      <c r="I28" s="292">
        <v>4664628</v>
      </c>
      <c r="J28" s="292">
        <v>4678135</v>
      </c>
      <c r="K28" s="292">
        <v>4670560</v>
      </c>
      <c r="L28" s="292">
        <v>4659690</v>
      </c>
      <c r="M28" s="292">
        <v>4648794</v>
      </c>
    </row>
    <row r="29" spans="1:13" x14ac:dyDescent="0.15">
      <c r="A29" s="295" t="s">
        <v>192</v>
      </c>
      <c r="B29" s="292">
        <v>1328361</v>
      </c>
      <c r="C29" s="292">
        <v>1328358</v>
      </c>
      <c r="D29" s="292">
        <v>1327629</v>
      </c>
      <c r="E29" s="292">
        <v>1328284</v>
      </c>
      <c r="F29" s="292">
        <v>1327729</v>
      </c>
      <c r="G29" s="292">
        <v>1328009</v>
      </c>
      <c r="H29" s="292">
        <v>1330513</v>
      </c>
      <c r="I29" s="292">
        <v>1328262</v>
      </c>
      <c r="J29" s="292">
        <v>1331317</v>
      </c>
      <c r="K29" s="292">
        <v>1334612</v>
      </c>
      <c r="L29" s="292">
        <v>1339057</v>
      </c>
      <c r="M29" s="292">
        <v>1344212</v>
      </c>
    </row>
    <row r="30" spans="1:13" x14ac:dyDescent="0.15">
      <c r="A30" s="295" t="s">
        <v>193</v>
      </c>
      <c r="B30" s="292">
        <v>5773552</v>
      </c>
      <c r="C30" s="292">
        <v>5773794</v>
      </c>
      <c r="D30" s="292">
        <v>5788645</v>
      </c>
      <c r="E30" s="292">
        <v>5839419</v>
      </c>
      <c r="F30" s="292">
        <v>5886992</v>
      </c>
      <c r="G30" s="292">
        <v>5923188</v>
      </c>
      <c r="H30" s="292">
        <v>5957283</v>
      </c>
      <c r="I30" s="292">
        <v>5985562</v>
      </c>
      <c r="J30" s="292">
        <v>6003323</v>
      </c>
      <c r="K30" s="292">
        <v>6023868</v>
      </c>
      <c r="L30" s="292">
        <v>6035802</v>
      </c>
      <c r="M30" s="292">
        <v>6045680</v>
      </c>
    </row>
    <row r="31" spans="1:13" x14ac:dyDescent="0.15">
      <c r="A31" s="295" t="s">
        <v>194</v>
      </c>
      <c r="B31" s="292">
        <v>6547629</v>
      </c>
      <c r="C31" s="292">
        <v>6547785</v>
      </c>
      <c r="D31" s="292">
        <v>6566307</v>
      </c>
      <c r="E31" s="292">
        <v>6613583</v>
      </c>
      <c r="F31" s="292">
        <v>6663005</v>
      </c>
      <c r="G31" s="292">
        <v>6713315</v>
      </c>
      <c r="H31" s="292">
        <v>6762596</v>
      </c>
      <c r="I31" s="292">
        <v>6794228</v>
      </c>
      <c r="J31" s="292">
        <v>6823608</v>
      </c>
      <c r="K31" s="292">
        <v>6859789</v>
      </c>
      <c r="L31" s="292">
        <v>6882635</v>
      </c>
      <c r="M31" s="292">
        <v>6892503</v>
      </c>
    </row>
    <row r="32" spans="1:13" x14ac:dyDescent="0.15">
      <c r="A32" s="295" t="s">
        <v>195</v>
      </c>
      <c r="B32" s="292">
        <v>9883640</v>
      </c>
      <c r="C32" s="292">
        <v>9884116</v>
      </c>
      <c r="D32" s="292">
        <v>9877510</v>
      </c>
      <c r="E32" s="292">
        <v>9882412</v>
      </c>
      <c r="F32" s="292">
        <v>9897145</v>
      </c>
      <c r="G32" s="292">
        <v>9913065</v>
      </c>
      <c r="H32" s="292">
        <v>9929848</v>
      </c>
      <c r="I32" s="292">
        <v>9931715</v>
      </c>
      <c r="J32" s="292">
        <v>9950571</v>
      </c>
      <c r="K32" s="292">
        <v>9973114</v>
      </c>
      <c r="L32" s="292">
        <v>9984072</v>
      </c>
      <c r="M32" s="292">
        <v>9986857</v>
      </c>
    </row>
    <row r="33" spans="1:13" x14ac:dyDescent="0.15">
      <c r="A33" s="295" t="s">
        <v>196</v>
      </c>
      <c r="B33" s="292">
        <v>5303925</v>
      </c>
      <c r="C33" s="292">
        <v>5303927</v>
      </c>
      <c r="D33" s="292">
        <v>5310828</v>
      </c>
      <c r="E33" s="292">
        <v>5346143</v>
      </c>
      <c r="F33" s="292">
        <v>5376643</v>
      </c>
      <c r="G33" s="292">
        <v>5413479</v>
      </c>
      <c r="H33" s="292">
        <v>5451079</v>
      </c>
      <c r="I33" s="292">
        <v>5482032</v>
      </c>
      <c r="J33" s="292">
        <v>5522744</v>
      </c>
      <c r="K33" s="292">
        <v>5566230</v>
      </c>
      <c r="L33" s="292">
        <v>5606249</v>
      </c>
      <c r="M33" s="292">
        <v>5639632</v>
      </c>
    </row>
    <row r="34" spans="1:13" x14ac:dyDescent="0.15">
      <c r="A34" s="295" t="s">
        <v>197</v>
      </c>
      <c r="B34" s="292">
        <v>2967297</v>
      </c>
      <c r="C34" s="292">
        <v>2968130</v>
      </c>
      <c r="D34" s="292">
        <v>2970548</v>
      </c>
      <c r="E34" s="292">
        <v>2978731</v>
      </c>
      <c r="F34" s="292">
        <v>2983816</v>
      </c>
      <c r="G34" s="292">
        <v>2988711</v>
      </c>
      <c r="H34" s="292">
        <v>2990468</v>
      </c>
      <c r="I34" s="292">
        <v>2988471</v>
      </c>
      <c r="J34" s="292">
        <v>2987938</v>
      </c>
      <c r="K34" s="292">
        <v>2988510</v>
      </c>
      <c r="L34" s="292">
        <v>2981020</v>
      </c>
      <c r="M34" s="292">
        <v>2976149</v>
      </c>
    </row>
    <row r="35" spans="1:13" x14ac:dyDescent="0.15">
      <c r="A35" s="295" t="s">
        <v>198</v>
      </c>
      <c r="B35" s="292">
        <v>5988927</v>
      </c>
      <c r="C35" s="292">
        <v>5988950</v>
      </c>
      <c r="D35" s="292">
        <v>5995974</v>
      </c>
      <c r="E35" s="292">
        <v>6010275</v>
      </c>
      <c r="F35" s="292">
        <v>6024367</v>
      </c>
      <c r="G35" s="292">
        <v>6040715</v>
      </c>
      <c r="H35" s="292">
        <v>6056202</v>
      </c>
      <c r="I35" s="292">
        <v>6071732</v>
      </c>
      <c r="J35" s="292">
        <v>6087135</v>
      </c>
      <c r="K35" s="292">
        <v>6106670</v>
      </c>
      <c r="L35" s="292">
        <v>6121623</v>
      </c>
      <c r="M35" s="292">
        <v>6137428</v>
      </c>
    </row>
    <row r="36" spans="1:13" x14ac:dyDescent="0.15">
      <c r="A36" s="295" t="s">
        <v>199</v>
      </c>
      <c r="B36" s="292">
        <v>989415</v>
      </c>
      <c r="C36" s="292">
        <v>989407</v>
      </c>
      <c r="D36" s="292">
        <v>990697</v>
      </c>
      <c r="E36" s="292">
        <v>997316</v>
      </c>
      <c r="F36" s="292">
        <v>1003783</v>
      </c>
      <c r="G36" s="292">
        <v>1013569</v>
      </c>
      <c r="H36" s="292">
        <v>1021869</v>
      </c>
      <c r="I36" s="292">
        <v>1030475</v>
      </c>
      <c r="J36" s="292">
        <v>1040859</v>
      </c>
      <c r="K36" s="292">
        <v>1052482</v>
      </c>
      <c r="L36" s="292">
        <v>1060665</v>
      </c>
      <c r="M36" s="292">
        <v>1068778</v>
      </c>
    </row>
    <row r="37" spans="1:13" x14ac:dyDescent="0.15">
      <c r="A37" s="295" t="s">
        <v>200</v>
      </c>
      <c r="B37" s="292">
        <v>1826341</v>
      </c>
      <c r="C37" s="292">
        <v>1826305</v>
      </c>
      <c r="D37" s="292">
        <v>1829542</v>
      </c>
      <c r="E37" s="292">
        <v>1840672</v>
      </c>
      <c r="F37" s="292">
        <v>1853303</v>
      </c>
      <c r="G37" s="292">
        <v>1865279</v>
      </c>
      <c r="H37" s="292">
        <v>1879321</v>
      </c>
      <c r="I37" s="292">
        <v>1891277</v>
      </c>
      <c r="J37" s="292">
        <v>1905616</v>
      </c>
      <c r="K37" s="292">
        <v>1915947</v>
      </c>
      <c r="L37" s="292">
        <v>1925614</v>
      </c>
      <c r="M37" s="292">
        <v>1934408</v>
      </c>
    </row>
    <row r="38" spans="1:13" x14ac:dyDescent="0.15">
      <c r="A38" s="295" t="s">
        <v>201</v>
      </c>
      <c r="B38" s="292">
        <v>2700551</v>
      </c>
      <c r="C38" s="292">
        <v>2700677</v>
      </c>
      <c r="D38" s="292">
        <v>2702405</v>
      </c>
      <c r="E38" s="292">
        <v>2712730</v>
      </c>
      <c r="F38" s="292">
        <v>2743996</v>
      </c>
      <c r="G38" s="292">
        <v>2775970</v>
      </c>
      <c r="H38" s="292">
        <v>2817628</v>
      </c>
      <c r="I38" s="292">
        <v>2866939</v>
      </c>
      <c r="J38" s="292">
        <v>2917563</v>
      </c>
      <c r="K38" s="292">
        <v>2969905</v>
      </c>
      <c r="L38" s="292">
        <v>3027341</v>
      </c>
      <c r="M38" s="292">
        <v>3080156</v>
      </c>
    </row>
    <row r="39" spans="1:13" x14ac:dyDescent="0.15">
      <c r="A39" s="295" t="s">
        <v>202</v>
      </c>
      <c r="B39" s="292">
        <v>1316470</v>
      </c>
      <c r="C39" s="292">
        <v>1316462</v>
      </c>
      <c r="D39" s="292">
        <v>1316762</v>
      </c>
      <c r="E39" s="292">
        <v>1320202</v>
      </c>
      <c r="F39" s="292">
        <v>1324232</v>
      </c>
      <c r="G39" s="292">
        <v>1326622</v>
      </c>
      <c r="H39" s="292">
        <v>1333341</v>
      </c>
      <c r="I39" s="292">
        <v>1336350</v>
      </c>
      <c r="J39" s="292">
        <v>1342307</v>
      </c>
      <c r="K39" s="292">
        <v>1348787</v>
      </c>
      <c r="L39" s="292">
        <v>1353465</v>
      </c>
      <c r="M39" s="292">
        <v>1359711</v>
      </c>
    </row>
    <row r="40" spans="1:13" x14ac:dyDescent="0.15">
      <c r="A40" s="295" t="s">
        <v>203</v>
      </c>
      <c r="B40" s="292">
        <v>8791894</v>
      </c>
      <c r="C40" s="292">
        <v>8791978</v>
      </c>
      <c r="D40" s="292">
        <v>8799446</v>
      </c>
      <c r="E40" s="292">
        <v>8828117</v>
      </c>
      <c r="F40" s="292">
        <v>8844942</v>
      </c>
      <c r="G40" s="292">
        <v>8856972</v>
      </c>
      <c r="H40" s="292">
        <v>8864525</v>
      </c>
      <c r="I40" s="292">
        <v>8867949</v>
      </c>
      <c r="J40" s="292">
        <v>8870827</v>
      </c>
      <c r="K40" s="292">
        <v>8885525</v>
      </c>
      <c r="L40" s="292">
        <v>8886025</v>
      </c>
      <c r="M40" s="292">
        <v>8882190</v>
      </c>
    </row>
    <row r="41" spans="1:13" x14ac:dyDescent="0.15">
      <c r="A41" s="295" t="s">
        <v>204</v>
      </c>
      <c r="B41" s="292">
        <v>2059179</v>
      </c>
      <c r="C41" s="292">
        <v>2059199</v>
      </c>
      <c r="D41" s="292">
        <v>2064552</v>
      </c>
      <c r="E41" s="292">
        <v>2080450</v>
      </c>
      <c r="F41" s="292">
        <v>2087309</v>
      </c>
      <c r="G41" s="292">
        <v>2092273</v>
      </c>
      <c r="H41" s="292">
        <v>2089568</v>
      </c>
      <c r="I41" s="292">
        <v>2089291</v>
      </c>
      <c r="J41" s="292">
        <v>2091630</v>
      </c>
      <c r="K41" s="292">
        <v>2091784</v>
      </c>
      <c r="L41" s="292">
        <v>2092741</v>
      </c>
      <c r="M41" s="292">
        <v>2096829</v>
      </c>
    </row>
    <row r="42" spans="1:13" x14ac:dyDescent="0.15">
      <c r="A42" s="295" t="s">
        <v>205</v>
      </c>
      <c r="B42" s="292">
        <v>19378102</v>
      </c>
      <c r="C42" s="292">
        <v>19378144</v>
      </c>
      <c r="D42" s="292">
        <v>19399878</v>
      </c>
      <c r="E42" s="292">
        <v>19499241</v>
      </c>
      <c r="F42" s="292">
        <v>19572932</v>
      </c>
      <c r="G42" s="292">
        <v>19624447</v>
      </c>
      <c r="H42" s="292">
        <v>19651049</v>
      </c>
      <c r="I42" s="292">
        <v>19654666</v>
      </c>
      <c r="J42" s="292">
        <v>19633428</v>
      </c>
      <c r="K42" s="292">
        <v>19589572</v>
      </c>
      <c r="L42" s="292">
        <v>19530351</v>
      </c>
      <c r="M42" s="292">
        <v>19453561</v>
      </c>
    </row>
    <row r="43" spans="1:13" x14ac:dyDescent="0.15">
      <c r="A43" s="295" t="s">
        <v>206</v>
      </c>
      <c r="B43" s="292">
        <v>9535483</v>
      </c>
      <c r="C43" s="292">
        <v>9535751</v>
      </c>
      <c r="D43" s="292">
        <v>9574323</v>
      </c>
      <c r="E43" s="292">
        <v>9657592</v>
      </c>
      <c r="F43" s="292">
        <v>9749476</v>
      </c>
      <c r="G43" s="292">
        <v>9843336</v>
      </c>
      <c r="H43" s="292">
        <v>9932887</v>
      </c>
      <c r="I43" s="292">
        <v>10031646</v>
      </c>
      <c r="J43" s="292">
        <v>10154788</v>
      </c>
      <c r="K43" s="292">
        <v>10268233</v>
      </c>
      <c r="L43" s="292">
        <v>10381615</v>
      </c>
      <c r="M43" s="292">
        <v>10488084</v>
      </c>
    </row>
    <row r="44" spans="1:13" x14ac:dyDescent="0.15">
      <c r="A44" s="295" t="s">
        <v>207</v>
      </c>
      <c r="B44" s="292">
        <v>672591</v>
      </c>
      <c r="C44" s="292">
        <v>672576</v>
      </c>
      <c r="D44" s="292">
        <v>674715</v>
      </c>
      <c r="E44" s="292">
        <v>685225</v>
      </c>
      <c r="F44" s="292">
        <v>701176</v>
      </c>
      <c r="G44" s="292">
        <v>722036</v>
      </c>
      <c r="H44" s="292">
        <v>737401</v>
      </c>
      <c r="I44" s="292">
        <v>754066</v>
      </c>
      <c r="J44" s="292">
        <v>754434</v>
      </c>
      <c r="K44" s="292">
        <v>754942</v>
      </c>
      <c r="L44" s="292">
        <v>758080</v>
      </c>
      <c r="M44" s="292">
        <v>762062</v>
      </c>
    </row>
    <row r="45" spans="1:13" x14ac:dyDescent="0.15">
      <c r="A45" s="295" t="s">
        <v>208</v>
      </c>
      <c r="B45" s="292">
        <v>11536504</v>
      </c>
      <c r="C45" s="292">
        <v>11536751</v>
      </c>
      <c r="D45" s="292">
        <v>11539336</v>
      </c>
      <c r="E45" s="292">
        <v>11544663</v>
      </c>
      <c r="F45" s="292">
        <v>11548923</v>
      </c>
      <c r="G45" s="292">
        <v>11576684</v>
      </c>
      <c r="H45" s="292">
        <v>11602700</v>
      </c>
      <c r="I45" s="292">
        <v>11617527</v>
      </c>
      <c r="J45" s="292">
        <v>11634370</v>
      </c>
      <c r="K45" s="292">
        <v>11659650</v>
      </c>
      <c r="L45" s="292">
        <v>11676341</v>
      </c>
      <c r="M45" s="292">
        <v>11689100</v>
      </c>
    </row>
    <row r="46" spans="1:13" x14ac:dyDescent="0.15">
      <c r="A46" s="295" t="s">
        <v>209</v>
      </c>
      <c r="B46" s="292">
        <v>3751351</v>
      </c>
      <c r="C46" s="292">
        <v>3751582</v>
      </c>
      <c r="D46" s="292">
        <v>3759944</v>
      </c>
      <c r="E46" s="292">
        <v>3788379</v>
      </c>
      <c r="F46" s="292">
        <v>3818814</v>
      </c>
      <c r="G46" s="292">
        <v>3853214</v>
      </c>
      <c r="H46" s="292">
        <v>3878187</v>
      </c>
      <c r="I46" s="292">
        <v>3909500</v>
      </c>
      <c r="J46" s="292">
        <v>3926331</v>
      </c>
      <c r="K46" s="292">
        <v>3931316</v>
      </c>
      <c r="L46" s="292">
        <v>3940235</v>
      </c>
      <c r="M46" s="292">
        <v>3956971</v>
      </c>
    </row>
    <row r="47" spans="1:13" x14ac:dyDescent="0.15">
      <c r="A47" s="295" t="s">
        <v>210</v>
      </c>
      <c r="B47" s="292">
        <v>3831074</v>
      </c>
      <c r="C47" s="292">
        <v>3831079</v>
      </c>
      <c r="D47" s="292">
        <v>3837491</v>
      </c>
      <c r="E47" s="292">
        <v>3872036</v>
      </c>
      <c r="F47" s="292">
        <v>3899001</v>
      </c>
      <c r="G47" s="292">
        <v>3922468</v>
      </c>
      <c r="H47" s="292">
        <v>3963244</v>
      </c>
      <c r="I47" s="292">
        <v>4015792</v>
      </c>
      <c r="J47" s="292">
        <v>4089976</v>
      </c>
      <c r="K47" s="292">
        <v>4143625</v>
      </c>
      <c r="L47" s="292">
        <v>4181886</v>
      </c>
      <c r="M47" s="292">
        <v>4217737</v>
      </c>
    </row>
    <row r="48" spans="1:13" x14ac:dyDescent="0.15">
      <c r="A48" s="295" t="s">
        <v>211</v>
      </c>
      <c r="B48" s="292">
        <v>12702379</v>
      </c>
      <c r="C48" s="292">
        <v>12702868</v>
      </c>
      <c r="D48" s="292">
        <v>12711160</v>
      </c>
      <c r="E48" s="292">
        <v>12745815</v>
      </c>
      <c r="F48" s="292">
        <v>12767118</v>
      </c>
      <c r="G48" s="292">
        <v>12776309</v>
      </c>
      <c r="H48" s="292">
        <v>12788313</v>
      </c>
      <c r="I48" s="292">
        <v>12784826</v>
      </c>
      <c r="J48" s="292">
        <v>12782275</v>
      </c>
      <c r="K48" s="292">
        <v>12787641</v>
      </c>
      <c r="L48" s="292">
        <v>12800922</v>
      </c>
      <c r="M48" s="292">
        <v>12801989</v>
      </c>
    </row>
    <row r="49" spans="1:13" x14ac:dyDescent="0.15">
      <c r="A49" s="295" t="s">
        <v>212</v>
      </c>
      <c r="B49" s="292">
        <v>1052567</v>
      </c>
      <c r="C49" s="292">
        <v>1052964</v>
      </c>
      <c r="D49" s="292">
        <v>1053959</v>
      </c>
      <c r="E49" s="292">
        <v>1053649</v>
      </c>
      <c r="F49" s="292">
        <v>1054621</v>
      </c>
      <c r="G49" s="292">
        <v>1055081</v>
      </c>
      <c r="H49" s="292">
        <v>1055936</v>
      </c>
      <c r="I49" s="292">
        <v>1056065</v>
      </c>
      <c r="J49" s="292">
        <v>1056770</v>
      </c>
      <c r="K49" s="292">
        <v>1055673</v>
      </c>
      <c r="L49" s="292">
        <v>1058287</v>
      </c>
      <c r="M49" s="292">
        <v>1059361</v>
      </c>
    </row>
    <row r="50" spans="1:13" x14ac:dyDescent="0.15">
      <c r="A50" s="295" t="s">
        <v>213</v>
      </c>
      <c r="B50" s="292">
        <v>4625364</v>
      </c>
      <c r="C50" s="292">
        <v>4625366</v>
      </c>
      <c r="D50" s="292">
        <v>4635649</v>
      </c>
      <c r="E50" s="292">
        <v>4671994</v>
      </c>
      <c r="F50" s="292">
        <v>4717354</v>
      </c>
      <c r="G50" s="292">
        <v>4764080</v>
      </c>
      <c r="H50" s="292">
        <v>4823617</v>
      </c>
      <c r="I50" s="292">
        <v>4891938</v>
      </c>
      <c r="J50" s="292">
        <v>4957968</v>
      </c>
      <c r="K50" s="292">
        <v>5021268</v>
      </c>
      <c r="L50" s="292">
        <v>5084156</v>
      </c>
      <c r="M50" s="292">
        <v>5148714</v>
      </c>
    </row>
    <row r="51" spans="1:13" x14ac:dyDescent="0.15">
      <c r="A51" s="295" t="s">
        <v>214</v>
      </c>
      <c r="B51" s="292">
        <v>814180</v>
      </c>
      <c r="C51" s="292">
        <v>814198</v>
      </c>
      <c r="D51" s="292">
        <v>816166</v>
      </c>
      <c r="E51" s="292">
        <v>823579</v>
      </c>
      <c r="F51" s="292">
        <v>833566</v>
      </c>
      <c r="G51" s="292">
        <v>842316</v>
      </c>
      <c r="H51" s="292">
        <v>849129</v>
      </c>
      <c r="I51" s="292">
        <v>853988</v>
      </c>
      <c r="J51" s="292">
        <v>862996</v>
      </c>
      <c r="K51" s="292">
        <v>872868</v>
      </c>
      <c r="L51" s="292">
        <v>878698</v>
      </c>
      <c r="M51" s="292">
        <v>884659</v>
      </c>
    </row>
    <row r="52" spans="1:13" x14ac:dyDescent="0.15">
      <c r="A52" s="295" t="s">
        <v>215</v>
      </c>
      <c r="B52" s="292">
        <v>6346105</v>
      </c>
      <c r="C52" s="292">
        <v>6346276</v>
      </c>
      <c r="D52" s="292">
        <v>6355311</v>
      </c>
      <c r="E52" s="292">
        <v>6399291</v>
      </c>
      <c r="F52" s="292">
        <v>6453898</v>
      </c>
      <c r="G52" s="292">
        <v>6494340</v>
      </c>
      <c r="H52" s="292">
        <v>6541223</v>
      </c>
      <c r="I52" s="292">
        <v>6591170</v>
      </c>
      <c r="J52" s="292">
        <v>6646010</v>
      </c>
      <c r="K52" s="292">
        <v>6708799</v>
      </c>
      <c r="L52" s="292">
        <v>6771631</v>
      </c>
      <c r="M52" s="292">
        <v>6829174</v>
      </c>
    </row>
    <row r="53" spans="1:13" x14ac:dyDescent="0.15">
      <c r="A53" s="296" t="s">
        <v>216</v>
      </c>
      <c r="B53" s="292">
        <v>25145561</v>
      </c>
      <c r="C53" s="292">
        <v>25146091</v>
      </c>
      <c r="D53" s="292">
        <v>25241971</v>
      </c>
      <c r="E53" s="292">
        <v>25645629</v>
      </c>
      <c r="F53" s="292">
        <v>26084481</v>
      </c>
      <c r="G53" s="292">
        <v>26480266</v>
      </c>
      <c r="H53" s="292">
        <v>26964333</v>
      </c>
      <c r="I53" s="292">
        <v>27470056</v>
      </c>
      <c r="J53" s="292">
        <v>27914410</v>
      </c>
      <c r="K53" s="292">
        <v>28295273</v>
      </c>
      <c r="L53" s="292">
        <v>28628666</v>
      </c>
      <c r="M53" s="292">
        <v>28995881</v>
      </c>
    </row>
    <row r="54" spans="1:13" x14ac:dyDescent="0.15">
      <c r="A54" s="295" t="s">
        <v>217</v>
      </c>
      <c r="B54" s="292">
        <v>2763885</v>
      </c>
      <c r="C54" s="292">
        <v>2763891</v>
      </c>
      <c r="D54" s="292">
        <v>2775332</v>
      </c>
      <c r="E54" s="292">
        <v>2814384</v>
      </c>
      <c r="F54" s="292">
        <v>2853375</v>
      </c>
      <c r="G54" s="292">
        <v>2897640</v>
      </c>
      <c r="H54" s="292">
        <v>2936879</v>
      </c>
      <c r="I54" s="292">
        <v>2981835</v>
      </c>
      <c r="J54" s="292">
        <v>3041868</v>
      </c>
      <c r="K54" s="292">
        <v>3101042</v>
      </c>
      <c r="L54" s="292">
        <v>3153550</v>
      </c>
      <c r="M54" s="292">
        <v>3205958</v>
      </c>
    </row>
    <row r="55" spans="1:13" x14ac:dyDescent="0.15">
      <c r="A55" s="295" t="s">
        <v>218</v>
      </c>
      <c r="B55" s="292">
        <v>625741</v>
      </c>
      <c r="C55" s="292">
        <v>625737</v>
      </c>
      <c r="D55" s="292">
        <v>625879</v>
      </c>
      <c r="E55" s="292">
        <v>627049</v>
      </c>
      <c r="F55" s="292">
        <v>626090</v>
      </c>
      <c r="G55" s="292">
        <v>626210</v>
      </c>
      <c r="H55" s="292">
        <v>625214</v>
      </c>
      <c r="I55" s="292">
        <v>625216</v>
      </c>
      <c r="J55" s="292">
        <v>623657</v>
      </c>
      <c r="K55" s="292">
        <v>624344</v>
      </c>
      <c r="L55" s="292">
        <v>624358</v>
      </c>
      <c r="M55" s="292">
        <v>623989</v>
      </c>
    </row>
    <row r="56" spans="1:13" x14ac:dyDescent="0.15">
      <c r="A56" s="295" t="s">
        <v>219</v>
      </c>
      <c r="B56" s="292">
        <v>8001024</v>
      </c>
      <c r="C56" s="292">
        <v>8001049</v>
      </c>
      <c r="D56" s="292">
        <v>8023699</v>
      </c>
      <c r="E56" s="292">
        <v>8101155</v>
      </c>
      <c r="F56" s="292">
        <v>8185080</v>
      </c>
      <c r="G56" s="292">
        <v>8252427</v>
      </c>
      <c r="H56" s="292">
        <v>8310993</v>
      </c>
      <c r="I56" s="292">
        <v>8361808</v>
      </c>
      <c r="J56" s="292">
        <v>8410106</v>
      </c>
      <c r="K56" s="292">
        <v>8463587</v>
      </c>
      <c r="L56" s="292">
        <v>8501286</v>
      </c>
      <c r="M56" s="292">
        <v>8535519</v>
      </c>
    </row>
    <row r="57" spans="1:13" x14ac:dyDescent="0.15">
      <c r="A57" s="295" t="s">
        <v>220</v>
      </c>
      <c r="B57" s="292">
        <v>6724540</v>
      </c>
      <c r="C57" s="292">
        <v>6724540</v>
      </c>
      <c r="D57" s="292">
        <v>6742830</v>
      </c>
      <c r="E57" s="292">
        <v>6826627</v>
      </c>
      <c r="F57" s="292">
        <v>6897058</v>
      </c>
      <c r="G57" s="292">
        <v>6963985</v>
      </c>
      <c r="H57" s="292">
        <v>7054655</v>
      </c>
      <c r="I57" s="292">
        <v>7163657</v>
      </c>
      <c r="J57" s="292">
        <v>7294771</v>
      </c>
      <c r="K57" s="292">
        <v>7423362</v>
      </c>
      <c r="L57" s="292">
        <v>7523869</v>
      </c>
      <c r="M57" s="292">
        <v>7614893</v>
      </c>
    </row>
    <row r="58" spans="1:13" x14ac:dyDescent="0.15">
      <c r="A58" s="295" t="s">
        <v>221</v>
      </c>
      <c r="B58" s="292">
        <v>1852994</v>
      </c>
      <c r="C58" s="292">
        <v>1853018</v>
      </c>
      <c r="D58" s="292">
        <v>1854239</v>
      </c>
      <c r="E58" s="292">
        <v>1856301</v>
      </c>
      <c r="F58" s="292">
        <v>1856872</v>
      </c>
      <c r="G58" s="292">
        <v>1853914</v>
      </c>
      <c r="H58" s="292">
        <v>1849489</v>
      </c>
      <c r="I58" s="292">
        <v>1842050</v>
      </c>
      <c r="J58" s="292">
        <v>1831023</v>
      </c>
      <c r="K58" s="292">
        <v>1817004</v>
      </c>
      <c r="L58" s="292">
        <v>1804291</v>
      </c>
      <c r="M58" s="292">
        <v>1792147</v>
      </c>
    </row>
    <row r="59" spans="1:13" x14ac:dyDescent="0.15">
      <c r="A59" s="295" t="s">
        <v>222</v>
      </c>
      <c r="B59" s="292">
        <v>5686986</v>
      </c>
      <c r="C59" s="292">
        <v>5687285</v>
      </c>
      <c r="D59" s="292">
        <v>5690475</v>
      </c>
      <c r="E59" s="292">
        <v>5705288</v>
      </c>
      <c r="F59" s="292">
        <v>5719960</v>
      </c>
      <c r="G59" s="292">
        <v>5736754</v>
      </c>
      <c r="H59" s="292">
        <v>5751525</v>
      </c>
      <c r="I59" s="292">
        <v>5760940</v>
      </c>
      <c r="J59" s="292">
        <v>5772628</v>
      </c>
      <c r="K59" s="292">
        <v>5790186</v>
      </c>
      <c r="L59" s="292">
        <v>5807406</v>
      </c>
      <c r="M59" s="292">
        <v>5822434</v>
      </c>
    </row>
    <row r="60" spans="1:13" x14ac:dyDescent="0.15">
      <c r="A60" s="295" t="s">
        <v>223</v>
      </c>
      <c r="B60" s="292">
        <v>563626</v>
      </c>
      <c r="C60" s="292">
        <v>563775</v>
      </c>
      <c r="D60" s="292">
        <v>564487</v>
      </c>
      <c r="E60" s="292">
        <v>567299</v>
      </c>
      <c r="F60" s="292">
        <v>576305</v>
      </c>
      <c r="G60" s="292">
        <v>582122</v>
      </c>
      <c r="H60" s="292">
        <v>582531</v>
      </c>
      <c r="I60" s="292">
        <v>585613</v>
      </c>
      <c r="J60" s="292">
        <v>584215</v>
      </c>
      <c r="K60" s="292">
        <v>578931</v>
      </c>
      <c r="L60" s="292">
        <v>577601</v>
      </c>
      <c r="M60" s="292">
        <v>578759</v>
      </c>
    </row>
    <row r="61" spans="1:13" x14ac:dyDescent="0.15">
      <c r="A61" s="297"/>
      <c r="B61" s="292"/>
      <c r="C61" s="292"/>
      <c r="D61" s="292"/>
      <c r="E61" s="292"/>
      <c r="F61" s="292"/>
      <c r="G61" s="292"/>
      <c r="H61" s="292"/>
      <c r="I61" s="292"/>
      <c r="J61" s="292"/>
      <c r="K61" s="292"/>
      <c r="L61" s="292"/>
      <c r="M61" s="292"/>
    </row>
    <row r="62" spans="1:13" x14ac:dyDescent="0.15">
      <c r="A62" s="298" t="s">
        <v>858</v>
      </c>
      <c r="B62" s="292">
        <v>3725789</v>
      </c>
      <c r="C62" s="292">
        <v>3726157</v>
      </c>
      <c r="D62" s="292">
        <v>3721525</v>
      </c>
      <c r="E62" s="292">
        <v>3678732</v>
      </c>
      <c r="F62" s="292">
        <v>3634488</v>
      </c>
      <c r="G62" s="292">
        <v>3593077</v>
      </c>
      <c r="H62" s="292">
        <v>3534874</v>
      </c>
      <c r="I62" s="292">
        <v>3473232</v>
      </c>
      <c r="J62" s="292">
        <v>3406672</v>
      </c>
      <c r="K62" s="292">
        <v>3325286</v>
      </c>
      <c r="L62" s="292">
        <v>3193354</v>
      </c>
      <c r="M62" s="292">
        <v>3193694</v>
      </c>
    </row>
    <row r="63" spans="1:13" x14ac:dyDescent="0.15">
      <c r="A63" s="392" t="s">
        <v>859</v>
      </c>
      <c r="B63" s="393"/>
      <c r="C63" s="393"/>
      <c r="D63" s="393"/>
      <c r="E63" s="393"/>
      <c r="F63" s="393"/>
      <c r="G63" s="393"/>
      <c r="H63" s="393"/>
      <c r="I63" s="393"/>
      <c r="J63" s="393"/>
      <c r="K63" s="393"/>
      <c r="L63" s="393"/>
      <c r="M63" s="394"/>
    </row>
    <row r="64" spans="1:13" x14ac:dyDescent="0.15">
      <c r="A64" s="376" t="s">
        <v>860</v>
      </c>
      <c r="B64" s="377"/>
      <c r="C64" s="377"/>
      <c r="D64" s="377"/>
      <c r="E64" s="377"/>
      <c r="F64" s="377"/>
      <c r="G64" s="377"/>
      <c r="H64" s="377"/>
      <c r="I64" s="377"/>
      <c r="J64" s="377"/>
      <c r="K64" s="377"/>
      <c r="L64" s="377"/>
      <c r="M64" s="378"/>
    </row>
    <row r="65" spans="1:13" x14ac:dyDescent="0.15">
      <c r="A65" s="379" t="s">
        <v>861</v>
      </c>
      <c r="B65" s="380"/>
      <c r="C65" s="380"/>
      <c r="D65" s="380"/>
      <c r="E65" s="380"/>
      <c r="F65" s="380"/>
      <c r="G65" s="380"/>
      <c r="H65" s="380"/>
      <c r="I65" s="380"/>
      <c r="J65" s="380"/>
      <c r="K65" s="380"/>
      <c r="L65" s="380"/>
      <c r="M65" s="381"/>
    </row>
    <row r="66" spans="1:13" x14ac:dyDescent="0.15">
      <c r="A66" s="379" t="s">
        <v>862</v>
      </c>
      <c r="B66" s="380"/>
      <c r="C66" s="380"/>
      <c r="D66" s="380"/>
      <c r="E66" s="380"/>
      <c r="F66" s="380"/>
      <c r="G66" s="380"/>
      <c r="H66" s="380"/>
      <c r="I66" s="380"/>
      <c r="J66" s="380"/>
      <c r="K66" s="380"/>
      <c r="L66" s="380"/>
      <c r="M66" s="381"/>
    </row>
    <row r="67" spans="1:13" x14ac:dyDescent="0.15">
      <c r="A67" s="382" t="s">
        <v>863</v>
      </c>
      <c r="B67" s="383"/>
      <c r="C67" s="383"/>
      <c r="D67" s="383"/>
      <c r="E67" s="383"/>
      <c r="F67" s="383"/>
      <c r="G67" s="383"/>
      <c r="H67" s="383"/>
      <c r="I67" s="383"/>
      <c r="J67" s="383"/>
      <c r="K67" s="383"/>
      <c r="L67" s="383"/>
      <c r="M67" s="384"/>
    </row>
  </sheetData>
  <mergeCells count="9">
    <mergeCell ref="A64:M64"/>
    <mergeCell ref="A65:M65"/>
    <mergeCell ref="A66:M66"/>
    <mergeCell ref="A67:M67"/>
    <mergeCell ref="A2:M2"/>
    <mergeCell ref="A3:A4"/>
    <mergeCell ref="D3:M3"/>
    <mergeCell ref="B3:C3"/>
    <mergeCell ref="A63:M63"/>
  </mergeCells>
  <pageMargins left="0.7" right="0.7" top="0.75" bottom="0.75" header="0.3" footer="0.3"/>
  <pageSetup scale="6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D42A-C925-4610-8B39-963F4B3C2017}">
  <sheetPr>
    <tabColor theme="5" tint="0.39997558519241921"/>
  </sheetPr>
  <dimension ref="A1:F470"/>
  <sheetViews>
    <sheetView view="pageBreakPreview" topLeftCell="B2" zoomScale="130" zoomScaleNormal="100" zoomScaleSheetLayoutView="130" workbookViewId="0">
      <selection activeCell="C29" sqref="C29"/>
    </sheetView>
  </sheetViews>
  <sheetFormatPr baseColWidth="10" defaultColWidth="9.1640625" defaultRowHeight="12" outlineLevelRow="1" outlineLevelCol="1" x14ac:dyDescent="0.15"/>
  <cols>
    <col min="1" max="1" width="9.33203125" style="137" hidden="1" customWidth="1" outlineLevel="1"/>
    <col min="2" max="2" width="18.6640625" style="137" bestFit="1" customWidth="1" collapsed="1"/>
    <col min="3" max="3" width="68" style="137" bestFit="1" customWidth="1"/>
    <col min="4" max="4" width="10.5" style="137" bestFit="1" customWidth="1"/>
    <col min="5" max="5" width="11.5" style="137" hidden="1" customWidth="1" outlineLevel="1"/>
    <col min="6" max="6" width="9.1640625" style="137" collapsed="1"/>
    <col min="7" max="16384" width="9.1640625" style="137"/>
  </cols>
  <sheetData>
    <row r="1" spans="1:5" hidden="1" outlineLevel="1" x14ac:dyDescent="0.15">
      <c r="A1" s="137">
        <v>1</v>
      </c>
      <c r="B1" s="137">
        <f>A1+1</f>
        <v>2</v>
      </c>
      <c r="C1" s="137">
        <f>B1+1</f>
        <v>3</v>
      </c>
      <c r="D1" s="137">
        <f>C1+1</f>
        <v>4</v>
      </c>
      <c r="E1" s="137">
        <f>D1+1</f>
        <v>5</v>
      </c>
    </row>
    <row r="2" spans="1:5" collapsed="1" x14ac:dyDescent="0.15">
      <c r="B2" s="136" t="s">
        <v>83</v>
      </c>
      <c r="C2" s="136" t="s">
        <v>864</v>
      </c>
      <c r="D2" s="136" t="s">
        <v>865</v>
      </c>
      <c r="E2" s="136" t="s">
        <v>866</v>
      </c>
    </row>
    <row r="3" spans="1:5" x14ac:dyDescent="0.15">
      <c r="A3" s="137" t="str">
        <f>_xlfn.CONCAT(B3," - ",C3)</f>
        <v>United States - Total Local Government Units</v>
      </c>
      <c r="B3" s="137" t="s">
        <v>846</v>
      </c>
      <c r="C3" s="137" t="s">
        <v>867</v>
      </c>
      <c r="D3" s="139">
        <v>90075</v>
      </c>
      <c r="E3" s="137" t="s">
        <v>848</v>
      </c>
    </row>
    <row r="4" spans="1:5" x14ac:dyDescent="0.15">
      <c r="A4" s="137" t="str">
        <f t="shared" ref="A4:A67" si="0">_xlfn.CONCAT(B4," - ",C4)</f>
        <v>United States - Special Purpose Governments</v>
      </c>
      <c r="B4" s="137" t="s">
        <v>846</v>
      </c>
      <c r="C4" s="137" t="s">
        <v>868</v>
      </c>
      <c r="D4" s="139">
        <v>51296</v>
      </c>
      <c r="E4" s="137" t="s">
        <v>848</v>
      </c>
    </row>
    <row r="5" spans="1:5" x14ac:dyDescent="0.15">
      <c r="A5" s="137" t="str">
        <f t="shared" si="0"/>
        <v>United States - General Purpose Governments</v>
      </c>
      <c r="B5" s="137" t="s">
        <v>846</v>
      </c>
      <c r="C5" s="137" t="s">
        <v>869</v>
      </c>
      <c r="D5" s="139">
        <v>38779</v>
      </c>
      <c r="E5" s="137" t="s">
        <v>848</v>
      </c>
    </row>
    <row r="6" spans="1:5" x14ac:dyDescent="0.15">
      <c r="A6" s="137" t="str">
        <f t="shared" si="0"/>
        <v>United States - County Governments</v>
      </c>
      <c r="B6" s="137" t="s">
        <v>846</v>
      </c>
      <c r="C6" s="137" t="s">
        <v>165</v>
      </c>
      <c r="D6" s="139">
        <v>3031</v>
      </c>
      <c r="E6" s="137" t="s">
        <v>848</v>
      </c>
    </row>
    <row r="7" spans="1:5" x14ac:dyDescent="0.15">
      <c r="A7" s="137" t="str">
        <f t="shared" si="0"/>
        <v>United States - Subcounty Governments</v>
      </c>
      <c r="B7" s="137" t="s">
        <v>846</v>
      </c>
      <c r="C7" s="137" t="s">
        <v>870</v>
      </c>
      <c r="D7" s="139">
        <v>35748</v>
      </c>
      <c r="E7" s="137" t="s">
        <v>848</v>
      </c>
    </row>
    <row r="8" spans="1:5" x14ac:dyDescent="0.15">
      <c r="A8" s="137" t="str">
        <f t="shared" si="0"/>
        <v>United States - Subcounty Governments - Municipal Governments</v>
      </c>
      <c r="B8" s="137" t="s">
        <v>846</v>
      </c>
      <c r="C8" s="137" t="s">
        <v>871</v>
      </c>
      <c r="D8" s="139">
        <v>19495</v>
      </c>
      <c r="E8" s="137" t="s">
        <v>848</v>
      </c>
    </row>
    <row r="9" spans="1:5" x14ac:dyDescent="0.15">
      <c r="A9" s="137" t="str">
        <f t="shared" si="0"/>
        <v>United States - Subcounty Governments - Township Governments</v>
      </c>
      <c r="B9" s="137" t="s">
        <v>846</v>
      </c>
      <c r="C9" s="137" t="s">
        <v>872</v>
      </c>
      <c r="D9" s="139">
        <v>16253</v>
      </c>
      <c r="E9" s="137" t="s">
        <v>848</v>
      </c>
    </row>
    <row r="10" spans="1:5" x14ac:dyDescent="0.15">
      <c r="A10" s="137" t="str">
        <f t="shared" si="0"/>
        <v>United States - Special Purpose Governments - Special District Governments</v>
      </c>
      <c r="B10" s="137" t="s">
        <v>846</v>
      </c>
      <c r="C10" s="137" t="s">
        <v>873</v>
      </c>
      <c r="D10" s="139">
        <v>38542</v>
      </c>
      <c r="E10" s="137" t="s">
        <v>848</v>
      </c>
    </row>
    <row r="11" spans="1:5" x14ac:dyDescent="0.15">
      <c r="A11" s="137" t="str">
        <f t="shared" si="0"/>
        <v>United States - Special Purpose Governments - Independent School District Governments</v>
      </c>
      <c r="B11" s="137" t="s">
        <v>846</v>
      </c>
      <c r="C11" s="137" t="s">
        <v>874</v>
      </c>
      <c r="D11" s="139">
        <v>12754</v>
      </c>
      <c r="E11" s="137" t="s">
        <v>848</v>
      </c>
    </row>
    <row r="12" spans="1:5" x14ac:dyDescent="0.15">
      <c r="A12" s="137" t="str">
        <f t="shared" si="0"/>
        <v>Alabama - Total Local Government Units</v>
      </c>
      <c r="B12" s="137" t="s">
        <v>173</v>
      </c>
      <c r="C12" s="137" t="s">
        <v>867</v>
      </c>
      <c r="D12" s="139">
        <v>1195</v>
      </c>
      <c r="E12" s="137" t="s">
        <v>848</v>
      </c>
    </row>
    <row r="13" spans="1:5" x14ac:dyDescent="0.15">
      <c r="A13" s="137" t="str">
        <f t="shared" si="0"/>
        <v>Alabama - Special Purpose Governments</v>
      </c>
      <c r="B13" s="137" t="s">
        <v>173</v>
      </c>
      <c r="C13" s="137" t="s">
        <v>868</v>
      </c>
      <c r="D13" s="139">
        <v>667</v>
      </c>
      <c r="E13" s="137" t="s">
        <v>848</v>
      </c>
    </row>
    <row r="14" spans="1:5" x14ac:dyDescent="0.15">
      <c r="A14" s="137" t="str">
        <f t="shared" si="0"/>
        <v>Alabama - General Purpose Governments</v>
      </c>
      <c r="B14" s="137" t="s">
        <v>173</v>
      </c>
      <c r="C14" s="137" t="s">
        <v>869</v>
      </c>
      <c r="D14" s="139">
        <v>528</v>
      </c>
      <c r="E14" s="137" t="s">
        <v>848</v>
      </c>
    </row>
    <row r="15" spans="1:5" x14ac:dyDescent="0.15">
      <c r="A15" s="137" t="str">
        <f t="shared" si="0"/>
        <v>Alabama - County Governments</v>
      </c>
      <c r="B15" s="137" t="s">
        <v>173</v>
      </c>
      <c r="C15" s="137" t="s">
        <v>165</v>
      </c>
      <c r="D15" s="139">
        <v>67</v>
      </c>
      <c r="E15" s="137" t="s">
        <v>848</v>
      </c>
    </row>
    <row r="16" spans="1:5" x14ac:dyDescent="0.15">
      <c r="A16" s="137" t="str">
        <f t="shared" si="0"/>
        <v>Alabama - Subcounty Governments</v>
      </c>
      <c r="B16" s="137" t="s">
        <v>173</v>
      </c>
      <c r="C16" s="137" t="s">
        <v>870</v>
      </c>
      <c r="D16" s="139">
        <v>461</v>
      </c>
      <c r="E16" s="137" t="s">
        <v>848</v>
      </c>
    </row>
    <row r="17" spans="1:5" x14ac:dyDescent="0.15">
      <c r="A17" s="137" t="str">
        <f t="shared" si="0"/>
        <v>Alabama - Subcounty Governments - Municipal Governments</v>
      </c>
      <c r="B17" s="137" t="s">
        <v>173</v>
      </c>
      <c r="C17" s="137" t="s">
        <v>871</v>
      </c>
      <c r="D17" s="139">
        <v>461</v>
      </c>
      <c r="E17" s="137" t="s">
        <v>848</v>
      </c>
    </row>
    <row r="18" spans="1:5" x14ac:dyDescent="0.15">
      <c r="A18" s="137" t="str">
        <f t="shared" si="0"/>
        <v>Alabama - Subcounty Governments - Township Governments</v>
      </c>
      <c r="B18" s="137" t="s">
        <v>173</v>
      </c>
      <c r="C18" s="137" t="s">
        <v>872</v>
      </c>
      <c r="D18" s="139">
        <v>0</v>
      </c>
      <c r="E18" s="137" t="s">
        <v>848</v>
      </c>
    </row>
    <row r="19" spans="1:5" x14ac:dyDescent="0.15">
      <c r="A19" s="137" t="str">
        <f t="shared" si="0"/>
        <v>Alabama - Special Purpose Governments - Special District Governments</v>
      </c>
      <c r="B19" s="137" t="s">
        <v>173</v>
      </c>
      <c r="C19" s="137" t="s">
        <v>873</v>
      </c>
      <c r="D19" s="139">
        <v>530</v>
      </c>
      <c r="E19" s="137" t="s">
        <v>848</v>
      </c>
    </row>
    <row r="20" spans="1:5" x14ac:dyDescent="0.15">
      <c r="A20" s="137" t="str">
        <f t="shared" si="0"/>
        <v>Alabama - Special Purpose Governments - Independent School District Governments</v>
      </c>
      <c r="B20" s="137" t="s">
        <v>173</v>
      </c>
      <c r="C20" s="137" t="s">
        <v>874</v>
      </c>
      <c r="D20" s="139">
        <v>137</v>
      </c>
      <c r="E20" s="137" t="s">
        <v>848</v>
      </c>
    </row>
    <row r="21" spans="1:5" x14ac:dyDescent="0.15">
      <c r="A21" s="137" t="str">
        <f t="shared" si="0"/>
        <v>Alaska - Total Local Government Units</v>
      </c>
      <c r="B21" s="137" t="s">
        <v>174</v>
      </c>
      <c r="C21" s="137" t="s">
        <v>867</v>
      </c>
      <c r="D21" s="139">
        <v>179</v>
      </c>
      <c r="E21" s="137" t="s">
        <v>848</v>
      </c>
    </row>
    <row r="22" spans="1:5" x14ac:dyDescent="0.15">
      <c r="A22" s="137" t="str">
        <f t="shared" si="0"/>
        <v>Alaska - Special Purpose Governments</v>
      </c>
      <c r="B22" s="137" t="s">
        <v>174</v>
      </c>
      <c r="C22" s="137" t="s">
        <v>868</v>
      </c>
      <c r="D22" s="139">
        <v>15</v>
      </c>
      <c r="E22" s="137" t="s">
        <v>848</v>
      </c>
    </row>
    <row r="23" spans="1:5" x14ac:dyDescent="0.15">
      <c r="A23" s="137" t="str">
        <f t="shared" si="0"/>
        <v>Alaska - General Purpose Governments</v>
      </c>
      <c r="B23" s="137" t="s">
        <v>174</v>
      </c>
      <c r="C23" s="137" t="s">
        <v>869</v>
      </c>
      <c r="D23" s="139">
        <v>164</v>
      </c>
      <c r="E23" s="137" t="s">
        <v>848</v>
      </c>
    </row>
    <row r="24" spans="1:5" x14ac:dyDescent="0.15">
      <c r="A24" s="137" t="str">
        <f t="shared" si="0"/>
        <v>Alaska - County Governments</v>
      </c>
      <c r="B24" s="137" t="s">
        <v>174</v>
      </c>
      <c r="C24" s="137" t="s">
        <v>165</v>
      </c>
      <c r="D24" s="139">
        <v>15</v>
      </c>
      <c r="E24" s="137" t="s">
        <v>848</v>
      </c>
    </row>
    <row r="25" spans="1:5" x14ac:dyDescent="0.15">
      <c r="A25" s="137" t="str">
        <f t="shared" si="0"/>
        <v>Alaska - Subcounty Governments</v>
      </c>
      <c r="B25" s="137" t="s">
        <v>174</v>
      </c>
      <c r="C25" s="137" t="s">
        <v>870</v>
      </c>
      <c r="D25" s="139">
        <v>149</v>
      </c>
      <c r="E25" s="137" t="s">
        <v>848</v>
      </c>
    </row>
    <row r="26" spans="1:5" x14ac:dyDescent="0.15">
      <c r="A26" s="137" t="str">
        <f t="shared" si="0"/>
        <v>Alaska - Subcounty Governments - Municipal Governments</v>
      </c>
      <c r="B26" s="137" t="s">
        <v>174</v>
      </c>
      <c r="C26" s="137" t="s">
        <v>871</v>
      </c>
      <c r="D26" s="139">
        <v>149</v>
      </c>
      <c r="E26" s="137" t="s">
        <v>848</v>
      </c>
    </row>
    <row r="27" spans="1:5" x14ac:dyDescent="0.15">
      <c r="A27" s="137" t="str">
        <f t="shared" si="0"/>
        <v>Alaska - Subcounty Governments - Township Governments</v>
      </c>
      <c r="B27" s="137" t="s">
        <v>174</v>
      </c>
      <c r="C27" s="137" t="s">
        <v>872</v>
      </c>
      <c r="D27" s="139">
        <v>0</v>
      </c>
      <c r="E27" s="137" t="s">
        <v>848</v>
      </c>
    </row>
    <row r="28" spans="1:5" x14ac:dyDescent="0.15">
      <c r="A28" s="137" t="str">
        <f t="shared" si="0"/>
        <v>Alaska - Special Purpose Governments - Special District Governments</v>
      </c>
      <c r="B28" s="137" t="s">
        <v>174</v>
      </c>
      <c r="C28" s="137" t="s">
        <v>873</v>
      </c>
      <c r="D28" s="139">
        <v>15</v>
      </c>
      <c r="E28" s="137" t="s">
        <v>848</v>
      </c>
    </row>
    <row r="29" spans="1:5" x14ac:dyDescent="0.15">
      <c r="A29" s="137" t="str">
        <f t="shared" si="0"/>
        <v>Alaska - Special Purpose Governments - Independent School District Governments</v>
      </c>
      <c r="B29" s="137" t="s">
        <v>174</v>
      </c>
      <c r="C29" s="137" t="s">
        <v>874</v>
      </c>
      <c r="D29" s="139">
        <v>0</v>
      </c>
      <c r="E29" s="137" t="s">
        <v>848</v>
      </c>
    </row>
    <row r="30" spans="1:5" x14ac:dyDescent="0.15">
      <c r="A30" s="137" t="str">
        <f t="shared" si="0"/>
        <v>Arizona - Total Local Government Units</v>
      </c>
      <c r="B30" s="137" t="s">
        <v>175</v>
      </c>
      <c r="C30" s="137" t="s">
        <v>867</v>
      </c>
      <c r="D30" s="139">
        <v>658</v>
      </c>
      <c r="E30" s="137" t="s">
        <v>848</v>
      </c>
    </row>
    <row r="31" spans="1:5" x14ac:dyDescent="0.15">
      <c r="A31" s="137" t="str">
        <f t="shared" si="0"/>
        <v>Arizona - Special Purpose Governments</v>
      </c>
      <c r="B31" s="137" t="s">
        <v>175</v>
      </c>
      <c r="C31" s="137" t="s">
        <v>868</v>
      </c>
      <c r="D31" s="139">
        <v>552</v>
      </c>
      <c r="E31" s="137" t="s">
        <v>848</v>
      </c>
    </row>
    <row r="32" spans="1:5" x14ac:dyDescent="0.15">
      <c r="A32" s="137" t="str">
        <f t="shared" si="0"/>
        <v>Arizona - General Purpose Governments</v>
      </c>
      <c r="B32" s="137" t="s">
        <v>175</v>
      </c>
      <c r="C32" s="137" t="s">
        <v>869</v>
      </c>
      <c r="D32" s="139">
        <v>106</v>
      </c>
      <c r="E32" s="137" t="s">
        <v>848</v>
      </c>
    </row>
    <row r="33" spans="1:5" x14ac:dyDescent="0.15">
      <c r="A33" s="137" t="str">
        <f t="shared" si="0"/>
        <v>Arizona - County Governments</v>
      </c>
      <c r="B33" s="137" t="s">
        <v>175</v>
      </c>
      <c r="C33" s="137" t="s">
        <v>165</v>
      </c>
      <c r="D33" s="139">
        <v>15</v>
      </c>
      <c r="E33" s="137" t="s">
        <v>848</v>
      </c>
    </row>
    <row r="34" spans="1:5" x14ac:dyDescent="0.15">
      <c r="A34" s="137" t="str">
        <f t="shared" si="0"/>
        <v>Arizona - Subcounty Governments</v>
      </c>
      <c r="B34" s="137" t="s">
        <v>175</v>
      </c>
      <c r="C34" s="137" t="s">
        <v>870</v>
      </c>
      <c r="D34" s="139">
        <v>91</v>
      </c>
      <c r="E34" s="137" t="s">
        <v>848</v>
      </c>
    </row>
    <row r="35" spans="1:5" x14ac:dyDescent="0.15">
      <c r="A35" s="137" t="str">
        <f t="shared" si="0"/>
        <v>Arizona - Subcounty Governments - Municipal Governments</v>
      </c>
      <c r="B35" s="137" t="s">
        <v>175</v>
      </c>
      <c r="C35" s="137" t="s">
        <v>871</v>
      </c>
      <c r="D35" s="139">
        <v>91</v>
      </c>
      <c r="E35" s="137" t="s">
        <v>848</v>
      </c>
    </row>
    <row r="36" spans="1:5" x14ac:dyDescent="0.15">
      <c r="A36" s="137" t="str">
        <f t="shared" si="0"/>
        <v>Arizona - Subcounty Governments - Township Governments</v>
      </c>
      <c r="B36" s="137" t="s">
        <v>175</v>
      </c>
      <c r="C36" s="137" t="s">
        <v>872</v>
      </c>
      <c r="D36" s="139">
        <v>0</v>
      </c>
      <c r="E36" s="137" t="s">
        <v>848</v>
      </c>
    </row>
    <row r="37" spans="1:5" x14ac:dyDescent="0.15">
      <c r="A37" s="137" t="str">
        <f t="shared" si="0"/>
        <v>Arizona - Special Purpose Governments - Special District Governments</v>
      </c>
      <c r="B37" s="137" t="s">
        <v>175</v>
      </c>
      <c r="C37" s="137" t="s">
        <v>873</v>
      </c>
      <c r="D37" s="139">
        <v>310</v>
      </c>
      <c r="E37" s="137" t="s">
        <v>848</v>
      </c>
    </row>
    <row r="38" spans="1:5" x14ac:dyDescent="0.15">
      <c r="A38" s="137" t="str">
        <f t="shared" si="0"/>
        <v>Arizona - Special Purpose Governments - Independent School District Governments</v>
      </c>
      <c r="B38" s="137" t="s">
        <v>175</v>
      </c>
      <c r="C38" s="137" t="s">
        <v>874</v>
      </c>
      <c r="D38" s="139">
        <v>242</v>
      </c>
      <c r="E38" s="137" t="s">
        <v>848</v>
      </c>
    </row>
    <row r="39" spans="1:5" x14ac:dyDescent="0.15">
      <c r="A39" s="137" t="str">
        <f t="shared" si="0"/>
        <v>Arkansas - Total Local Government Units</v>
      </c>
      <c r="B39" s="137" t="s">
        <v>176</v>
      </c>
      <c r="C39" s="137" t="s">
        <v>867</v>
      </c>
      <c r="D39" s="139">
        <v>1541</v>
      </c>
      <c r="E39" s="137" t="s">
        <v>848</v>
      </c>
    </row>
    <row r="40" spans="1:5" x14ac:dyDescent="0.15">
      <c r="A40" s="137" t="str">
        <f t="shared" si="0"/>
        <v>Arkansas - Special Purpose Governments</v>
      </c>
      <c r="B40" s="137" t="s">
        <v>176</v>
      </c>
      <c r="C40" s="137" t="s">
        <v>868</v>
      </c>
      <c r="D40" s="139">
        <v>965</v>
      </c>
      <c r="E40" s="137" t="s">
        <v>848</v>
      </c>
    </row>
    <row r="41" spans="1:5" x14ac:dyDescent="0.15">
      <c r="A41" s="137" t="str">
        <f t="shared" si="0"/>
        <v>Arkansas - General Purpose Governments</v>
      </c>
      <c r="B41" s="137" t="s">
        <v>176</v>
      </c>
      <c r="C41" s="137" t="s">
        <v>869</v>
      </c>
      <c r="D41" s="139">
        <v>576</v>
      </c>
      <c r="E41" s="137" t="s">
        <v>848</v>
      </c>
    </row>
    <row r="42" spans="1:5" x14ac:dyDescent="0.15">
      <c r="A42" s="137" t="str">
        <f t="shared" si="0"/>
        <v>Arkansas - County Governments</v>
      </c>
      <c r="B42" s="137" t="s">
        <v>176</v>
      </c>
      <c r="C42" s="137" t="s">
        <v>165</v>
      </c>
      <c r="D42" s="139">
        <v>75</v>
      </c>
      <c r="E42" s="137" t="s">
        <v>848</v>
      </c>
    </row>
    <row r="43" spans="1:5" x14ac:dyDescent="0.15">
      <c r="A43" s="137" t="str">
        <f t="shared" si="0"/>
        <v>Arkansas - Subcounty Governments</v>
      </c>
      <c r="B43" s="137" t="s">
        <v>176</v>
      </c>
      <c r="C43" s="137" t="s">
        <v>870</v>
      </c>
      <c r="D43" s="139">
        <v>501</v>
      </c>
      <c r="E43" s="137" t="s">
        <v>848</v>
      </c>
    </row>
    <row r="44" spans="1:5" x14ac:dyDescent="0.15">
      <c r="A44" s="137" t="str">
        <f t="shared" si="0"/>
        <v>Arkansas - Subcounty Governments - Municipal Governments</v>
      </c>
      <c r="B44" s="137" t="s">
        <v>176</v>
      </c>
      <c r="C44" s="137" t="s">
        <v>871</v>
      </c>
      <c r="D44" s="139">
        <v>501</v>
      </c>
      <c r="E44" s="137" t="s">
        <v>848</v>
      </c>
    </row>
    <row r="45" spans="1:5" x14ac:dyDescent="0.15">
      <c r="A45" s="137" t="str">
        <f t="shared" si="0"/>
        <v>Arkansas - Subcounty Governments - Township Governments</v>
      </c>
      <c r="B45" s="137" t="s">
        <v>176</v>
      </c>
      <c r="C45" s="137" t="s">
        <v>872</v>
      </c>
      <c r="D45" s="139">
        <v>0</v>
      </c>
      <c r="E45" s="137" t="s">
        <v>848</v>
      </c>
    </row>
    <row r="46" spans="1:5" x14ac:dyDescent="0.15">
      <c r="A46" s="137" t="str">
        <f t="shared" si="0"/>
        <v>Arkansas - Special Purpose Governments - Special District Governments</v>
      </c>
      <c r="B46" s="137" t="s">
        <v>176</v>
      </c>
      <c r="C46" s="137" t="s">
        <v>873</v>
      </c>
      <c r="D46" s="139">
        <v>730</v>
      </c>
      <c r="E46" s="137" t="s">
        <v>848</v>
      </c>
    </row>
    <row r="47" spans="1:5" x14ac:dyDescent="0.15">
      <c r="A47" s="137" t="str">
        <f t="shared" si="0"/>
        <v>Arkansas - Special Purpose Governments - Independent School District Governments</v>
      </c>
      <c r="B47" s="137" t="s">
        <v>176</v>
      </c>
      <c r="C47" s="137" t="s">
        <v>874</v>
      </c>
      <c r="D47" s="139">
        <v>235</v>
      </c>
      <c r="E47" s="137" t="s">
        <v>848</v>
      </c>
    </row>
    <row r="48" spans="1:5" x14ac:dyDescent="0.15">
      <c r="A48" s="137" t="str">
        <f t="shared" si="0"/>
        <v>California - Total Local Government Units</v>
      </c>
      <c r="B48" s="137" t="s">
        <v>177</v>
      </c>
      <c r="C48" s="137" t="s">
        <v>867</v>
      </c>
      <c r="D48" s="139">
        <v>4444</v>
      </c>
      <c r="E48" s="137" t="s">
        <v>848</v>
      </c>
    </row>
    <row r="49" spans="1:5" x14ac:dyDescent="0.15">
      <c r="A49" s="137" t="str">
        <f t="shared" si="0"/>
        <v>California - Special Purpose Governments</v>
      </c>
      <c r="B49" s="137" t="s">
        <v>177</v>
      </c>
      <c r="C49" s="137" t="s">
        <v>868</v>
      </c>
      <c r="D49" s="139">
        <v>3905</v>
      </c>
      <c r="E49" s="137" t="s">
        <v>848</v>
      </c>
    </row>
    <row r="50" spans="1:5" x14ac:dyDescent="0.15">
      <c r="A50" s="137" t="str">
        <f t="shared" si="0"/>
        <v>California - General Purpose Governments</v>
      </c>
      <c r="B50" s="137" t="s">
        <v>177</v>
      </c>
      <c r="C50" s="137" t="s">
        <v>869</v>
      </c>
      <c r="D50" s="139">
        <v>539</v>
      </c>
      <c r="E50" s="137" t="s">
        <v>848</v>
      </c>
    </row>
    <row r="51" spans="1:5" x14ac:dyDescent="0.15">
      <c r="A51" s="137" t="str">
        <f t="shared" si="0"/>
        <v>California - County Governments</v>
      </c>
      <c r="B51" s="137" t="s">
        <v>177</v>
      </c>
      <c r="C51" s="137" t="s">
        <v>165</v>
      </c>
      <c r="D51" s="139">
        <v>57</v>
      </c>
      <c r="E51" s="137" t="s">
        <v>848</v>
      </c>
    </row>
    <row r="52" spans="1:5" x14ac:dyDescent="0.15">
      <c r="A52" s="137" t="str">
        <f t="shared" si="0"/>
        <v>California - Subcounty Governments</v>
      </c>
      <c r="B52" s="137" t="s">
        <v>177</v>
      </c>
      <c r="C52" s="137" t="s">
        <v>870</v>
      </c>
      <c r="D52" s="139">
        <v>482</v>
      </c>
      <c r="E52" s="137" t="s">
        <v>848</v>
      </c>
    </row>
    <row r="53" spans="1:5" x14ac:dyDescent="0.15">
      <c r="A53" s="137" t="str">
        <f t="shared" si="0"/>
        <v>California - Subcounty Governments - Municipal Governments</v>
      </c>
      <c r="B53" s="137" t="s">
        <v>177</v>
      </c>
      <c r="C53" s="137" t="s">
        <v>871</v>
      </c>
      <c r="D53" s="139">
        <v>482</v>
      </c>
      <c r="E53" s="137" t="s">
        <v>848</v>
      </c>
    </row>
    <row r="54" spans="1:5" x14ac:dyDescent="0.15">
      <c r="A54" s="137" t="str">
        <f t="shared" si="0"/>
        <v>California - Subcounty Governments - Township Governments</v>
      </c>
      <c r="B54" s="137" t="s">
        <v>177</v>
      </c>
      <c r="C54" s="137" t="s">
        <v>872</v>
      </c>
      <c r="D54" s="139">
        <v>0</v>
      </c>
      <c r="E54" s="137" t="s">
        <v>848</v>
      </c>
    </row>
    <row r="55" spans="1:5" x14ac:dyDescent="0.15">
      <c r="A55" s="137" t="str">
        <f t="shared" si="0"/>
        <v>California - Special Purpose Governments - Special District Governments</v>
      </c>
      <c r="B55" s="137" t="s">
        <v>177</v>
      </c>
      <c r="C55" s="137" t="s">
        <v>873</v>
      </c>
      <c r="D55" s="139">
        <v>2894</v>
      </c>
      <c r="E55" s="137" t="s">
        <v>848</v>
      </c>
    </row>
    <row r="56" spans="1:5" x14ac:dyDescent="0.15">
      <c r="A56" s="137" t="str">
        <f t="shared" si="0"/>
        <v>California - Special Purpose Governments - Independent School District Governments</v>
      </c>
      <c r="B56" s="137" t="s">
        <v>177</v>
      </c>
      <c r="C56" s="137" t="s">
        <v>874</v>
      </c>
      <c r="D56" s="139">
        <v>1011</v>
      </c>
      <c r="E56" s="137" t="s">
        <v>848</v>
      </c>
    </row>
    <row r="57" spans="1:5" x14ac:dyDescent="0.15">
      <c r="A57" s="137" t="str">
        <f t="shared" si="0"/>
        <v>Colorado - Total Local Government Units</v>
      </c>
      <c r="B57" s="137" t="s">
        <v>178</v>
      </c>
      <c r="C57" s="137" t="s">
        <v>867</v>
      </c>
      <c r="D57" s="139">
        <v>3141</v>
      </c>
      <c r="E57" s="137" t="s">
        <v>848</v>
      </c>
    </row>
    <row r="58" spans="1:5" x14ac:dyDescent="0.15">
      <c r="A58" s="137" t="str">
        <f t="shared" si="0"/>
        <v>Colorado - Special Purpose Governments</v>
      </c>
      <c r="B58" s="137" t="s">
        <v>178</v>
      </c>
      <c r="C58" s="137" t="s">
        <v>868</v>
      </c>
      <c r="D58" s="139">
        <v>2808</v>
      </c>
      <c r="E58" s="137" t="s">
        <v>848</v>
      </c>
    </row>
    <row r="59" spans="1:5" x14ac:dyDescent="0.15">
      <c r="A59" s="137" t="str">
        <f t="shared" si="0"/>
        <v>Colorado - General Purpose Governments</v>
      </c>
      <c r="B59" s="137" t="s">
        <v>178</v>
      </c>
      <c r="C59" s="137" t="s">
        <v>869</v>
      </c>
      <c r="D59" s="139">
        <v>333</v>
      </c>
      <c r="E59" s="137" t="s">
        <v>848</v>
      </c>
    </row>
    <row r="60" spans="1:5" x14ac:dyDescent="0.15">
      <c r="A60" s="137" t="str">
        <f t="shared" si="0"/>
        <v>Colorado - County Governments</v>
      </c>
      <c r="B60" s="137" t="s">
        <v>178</v>
      </c>
      <c r="C60" s="137" t="s">
        <v>165</v>
      </c>
      <c r="D60" s="139">
        <v>62</v>
      </c>
      <c r="E60" s="137" t="s">
        <v>848</v>
      </c>
    </row>
    <row r="61" spans="1:5" x14ac:dyDescent="0.15">
      <c r="A61" s="137" t="str">
        <f t="shared" si="0"/>
        <v>Colorado - Subcounty Governments</v>
      </c>
      <c r="B61" s="137" t="s">
        <v>178</v>
      </c>
      <c r="C61" s="137" t="s">
        <v>870</v>
      </c>
      <c r="D61" s="139">
        <v>271</v>
      </c>
      <c r="E61" s="137" t="s">
        <v>848</v>
      </c>
    </row>
    <row r="62" spans="1:5" x14ac:dyDescent="0.15">
      <c r="A62" s="137" t="str">
        <f t="shared" si="0"/>
        <v>Colorado - Subcounty Governments - Municipal Governments</v>
      </c>
      <c r="B62" s="137" t="s">
        <v>178</v>
      </c>
      <c r="C62" s="137" t="s">
        <v>871</v>
      </c>
      <c r="D62" s="139">
        <v>271</v>
      </c>
      <c r="E62" s="137" t="s">
        <v>848</v>
      </c>
    </row>
    <row r="63" spans="1:5" x14ac:dyDescent="0.15">
      <c r="A63" s="137" t="str">
        <f t="shared" si="0"/>
        <v>Colorado - Subcounty Governments - Township Governments</v>
      </c>
      <c r="B63" s="137" t="s">
        <v>178</v>
      </c>
      <c r="C63" s="137" t="s">
        <v>872</v>
      </c>
      <c r="D63" s="139">
        <v>0</v>
      </c>
      <c r="E63" s="137" t="s">
        <v>848</v>
      </c>
    </row>
    <row r="64" spans="1:5" x14ac:dyDescent="0.15">
      <c r="A64" s="137" t="str">
        <f t="shared" si="0"/>
        <v>Colorado - Special Purpose Governments - Special District Governments</v>
      </c>
      <c r="B64" s="137" t="s">
        <v>178</v>
      </c>
      <c r="C64" s="137" t="s">
        <v>873</v>
      </c>
      <c r="D64" s="139">
        <v>2628</v>
      </c>
      <c r="E64" s="137" t="s">
        <v>848</v>
      </c>
    </row>
    <row r="65" spans="1:5" x14ac:dyDescent="0.15">
      <c r="A65" s="137" t="str">
        <f t="shared" si="0"/>
        <v>Colorado - Special Purpose Governments - Independent School District Governments</v>
      </c>
      <c r="B65" s="137" t="s">
        <v>178</v>
      </c>
      <c r="C65" s="137" t="s">
        <v>874</v>
      </c>
      <c r="D65" s="139">
        <v>180</v>
      </c>
      <c r="E65" s="137" t="s">
        <v>848</v>
      </c>
    </row>
    <row r="66" spans="1:5" x14ac:dyDescent="0.15">
      <c r="A66" s="137" t="str">
        <f t="shared" si="0"/>
        <v>Connecticut - Total Local Government Units</v>
      </c>
      <c r="B66" s="137" t="s">
        <v>179</v>
      </c>
      <c r="C66" s="137" t="s">
        <v>867</v>
      </c>
      <c r="D66" s="139">
        <v>625</v>
      </c>
      <c r="E66" s="137" t="s">
        <v>848</v>
      </c>
    </row>
    <row r="67" spans="1:5" x14ac:dyDescent="0.15">
      <c r="A67" s="137" t="str">
        <f t="shared" si="0"/>
        <v>Connecticut - Special Purpose Governments</v>
      </c>
      <c r="B67" s="137" t="s">
        <v>179</v>
      </c>
      <c r="C67" s="137" t="s">
        <v>868</v>
      </c>
      <c r="D67" s="139">
        <v>446</v>
      </c>
      <c r="E67" s="137" t="s">
        <v>848</v>
      </c>
    </row>
    <row r="68" spans="1:5" x14ac:dyDescent="0.15">
      <c r="A68" s="137" t="str">
        <f t="shared" ref="A68:A131" si="1">_xlfn.CONCAT(B68," - ",C68)</f>
        <v>Connecticut - General Purpose Governments</v>
      </c>
      <c r="B68" s="137" t="s">
        <v>179</v>
      </c>
      <c r="C68" s="137" t="s">
        <v>869</v>
      </c>
      <c r="D68" s="139">
        <v>179</v>
      </c>
      <c r="E68" s="137" t="s">
        <v>848</v>
      </c>
    </row>
    <row r="69" spans="1:5" x14ac:dyDescent="0.15">
      <c r="A69" s="137" t="str">
        <f t="shared" si="1"/>
        <v>Connecticut - County Governments</v>
      </c>
      <c r="B69" s="137" t="s">
        <v>179</v>
      </c>
      <c r="C69" s="137" t="s">
        <v>165</v>
      </c>
      <c r="D69" s="139">
        <v>0</v>
      </c>
      <c r="E69" s="137" t="s">
        <v>848</v>
      </c>
    </row>
    <row r="70" spans="1:5" x14ac:dyDescent="0.15">
      <c r="A70" s="137" t="str">
        <f t="shared" si="1"/>
        <v>Connecticut - Subcounty Governments</v>
      </c>
      <c r="B70" s="137" t="s">
        <v>179</v>
      </c>
      <c r="C70" s="137" t="s">
        <v>870</v>
      </c>
      <c r="D70" s="139">
        <v>179</v>
      </c>
      <c r="E70" s="137" t="s">
        <v>848</v>
      </c>
    </row>
    <row r="71" spans="1:5" x14ac:dyDescent="0.15">
      <c r="A71" s="137" t="str">
        <f t="shared" si="1"/>
        <v>Connecticut - Subcounty Governments - Municipal Governments</v>
      </c>
      <c r="B71" s="137" t="s">
        <v>179</v>
      </c>
      <c r="C71" s="137" t="s">
        <v>871</v>
      </c>
      <c r="D71" s="139">
        <v>30</v>
      </c>
      <c r="E71" s="137" t="s">
        <v>848</v>
      </c>
    </row>
    <row r="72" spans="1:5" x14ac:dyDescent="0.15">
      <c r="A72" s="137" t="str">
        <f t="shared" si="1"/>
        <v>Connecticut - Subcounty Governments - Township Governments</v>
      </c>
      <c r="B72" s="137" t="s">
        <v>179</v>
      </c>
      <c r="C72" s="137" t="s">
        <v>872</v>
      </c>
      <c r="D72" s="139">
        <v>149</v>
      </c>
      <c r="E72" s="137" t="s">
        <v>848</v>
      </c>
    </row>
    <row r="73" spans="1:5" x14ac:dyDescent="0.15">
      <c r="A73" s="137" t="str">
        <f t="shared" si="1"/>
        <v>Connecticut - Special Purpose Governments - Special District Governments</v>
      </c>
      <c r="B73" s="137" t="s">
        <v>179</v>
      </c>
      <c r="C73" s="137" t="s">
        <v>873</v>
      </c>
      <c r="D73" s="139">
        <v>429</v>
      </c>
      <c r="E73" s="137" t="s">
        <v>848</v>
      </c>
    </row>
    <row r="74" spans="1:5" x14ac:dyDescent="0.15">
      <c r="A74" s="137" t="str">
        <f t="shared" si="1"/>
        <v>Connecticut - Special Purpose Governments - Independent School District Governments</v>
      </c>
      <c r="B74" s="137" t="s">
        <v>179</v>
      </c>
      <c r="C74" s="137" t="s">
        <v>874</v>
      </c>
      <c r="D74" s="139">
        <v>17</v>
      </c>
      <c r="E74" s="137" t="s">
        <v>848</v>
      </c>
    </row>
    <row r="75" spans="1:5" x14ac:dyDescent="0.15">
      <c r="A75" s="137" t="str">
        <f t="shared" si="1"/>
        <v>Delaware - Total Local Government Units</v>
      </c>
      <c r="B75" s="137" t="s">
        <v>180</v>
      </c>
      <c r="C75" s="137" t="s">
        <v>867</v>
      </c>
      <c r="D75" s="139">
        <v>334</v>
      </c>
      <c r="E75" s="137" t="s">
        <v>848</v>
      </c>
    </row>
    <row r="76" spans="1:5" x14ac:dyDescent="0.15">
      <c r="A76" s="137" t="str">
        <f t="shared" si="1"/>
        <v>Delaware - Special Purpose Governments</v>
      </c>
      <c r="B76" s="137" t="s">
        <v>180</v>
      </c>
      <c r="C76" s="137" t="s">
        <v>868</v>
      </c>
      <c r="D76" s="139">
        <v>274</v>
      </c>
      <c r="E76" s="137" t="s">
        <v>848</v>
      </c>
    </row>
    <row r="77" spans="1:5" x14ac:dyDescent="0.15">
      <c r="A77" s="137" t="str">
        <f t="shared" si="1"/>
        <v>Delaware - General Purpose Governments</v>
      </c>
      <c r="B77" s="137" t="s">
        <v>180</v>
      </c>
      <c r="C77" s="137" t="s">
        <v>869</v>
      </c>
      <c r="D77" s="139">
        <v>60</v>
      </c>
      <c r="E77" s="137" t="s">
        <v>848</v>
      </c>
    </row>
    <row r="78" spans="1:5" x14ac:dyDescent="0.15">
      <c r="A78" s="137" t="str">
        <f t="shared" si="1"/>
        <v>Delaware - County Governments</v>
      </c>
      <c r="B78" s="137" t="s">
        <v>180</v>
      </c>
      <c r="C78" s="137" t="s">
        <v>165</v>
      </c>
      <c r="D78" s="139">
        <v>3</v>
      </c>
      <c r="E78" s="137" t="s">
        <v>848</v>
      </c>
    </row>
    <row r="79" spans="1:5" x14ac:dyDescent="0.15">
      <c r="A79" s="137" t="str">
        <f t="shared" si="1"/>
        <v>Delaware - Subcounty Governments</v>
      </c>
      <c r="B79" s="137" t="s">
        <v>180</v>
      </c>
      <c r="C79" s="137" t="s">
        <v>870</v>
      </c>
      <c r="D79" s="139">
        <v>57</v>
      </c>
      <c r="E79" s="137" t="s">
        <v>848</v>
      </c>
    </row>
    <row r="80" spans="1:5" x14ac:dyDescent="0.15">
      <c r="A80" s="137" t="str">
        <f t="shared" si="1"/>
        <v>Delaware - Subcounty Governments - Municipal Governments</v>
      </c>
      <c r="B80" s="137" t="s">
        <v>180</v>
      </c>
      <c r="C80" s="137" t="s">
        <v>871</v>
      </c>
      <c r="D80" s="139">
        <v>57</v>
      </c>
      <c r="E80" s="137" t="s">
        <v>848</v>
      </c>
    </row>
    <row r="81" spans="1:5" x14ac:dyDescent="0.15">
      <c r="A81" s="137" t="str">
        <f t="shared" si="1"/>
        <v>Delaware - Subcounty Governments - Township Governments</v>
      </c>
      <c r="B81" s="137" t="s">
        <v>180</v>
      </c>
      <c r="C81" s="137" t="s">
        <v>872</v>
      </c>
      <c r="D81" s="139">
        <v>0</v>
      </c>
      <c r="E81" s="137" t="s">
        <v>848</v>
      </c>
    </row>
    <row r="82" spans="1:5" x14ac:dyDescent="0.15">
      <c r="A82" s="137" t="str">
        <f t="shared" si="1"/>
        <v>Delaware - Special Purpose Governments - Special District Governments</v>
      </c>
      <c r="B82" s="137" t="s">
        <v>180</v>
      </c>
      <c r="C82" s="137" t="s">
        <v>873</v>
      </c>
      <c r="D82" s="139">
        <v>255</v>
      </c>
      <c r="E82" s="137" t="s">
        <v>848</v>
      </c>
    </row>
    <row r="83" spans="1:5" x14ac:dyDescent="0.15">
      <c r="A83" s="137" t="str">
        <f t="shared" si="1"/>
        <v>Delaware - Special Purpose Governments - Independent School District Governments</v>
      </c>
      <c r="B83" s="137" t="s">
        <v>180</v>
      </c>
      <c r="C83" s="137" t="s">
        <v>874</v>
      </c>
      <c r="D83" s="139">
        <v>19</v>
      </c>
      <c r="E83" s="137" t="s">
        <v>848</v>
      </c>
    </row>
    <row r="84" spans="1:5" x14ac:dyDescent="0.15">
      <c r="A84" s="137" t="str">
        <f t="shared" si="1"/>
        <v>District of Columbia - Total Local Government Units</v>
      </c>
      <c r="B84" s="137" t="s">
        <v>181</v>
      </c>
      <c r="C84" s="137" t="s">
        <v>867</v>
      </c>
      <c r="D84" s="139">
        <v>2</v>
      </c>
      <c r="E84" s="137" t="s">
        <v>848</v>
      </c>
    </row>
    <row r="85" spans="1:5" x14ac:dyDescent="0.15">
      <c r="A85" s="137" t="str">
        <f t="shared" si="1"/>
        <v>District of Columbia - Special Purpose Governments</v>
      </c>
      <c r="B85" s="137" t="s">
        <v>181</v>
      </c>
      <c r="C85" s="137" t="s">
        <v>868</v>
      </c>
      <c r="D85" s="139">
        <v>1</v>
      </c>
      <c r="E85" s="137" t="s">
        <v>848</v>
      </c>
    </row>
    <row r="86" spans="1:5" x14ac:dyDescent="0.15">
      <c r="A86" s="137" t="str">
        <f t="shared" si="1"/>
        <v>District of Columbia - General Purpose Governments</v>
      </c>
      <c r="B86" s="137" t="s">
        <v>181</v>
      </c>
      <c r="C86" s="137" t="s">
        <v>869</v>
      </c>
      <c r="D86" s="139">
        <v>1</v>
      </c>
      <c r="E86" s="137" t="s">
        <v>848</v>
      </c>
    </row>
    <row r="87" spans="1:5" x14ac:dyDescent="0.15">
      <c r="A87" s="137" t="str">
        <f t="shared" si="1"/>
        <v>District of Columbia - County Governments</v>
      </c>
      <c r="B87" s="137" t="s">
        <v>181</v>
      </c>
      <c r="C87" s="137" t="s">
        <v>165</v>
      </c>
      <c r="D87" s="139">
        <v>0</v>
      </c>
      <c r="E87" s="137" t="s">
        <v>848</v>
      </c>
    </row>
    <row r="88" spans="1:5" x14ac:dyDescent="0.15">
      <c r="A88" s="137" t="str">
        <f t="shared" si="1"/>
        <v>District of Columbia - Subcounty Governments</v>
      </c>
      <c r="B88" s="137" t="s">
        <v>181</v>
      </c>
      <c r="C88" s="137" t="s">
        <v>870</v>
      </c>
      <c r="D88" s="139">
        <v>1</v>
      </c>
      <c r="E88" s="137" t="s">
        <v>848</v>
      </c>
    </row>
    <row r="89" spans="1:5" x14ac:dyDescent="0.15">
      <c r="A89" s="137" t="str">
        <f t="shared" si="1"/>
        <v>District of Columbia - Subcounty Governments - Municipal Governments</v>
      </c>
      <c r="B89" s="137" t="s">
        <v>181</v>
      </c>
      <c r="C89" s="137" t="s">
        <v>871</v>
      </c>
      <c r="D89" s="139">
        <v>1</v>
      </c>
      <c r="E89" s="137" t="s">
        <v>848</v>
      </c>
    </row>
    <row r="90" spans="1:5" x14ac:dyDescent="0.15">
      <c r="A90" s="137" t="str">
        <f t="shared" si="1"/>
        <v>District of Columbia - Subcounty Governments - Township Governments</v>
      </c>
      <c r="B90" s="137" t="s">
        <v>181</v>
      </c>
      <c r="C90" s="137" t="s">
        <v>872</v>
      </c>
      <c r="D90" s="139">
        <v>0</v>
      </c>
      <c r="E90" s="137" t="s">
        <v>848</v>
      </c>
    </row>
    <row r="91" spans="1:5" x14ac:dyDescent="0.15">
      <c r="A91" s="137" t="str">
        <f t="shared" si="1"/>
        <v>District of Columbia - Special Purpose Governments - Special District Governments</v>
      </c>
      <c r="B91" s="137" t="s">
        <v>181</v>
      </c>
      <c r="C91" s="137" t="s">
        <v>873</v>
      </c>
      <c r="D91" s="139">
        <v>1</v>
      </c>
      <c r="E91" s="137" t="s">
        <v>848</v>
      </c>
    </row>
    <row r="92" spans="1:5" x14ac:dyDescent="0.15">
      <c r="A92" s="137" t="str">
        <f t="shared" si="1"/>
        <v>District of Columbia - Special Purpose Governments - Independent School District Governments</v>
      </c>
      <c r="B92" s="137" t="s">
        <v>181</v>
      </c>
      <c r="C92" s="137" t="s">
        <v>874</v>
      </c>
      <c r="D92" s="139">
        <v>0</v>
      </c>
      <c r="E92" s="137" t="s">
        <v>848</v>
      </c>
    </row>
    <row r="93" spans="1:5" x14ac:dyDescent="0.15">
      <c r="A93" s="137" t="str">
        <f t="shared" si="1"/>
        <v>Florida - Total Local Government Units</v>
      </c>
      <c r="B93" s="137" t="s">
        <v>182</v>
      </c>
      <c r="C93" s="137" t="s">
        <v>867</v>
      </c>
      <c r="D93" s="139">
        <v>1712</v>
      </c>
      <c r="E93" s="137" t="s">
        <v>848</v>
      </c>
    </row>
    <row r="94" spans="1:5" x14ac:dyDescent="0.15">
      <c r="A94" s="137" t="str">
        <f t="shared" si="1"/>
        <v>Florida - Special Purpose Governments</v>
      </c>
      <c r="B94" s="137" t="s">
        <v>182</v>
      </c>
      <c r="C94" s="137" t="s">
        <v>868</v>
      </c>
      <c r="D94" s="139">
        <v>1234</v>
      </c>
      <c r="E94" s="137" t="s">
        <v>848</v>
      </c>
    </row>
    <row r="95" spans="1:5" x14ac:dyDescent="0.15">
      <c r="A95" s="137" t="str">
        <f t="shared" si="1"/>
        <v>Florida - General Purpose Governments</v>
      </c>
      <c r="B95" s="137" t="s">
        <v>182</v>
      </c>
      <c r="C95" s="137" t="s">
        <v>869</v>
      </c>
      <c r="D95" s="139">
        <v>478</v>
      </c>
      <c r="E95" s="137" t="s">
        <v>848</v>
      </c>
    </row>
    <row r="96" spans="1:5" x14ac:dyDescent="0.15">
      <c r="A96" s="137" t="str">
        <f t="shared" si="1"/>
        <v>Florida - County Governments</v>
      </c>
      <c r="B96" s="137" t="s">
        <v>182</v>
      </c>
      <c r="C96" s="137" t="s">
        <v>165</v>
      </c>
      <c r="D96" s="139">
        <v>66</v>
      </c>
      <c r="E96" s="137" t="s">
        <v>848</v>
      </c>
    </row>
    <row r="97" spans="1:5" x14ac:dyDescent="0.15">
      <c r="A97" s="137" t="str">
        <f t="shared" si="1"/>
        <v>Florida - Subcounty Governments</v>
      </c>
      <c r="B97" s="137" t="s">
        <v>182</v>
      </c>
      <c r="C97" s="137" t="s">
        <v>870</v>
      </c>
      <c r="D97" s="139">
        <v>412</v>
      </c>
      <c r="E97" s="137" t="s">
        <v>848</v>
      </c>
    </row>
    <row r="98" spans="1:5" x14ac:dyDescent="0.15">
      <c r="A98" s="137" t="str">
        <f t="shared" si="1"/>
        <v>Florida - Subcounty Governments - Municipal Governments</v>
      </c>
      <c r="B98" s="137" t="s">
        <v>182</v>
      </c>
      <c r="C98" s="137" t="s">
        <v>871</v>
      </c>
      <c r="D98" s="139">
        <v>412</v>
      </c>
      <c r="E98" s="137" t="s">
        <v>848</v>
      </c>
    </row>
    <row r="99" spans="1:5" x14ac:dyDescent="0.15">
      <c r="A99" s="137" t="str">
        <f t="shared" si="1"/>
        <v>Florida - Subcounty Governments - Township Governments</v>
      </c>
      <c r="B99" s="137" t="s">
        <v>182</v>
      </c>
      <c r="C99" s="137" t="s">
        <v>872</v>
      </c>
      <c r="D99" s="139">
        <v>0</v>
      </c>
      <c r="E99" s="137" t="s">
        <v>848</v>
      </c>
    </row>
    <row r="100" spans="1:5" x14ac:dyDescent="0.15">
      <c r="A100" s="137" t="str">
        <f t="shared" si="1"/>
        <v>Florida - Special Purpose Governments - Special District Governments</v>
      </c>
      <c r="B100" s="137" t="s">
        <v>182</v>
      </c>
      <c r="C100" s="137" t="s">
        <v>873</v>
      </c>
      <c r="D100" s="139">
        <v>1139</v>
      </c>
      <c r="E100" s="137" t="s">
        <v>848</v>
      </c>
    </row>
    <row r="101" spans="1:5" x14ac:dyDescent="0.15">
      <c r="A101" s="137" t="str">
        <f t="shared" si="1"/>
        <v>Florida - Special Purpose Governments - Independent School District Governments</v>
      </c>
      <c r="B101" s="137" t="s">
        <v>182</v>
      </c>
      <c r="C101" s="137" t="s">
        <v>874</v>
      </c>
      <c r="D101" s="139">
        <v>95</v>
      </c>
      <c r="E101" s="137" t="s">
        <v>848</v>
      </c>
    </row>
    <row r="102" spans="1:5" x14ac:dyDescent="0.15">
      <c r="A102" s="137" t="str">
        <f t="shared" si="1"/>
        <v>Georgia - Total Local Government Units</v>
      </c>
      <c r="B102" s="137" t="s">
        <v>183</v>
      </c>
      <c r="C102" s="137" t="s">
        <v>867</v>
      </c>
      <c r="D102" s="139">
        <v>1380</v>
      </c>
      <c r="E102" s="137" t="s">
        <v>848</v>
      </c>
    </row>
    <row r="103" spans="1:5" x14ac:dyDescent="0.15">
      <c r="A103" s="137" t="str">
        <f t="shared" si="1"/>
        <v>Georgia - Special Purpose Governments</v>
      </c>
      <c r="B103" s="137" t="s">
        <v>183</v>
      </c>
      <c r="C103" s="137" t="s">
        <v>868</v>
      </c>
      <c r="D103" s="139">
        <v>691</v>
      </c>
      <c r="E103" s="137" t="s">
        <v>848</v>
      </c>
    </row>
    <row r="104" spans="1:5" x14ac:dyDescent="0.15">
      <c r="A104" s="137" t="str">
        <f t="shared" si="1"/>
        <v>Georgia - General Purpose Governments</v>
      </c>
      <c r="B104" s="137" t="s">
        <v>183</v>
      </c>
      <c r="C104" s="137" t="s">
        <v>869</v>
      </c>
      <c r="D104" s="139">
        <v>689</v>
      </c>
      <c r="E104" s="137" t="s">
        <v>848</v>
      </c>
    </row>
    <row r="105" spans="1:5" x14ac:dyDescent="0.15">
      <c r="A105" s="137" t="str">
        <f t="shared" si="1"/>
        <v>Georgia - County Governments</v>
      </c>
      <c r="B105" s="137" t="s">
        <v>183</v>
      </c>
      <c r="C105" s="137" t="s">
        <v>165</v>
      </c>
      <c r="D105" s="139">
        <v>152</v>
      </c>
      <c r="E105" s="137" t="s">
        <v>848</v>
      </c>
    </row>
    <row r="106" spans="1:5" x14ac:dyDescent="0.15">
      <c r="A106" s="137" t="str">
        <f t="shared" si="1"/>
        <v>Georgia - Subcounty Governments</v>
      </c>
      <c r="B106" s="137" t="s">
        <v>183</v>
      </c>
      <c r="C106" s="137" t="s">
        <v>870</v>
      </c>
      <c r="D106" s="139">
        <v>537</v>
      </c>
      <c r="E106" s="137" t="s">
        <v>848</v>
      </c>
    </row>
    <row r="107" spans="1:5" x14ac:dyDescent="0.15">
      <c r="A107" s="137" t="str">
        <f t="shared" si="1"/>
        <v>Georgia - Subcounty Governments - Municipal Governments</v>
      </c>
      <c r="B107" s="137" t="s">
        <v>183</v>
      </c>
      <c r="C107" s="137" t="s">
        <v>871</v>
      </c>
      <c r="D107" s="139">
        <v>537</v>
      </c>
      <c r="E107" s="137" t="s">
        <v>848</v>
      </c>
    </row>
    <row r="108" spans="1:5" x14ac:dyDescent="0.15">
      <c r="A108" s="137" t="str">
        <f t="shared" si="1"/>
        <v>Georgia - Subcounty Governments - Township Governments</v>
      </c>
      <c r="B108" s="137" t="s">
        <v>183</v>
      </c>
      <c r="C108" s="137" t="s">
        <v>872</v>
      </c>
      <c r="D108" s="139">
        <v>0</v>
      </c>
      <c r="E108" s="137" t="s">
        <v>848</v>
      </c>
    </row>
    <row r="109" spans="1:5" x14ac:dyDescent="0.15">
      <c r="A109" s="137" t="str">
        <f t="shared" si="1"/>
        <v>Georgia - Special Purpose Governments - Special District Governments</v>
      </c>
      <c r="B109" s="137" t="s">
        <v>183</v>
      </c>
      <c r="C109" s="137" t="s">
        <v>873</v>
      </c>
      <c r="D109" s="139">
        <v>511</v>
      </c>
      <c r="E109" s="137" t="s">
        <v>848</v>
      </c>
    </row>
    <row r="110" spans="1:5" x14ac:dyDescent="0.15">
      <c r="A110" s="137" t="str">
        <f t="shared" si="1"/>
        <v>Georgia - Special Purpose Governments - Independent School District Governments</v>
      </c>
      <c r="B110" s="137" t="s">
        <v>183</v>
      </c>
      <c r="C110" s="137" t="s">
        <v>874</v>
      </c>
      <c r="D110" s="139">
        <v>180</v>
      </c>
      <c r="E110" s="137" t="s">
        <v>848</v>
      </c>
    </row>
    <row r="111" spans="1:5" x14ac:dyDescent="0.15">
      <c r="A111" s="137" t="str">
        <f t="shared" si="1"/>
        <v>Hawaii - Total Local Government Units</v>
      </c>
      <c r="B111" s="137" t="s">
        <v>184</v>
      </c>
      <c r="C111" s="137" t="s">
        <v>867</v>
      </c>
      <c r="D111" s="139">
        <v>21</v>
      </c>
      <c r="E111" s="137" t="s">
        <v>848</v>
      </c>
    </row>
    <row r="112" spans="1:5" x14ac:dyDescent="0.15">
      <c r="A112" s="137" t="str">
        <f t="shared" si="1"/>
        <v>Hawaii - Special Purpose Governments</v>
      </c>
      <c r="B112" s="137" t="s">
        <v>184</v>
      </c>
      <c r="C112" s="137" t="s">
        <v>868</v>
      </c>
      <c r="D112" s="139">
        <v>17</v>
      </c>
      <c r="E112" s="137" t="s">
        <v>848</v>
      </c>
    </row>
    <row r="113" spans="1:5" x14ac:dyDescent="0.15">
      <c r="A113" s="137" t="str">
        <f t="shared" si="1"/>
        <v>Hawaii - General Purpose Governments</v>
      </c>
      <c r="B113" s="137" t="s">
        <v>184</v>
      </c>
      <c r="C113" s="137" t="s">
        <v>869</v>
      </c>
      <c r="D113" s="139">
        <v>4</v>
      </c>
      <c r="E113" s="137" t="s">
        <v>848</v>
      </c>
    </row>
    <row r="114" spans="1:5" x14ac:dyDescent="0.15">
      <c r="A114" s="137" t="str">
        <f t="shared" si="1"/>
        <v>Hawaii - County Governments</v>
      </c>
      <c r="B114" s="137" t="s">
        <v>184</v>
      </c>
      <c r="C114" s="137" t="s">
        <v>165</v>
      </c>
      <c r="D114" s="139">
        <v>3</v>
      </c>
      <c r="E114" s="137" t="s">
        <v>848</v>
      </c>
    </row>
    <row r="115" spans="1:5" x14ac:dyDescent="0.15">
      <c r="A115" s="137" t="str">
        <f t="shared" si="1"/>
        <v>Hawaii - Subcounty Governments</v>
      </c>
      <c r="B115" s="137" t="s">
        <v>184</v>
      </c>
      <c r="C115" s="137" t="s">
        <v>870</v>
      </c>
      <c r="D115" s="139">
        <v>1</v>
      </c>
      <c r="E115" s="137" t="s">
        <v>848</v>
      </c>
    </row>
    <row r="116" spans="1:5" x14ac:dyDescent="0.15">
      <c r="A116" s="137" t="str">
        <f t="shared" si="1"/>
        <v>Hawaii - Subcounty Governments - Municipal Governments</v>
      </c>
      <c r="B116" s="137" t="s">
        <v>184</v>
      </c>
      <c r="C116" s="137" t="s">
        <v>871</v>
      </c>
      <c r="D116" s="139">
        <v>1</v>
      </c>
      <c r="E116" s="137" t="s">
        <v>848</v>
      </c>
    </row>
    <row r="117" spans="1:5" x14ac:dyDescent="0.15">
      <c r="A117" s="137" t="str">
        <f t="shared" si="1"/>
        <v>Hawaii - Subcounty Governments - Township Governments</v>
      </c>
      <c r="B117" s="137" t="s">
        <v>184</v>
      </c>
      <c r="C117" s="137" t="s">
        <v>872</v>
      </c>
      <c r="D117" s="139">
        <v>0</v>
      </c>
      <c r="E117" s="137" t="s">
        <v>848</v>
      </c>
    </row>
    <row r="118" spans="1:5" x14ac:dyDescent="0.15">
      <c r="A118" s="137" t="str">
        <f t="shared" si="1"/>
        <v>Hawaii - Special Purpose Governments - Special District Governments</v>
      </c>
      <c r="B118" s="137" t="s">
        <v>184</v>
      </c>
      <c r="C118" s="137" t="s">
        <v>873</v>
      </c>
      <c r="D118" s="139">
        <v>17</v>
      </c>
      <c r="E118" s="137" t="s">
        <v>848</v>
      </c>
    </row>
    <row r="119" spans="1:5" x14ac:dyDescent="0.15">
      <c r="A119" s="137" t="str">
        <f t="shared" si="1"/>
        <v>Hawaii - Special Purpose Governments - Independent School District Governments</v>
      </c>
      <c r="B119" s="137" t="s">
        <v>184</v>
      </c>
      <c r="C119" s="137" t="s">
        <v>874</v>
      </c>
      <c r="D119" s="139">
        <v>0</v>
      </c>
      <c r="E119" s="137" t="s">
        <v>848</v>
      </c>
    </row>
    <row r="120" spans="1:5" x14ac:dyDescent="0.15">
      <c r="A120" s="137" t="str">
        <f t="shared" si="1"/>
        <v>Idaho - Total Local Government Units</v>
      </c>
      <c r="B120" s="137" t="s">
        <v>185</v>
      </c>
      <c r="C120" s="137" t="s">
        <v>867</v>
      </c>
      <c r="D120" s="139">
        <v>1170</v>
      </c>
      <c r="E120" s="137" t="s">
        <v>848</v>
      </c>
    </row>
    <row r="121" spans="1:5" x14ac:dyDescent="0.15">
      <c r="A121" s="137" t="str">
        <f t="shared" si="1"/>
        <v>Idaho - Special Purpose Governments</v>
      </c>
      <c r="B121" s="137" t="s">
        <v>185</v>
      </c>
      <c r="C121" s="137" t="s">
        <v>868</v>
      </c>
      <c r="D121" s="139">
        <v>926</v>
      </c>
      <c r="E121" s="137" t="s">
        <v>848</v>
      </c>
    </row>
    <row r="122" spans="1:5" x14ac:dyDescent="0.15">
      <c r="A122" s="137" t="str">
        <f t="shared" si="1"/>
        <v>Idaho - General Purpose Governments</v>
      </c>
      <c r="B122" s="137" t="s">
        <v>185</v>
      </c>
      <c r="C122" s="137" t="s">
        <v>869</v>
      </c>
      <c r="D122" s="139">
        <v>244</v>
      </c>
      <c r="E122" s="137" t="s">
        <v>848</v>
      </c>
    </row>
    <row r="123" spans="1:5" x14ac:dyDescent="0.15">
      <c r="A123" s="137" t="str">
        <f t="shared" si="1"/>
        <v>Idaho - County Governments</v>
      </c>
      <c r="B123" s="137" t="s">
        <v>185</v>
      </c>
      <c r="C123" s="137" t="s">
        <v>165</v>
      </c>
      <c r="D123" s="139">
        <v>44</v>
      </c>
      <c r="E123" s="137" t="s">
        <v>848</v>
      </c>
    </row>
    <row r="124" spans="1:5" x14ac:dyDescent="0.15">
      <c r="A124" s="137" t="str">
        <f t="shared" si="1"/>
        <v>Idaho - Subcounty Governments</v>
      </c>
      <c r="B124" s="137" t="s">
        <v>185</v>
      </c>
      <c r="C124" s="137" t="s">
        <v>870</v>
      </c>
      <c r="D124" s="139">
        <v>200</v>
      </c>
      <c r="E124" s="137" t="s">
        <v>848</v>
      </c>
    </row>
    <row r="125" spans="1:5" x14ac:dyDescent="0.15">
      <c r="A125" s="137" t="str">
        <f t="shared" si="1"/>
        <v>Idaho - Subcounty Governments - Municipal Governments</v>
      </c>
      <c r="B125" s="137" t="s">
        <v>185</v>
      </c>
      <c r="C125" s="137" t="s">
        <v>871</v>
      </c>
      <c r="D125" s="139">
        <v>200</v>
      </c>
      <c r="E125" s="137" t="s">
        <v>848</v>
      </c>
    </row>
    <row r="126" spans="1:5" x14ac:dyDescent="0.15">
      <c r="A126" s="137" t="str">
        <f t="shared" si="1"/>
        <v>Idaho - Subcounty Governments - Township Governments</v>
      </c>
      <c r="B126" s="137" t="s">
        <v>185</v>
      </c>
      <c r="C126" s="137" t="s">
        <v>872</v>
      </c>
      <c r="D126" s="139">
        <v>0</v>
      </c>
      <c r="E126" s="137" t="s">
        <v>848</v>
      </c>
    </row>
    <row r="127" spans="1:5" x14ac:dyDescent="0.15">
      <c r="A127" s="137" t="str">
        <f t="shared" si="1"/>
        <v>Idaho - Special Purpose Governments - Special District Governments</v>
      </c>
      <c r="B127" s="137" t="s">
        <v>185</v>
      </c>
      <c r="C127" s="137" t="s">
        <v>873</v>
      </c>
      <c r="D127" s="139">
        <v>808</v>
      </c>
      <c r="E127" s="137" t="s">
        <v>848</v>
      </c>
    </row>
    <row r="128" spans="1:5" x14ac:dyDescent="0.15">
      <c r="A128" s="137" t="str">
        <f t="shared" si="1"/>
        <v>Idaho - Special Purpose Governments - Independent School District Governments</v>
      </c>
      <c r="B128" s="137" t="s">
        <v>185</v>
      </c>
      <c r="C128" s="137" t="s">
        <v>874</v>
      </c>
      <c r="D128" s="139">
        <v>118</v>
      </c>
      <c r="E128" s="137" t="s">
        <v>848</v>
      </c>
    </row>
    <row r="129" spans="1:5" x14ac:dyDescent="0.15">
      <c r="A129" s="137" t="str">
        <f t="shared" si="1"/>
        <v>Illinois - Total Local Government Units</v>
      </c>
      <c r="B129" s="137" t="s">
        <v>186</v>
      </c>
      <c r="C129" s="137" t="s">
        <v>867</v>
      </c>
      <c r="D129" s="139">
        <v>6918</v>
      </c>
      <c r="E129" s="137" t="s">
        <v>848</v>
      </c>
    </row>
    <row r="130" spans="1:5" x14ac:dyDescent="0.15">
      <c r="A130" s="137" t="str">
        <f t="shared" si="1"/>
        <v>Illinois - Special Purpose Governments</v>
      </c>
      <c r="B130" s="137" t="s">
        <v>186</v>
      </c>
      <c r="C130" s="137" t="s">
        <v>868</v>
      </c>
      <c r="D130" s="139">
        <v>4090</v>
      </c>
      <c r="E130" s="137" t="s">
        <v>848</v>
      </c>
    </row>
    <row r="131" spans="1:5" x14ac:dyDescent="0.15">
      <c r="A131" s="137" t="str">
        <f t="shared" si="1"/>
        <v>Illinois - General Purpose Governments</v>
      </c>
      <c r="B131" s="137" t="s">
        <v>186</v>
      </c>
      <c r="C131" s="137" t="s">
        <v>869</v>
      </c>
      <c r="D131" s="139">
        <v>2828</v>
      </c>
      <c r="E131" s="137" t="s">
        <v>848</v>
      </c>
    </row>
    <row r="132" spans="1:5" x14ac:dyDescent="0.15">
      <c r="A132" s="137" t="str">
        <f t="shared" ref="A132:A195" si="2">_xlfn.CONCAT(B132," - ",C132)</f>
        <v>Illinois - County Governments</v>
      </c>
      <c r="B132" s="137" t="s">
        <v>186</v>
      </c>
      <c r="C132" s="137" t="s">
        <v>165</v>
      </c>
      <c r="D132" s="139">
        <v>102</v>
      </c>
      <c r="E132" s="137" t="s">
        <v>848</v>
      </c>
    </row>
    <row r="133" spans="1:5" x14ac:dyDescent="0.15">
      <c r="A133" s="137" t="str">
        <f t="shared" si="2"/>
        <v>Illinois - Subcounty Governments</v>
      </c>
      <c r="B133" s="137" t="s">
        <v>186</v>
      </c>
      <c r="C133" s="137" t="s">
        <v>870</v>
      </c>
      <c r="D133" s="139">
        <v>2726</v>
      </c>
      <c r="E133" s="137" t="s">
        <v>848</v>
      </c>
    </row>
    <row r="134" spans="1:5" x14ac:dyDescent="0.15">
      <c r="A134" s="137" t="str">
        <f t="shared" si="2"/>
        <v>Illinois - Subcounty Governments - Municipal Governments</v>
      </c>
      <c r="B134" s="137" t="s">
        <v>186</v>
      </c>
      <c r="C134" s="137" t="s">
        <v>871</v>
      </c>
      <c r="D134" s="139">
        <v>1297</v>
      </c>
      <c r="E134" s="137" t="s">
        <v>848</v>
      </c>
    </row>
    <row r="135" spans="1:5" x14ac:dyDescent="0.15">
      <c r="A135" s="137" t="str">
        <f t="shared" si="2"/>
        <v>Illinois - Subcounty Governments - Township Governments</v>
      </c>
      <c r="B135" s="137" t="s">
        <v>186</v>
      </c>
      <c r="C135" s="137" t="s">
        <v>872</v>
      </c>
      <c r="D135" s="139">
        <v>1429</v>
      </c>
      <c r="E135" s="137" t="s">
        <v>848</v>
      </c>
    </row>
    <row r="136" spans="1:5" x14ac:dyDescent="0.15">
      <c r="A136" s="137" t="str">
        <f t="shared" si="2"/>
        <v>Illinois - Special Purpose Governments - Special District Governments</v>
      </c>
      <c r="B136" s="137" t="s">
        <v>186</v>
      </c>
      <c r="C136" s="137" t="s">
        <v>873</v>
      </c>
      <c r="D136" s="139">
        <v>3204</v>
      </c>
      <c r="E136" s="137" t="s">
        <v>848</v>
      </c>
    </row>
    <row r="137" spans="1:5" x14ac:dyDescent="0.15">
      <c r="A137" s="137" t="str">
        <f t="shared" si="2"/>
        <v>Illinois - Special Purpose Governments - Independent School District Governments</v>
      </c>
      <c r="B137" s="137" t="s">
        <v>186</v>
      </c>
      <c r="C137" s="137" t="s">
        <v>874</v>
      </c>
      <c r="D137" s="139">
        <v>886</v>
      </c>
      <c r="E137" s="137" t="s">
        <v>848</v>
      </c>
    </row>
    <row r="138" spans="1:5" x14ac:dyDescent="0.15">
      <c r="A138" s="137" t="str">
        <f t="shared" si="2"/>
        <v>Indiana - Total Local Government Units</v>
      </c>
      <c r="B138" s="137" t="s">
        <v>187</v>
      </c>
      <c r="C138" s="137" t="s">
        <v>867</v>
      </c>
      <c r="D138" s="139">
        <v>2638</v>
      </c>
      <c r="E138" s="137" t="s">
        <v>848</v>
      </c>
    </row>
    <row r="139" spans="1:5" x14ac:dyDescent="0.15">
      <c r="A139" s="137" t="str">
        <f t="shared" si="2"/>
        <v>Indiana - Special Purpose Governments</v>
      </c>
      <c r="B139" s="137" t="s">
        <v>187</v>
      </c>
      <c r="C139" s="137" t="s">
        <v>868</v>
      </c>
      <c r="D139" s="139">
        <v>976</v>
      </c>
      <c r="E139" s="137" t="s">
        <v>848</v>
      </c>
    </row>
    <row r="140" spans="1:5" x14ac:dyDescent="0.15">
      <c r="A140" s="137" t="str">
        <f t="shared" si="2"/>
        <v>Indiana - General Purpose Governments</v>
      </c>
      <c r="B140" s="137" t="s">
        <v>187</v>
      </c>
      <c r="C140" s="137" t="s">
        <v>869</v>
      </c>
      <c r="D140" s="139">
        <v>1662</v>
      </c>
      <c r="E140" s="137" t="s">
        <v>848</v>
      </c>
    </row>
    <row r="141" spans="1:5" x14ac:dyDescent="0.15">
      <c r="A141" s="137" t="str">
        <f t="shared" si="2"/>
        <v>Indiana - County Governments</v>
      </c>
      <c r="B141" s="137" t="s">
        <v>187</v>
      </c>
      <c r="C141" s="137" t="s">
        <v>165</v>
      </c>
      <c r="D141" s="139">
        <v>91</v>
      </c>
      <c r="E141" s="137" t="s">
        <v>848</v>
      </c>
    </row>
    <row r="142" spans="1:5" x14ac:dyDescent="0.15">
      <c r="A142" s="137" t="str">
        <f t="shared" si="2"/>
        <v>Indiana - Subcounty Governments</v>
      </c>
      <c r="B142" s="137" t="s">
        <v>187</v>
      </c>
      <c r="C142" s="137" t="s">
        <v>870</v>
      </c>
      <c r="D142" s="139">
        <v>1571</v>
      </c>
      <c r="E142" s="137" t="s">
        <v>848</v>
      </c>
    </row>
    <row r="143" spans="1:5" x14ac:dyDescent="0.15">
      <c r="A143" s="137" t="str">
        <f t="shared" si="2"/>
        <v>Indiana - Subcounty Governments - Municipal Governments</v>
      </c>
      <c r="B143" s="137" t="s">
        <v>187</v>
      </c>
      <c r="C143" s="137" t="s">
        <v>871</v>
      </c>
      <c r="D143" s="139">
        <v>567</v>
      </c>
      <c r="E143" s="137" t="s">
        <v>848</v>
      </c>
    </row>
    <row r="144" spans="1:5" x14ac:dyDescent="0.15">
      <c r="A144" s="137" t="str">
        <f t="shared" si="2"/>
        <v>Indiana - Subcounty Governments - Township Governments</v>
      </c>
      <c r="B144" s="137" t="s">
        <v>187</v>
      </c>
      <c r="C144" s="137" t="s">
        <v>872</v>
      </c>
      <c r="D144" s="139">
        <v>1004</v>
      </c>
      <c r="E144" s="137" t="s">
        <v>848</v>
      </c>
    </row>
    <row r="145" spans="1:5" x14ac:dyDescent="0.15">
      <c r="A145" s="137" t="str">
        <f t="shared" si="2"/>
        <v>Indiana - Special Purpose Governments - Special District Governments</v>
      </c>
      <c r="B145" s="137" t="s">
        <v>187</v>
      </c>
      <c r="C145" s="137" t="s">
        <v>873</v>
      </c>
      <c r="D145" s="139">
        <v>687</v>
      </c>
      <c r="E145" s="137" t="s">
        <v>848</v>
      </c>
    </row>
    <row r="146" spans="1:5" x14ac:dyDescent="0.15">
      <c r="A146" s="137" t="str">
        <f t="shared" si="2"/>
        <v>Indiana - Special Purpose Governments - Independent School District Governments</v>
      </c>
      <c r="B146" s="137" t="s">
        <v>187</v>
      </c>
      <c r="C146" s="137" t="s">
        <v>874</v>
      </c>
      <c r="D146" s="139">
        <v>289</v>
      </c>
      <c r="E146" s="137" t="s">
        <v>848</v>
      </c>
    </row>
    <row r="147" spans="1:5" x14ac:dyDescent="0.15">
      <c r="A147" s="137" t="str">
        <f t="shared" si="2"/>
        <v>Iowa - Total Local Government Units</v>
      </c>
      <c r="B147" s="137" t="s">
        <v>188</v>
      </c>
      <c r="C147" s="137" t="s">
        <v>867</v>
      </c>
      <c r="D147" s="139">
        <v>1941</v>
      </c>
      <c r="E147" s="137" t="s">
        <v>848</v>
      </c>
    </row>
    <row r="148" spans="1:5" x14ac:dyDescent="0.15">
      <c r="A148" s="137" t="str">
        <f t="shared" si="2"/>
        <v>Iowa - Special Purpose Governments</v>
      </c>
      <c r="B148" s="137" t="s">
        <v>188</v>
      </c>
      <c r="C148" s="137" t="s">
        <v>868</v>
      </c>
      <c r="D148" s="139">
        <v>899</v>
      </c>
      <c r="E148" s="137" t="s">
        <v>848</v>
      </c>
    </row>
    <row r="149" spans="1:5" x14ac:dyDescent="0.15">
      <c r="A149" s="137" t="str">
        <f t="shared" si="2"/>
        <v>Iowa - General Purpose Governments</v>
      </c>
      <c r="B149" s="137" t="s">
        <v>188</v>
      </c>
      <c r="C149" s="137" t="s">
        <v>869</v>
      </c>
      <c r="D149" s="139">
        <v>1042</v>
      </c>
      <c r="E149" s="137" t="s">
        <v>848</v>
      </c>
    </row>
    <row r="150" spans="1:5" x14ac:dyDescent="0.15">
      <c r="A150" s="137" t="str">
        <f t="shared" si="2"/>
        <v>Iowa - County Governments</v>
      </c>
      <c r="B150" s="137" t="s">
        <v>188</v>
      </c>
      <c r="C150" s="137" t="s">
        <v>165</v>
      </c>
      <c r="D150" s="139">
        <v>99</v>
      </c>
      <c r="E150" s="137" t="s">
        <v>848</v>
      </c>
    </row>
    <row r="151" spans="1:5" x14ac:dyDescent="0.15">
      <c r="A151" s="137" t="str">
        <f t="shared" si="2"/>
        <v>Iowa - Subcounty Governments</v>
      </c>
      <c r="B151" s="137" t="s">
        <v>188</v>
      </c>
      <c r="C151" s="137" t="s">
        <v>870</v>
      </c>
      <c r="D151" s="139">
        <v>943</v>
      </c>
      <c r="E151" s="137" t="s">
        <v>848</v>
      </c>
    </row>
    <row r="152" spans="1:5" x14ac:dyDescent="0.15">
      <c r="A152" s="137" t="str">
        <f t="shared" si="2"/>
        <v>Iowa - Subcounty Governments - Municipal Governments</v>
      </c>
      <c r="B152" s="137" t="s">
        <v>188</v>
      </c>
      <c r="C152" s="137" t="s">
        <v>871</v>
      </c>
      <c r="D152" s="139">
        <v>943</v>
      </c>
      <c r="E152" s="137" t="s">
        <v>848</v>
      </c>
    </row>
    <row r="153" spans="1:5" x14ac:dyDescent="0.15">
      <c r="A153" s="137" t="str">
        <f t="shared" si="2"/>
        <v>Iowa - Subcounty Governments - Township Governments</v>
      </c>
      <c r="B153" s="137" t="s">
        <v>188</v>
      </c>
      <c r="C153" s="137" t="s">
        <v>872</v>
      </c>
      <c r="D153" s="139">
        <v>0</v>
      </c>
      <c r="E153" s="137" t="s">
        <v>848</v>
      </c>
    </row>
    <row r="154" spans="1:5" x14ac:dyDescent="0.15">
      <c r="A154" s="137" t="str">
        <f t="shared" si="2"/>
        <v>Iowa - Special Purpose Governments - Special District Governments</v>
      </c>
      <c r="B154" s="137" t="s">
        <v>188</v>
      </c>
      <c r="C154" s="137" t="s">
        <v>873</v>
      </c>
      <c r="D154" s="139">
        <v>551</v>
      </c>
      <c r="E154" s="137" t="s">
        <v>848</v>
      </c>
    </row>
    <row r="155" spans="1:5" x14ac:dyDescent="0.15">
      <c r="A155" s="137" t="str">
        <f t="shared" si="2"/>
        <v>Iowa - Special Purpose Governments - Independent School District Governments</v>
      </c>
      <c r="B155" s="137" t="s">
        <v>188</v>
      </c>
      <c r="C155" s="137" t="s">
        <v>874</v>
      </c>
      <c r="D155" s="139">
        <v>348</v>
      </c>
      <c r="E155" s="137" t="s">
        <v>848</v>
      </c>
    </row>
    <row r="156" spans="1:5" x14ac:dyDescent="0.15">
      <c r="A156" s="137" t="str">
        <f t="shared" si="2"/>
        <v>Kansas - Total Local Government Units</v>
      </c>
      <c r="B156" s="137" t="s">
        <v>189</v>
      </c>
      <c r="C156" s="137" t="s">
        <v>867</v>
      </c>
      <c r="D156" s="139">
        <v>3792</v>
      </c>
      <c r="E156" s="137" t="s">
        <v>848</v>
      </c>
    </row>
    <row r="157" spans="1:5" x14ac:dyDescent="0.15">
      <c r="A157" s="137" t="str">
        <f t="shared" si="2"/>
        <v>Kansas - Special Purpose Governments</v>
      </c>
      <c r="B157" s="137" t="s">
        <v>189</v>
      </c>
      <c r="C157" s="137" t="s">
        <v>868</v>
      </c>
      <c r="D157" s="139">
        <v>1799</v>
      </c>
      <c r="E157" s="137" t="s">
        <v>848</v>
      </c>
    </row>
    <row r="158" spans="1:5" x14ac:dyDescent="0.15">
      <c r="A158" s="137" t="str">
        <f t="shared" si="2"/>
        <v>Kansas - General Purpose Governments</v>
      </c>
      <c r="B158" s="137" t="s">
        <v>189</v>
      </c>
      <c r="C158" s="137" t="s">
        <v>869</v>
      </c>
      <c r="D158" s="139">
        <v>1993</v>
      </c>
      <c r="E158" s="137" t="s">
        <v>848</v>
      </c>
    </row>
    <row r="159" spans="1:5" x14ac:dyDescent="0.15">
      <c r="A159" s="137" t="str">
        <f t="shared" si="2"/>
        <v>Kansas - County Governments</v>
      </c>
      <c r="B159" s="137" t="s">
        <v>189</v>
      </c>
      <c r="C159" s="137" t="s">
        <v>165</v>
      </c>
      <c r="D159" s="139">
        <v>103</v>
      </c>
      <c r="E159" s="137" t="s">
        <v>848</v>
      </c>
    </row>
    <row r="160" spans="1:5" x14ac:dyDescent="0.15">
      <c r="A160" s="137" t="str">
        <f t="shared" si="2"/>
        <v>Kansas - Subcounty Governments</v>
      </c>
      <c r="B160" s="137" t="s">
        <v>189</v>
      </c>
      <c r="C160" s="137" t="s">
        <v>870</v>
      </c>
      <c r="D160" s="139">
        <v>1890</v>
      </c>
      <c r="E160" s="137" t="s">
        <v>848</v>
      </c>
    </row>
    <row r="161" spans="1:5" x14ac:dyDescent="0.15">
      <c r="A161" s="137" t="str">
        <f t="shared" si="2"/>
        <v>Kansas - Subcounty Governments - Municipal Governments</v>
      </c>
      <c r="B161" s="137" t="s">
        <v>189</v>
      </c>
      <c r="C161" s="137" t="s">
        <v>871</v>
      </c>
      <c r="D161" s="139">
        <v>625</v>
      </c>
      <c r="E161" s="137" t="s">
        <v>848</v>
      </c>
    </row>
    <row r="162" spans="1:5" x14ac:dyDescent="0.15">
      <c r="A162" s="137" t="str">
        <f t="shared" si="2"/>
        <v>Kansas - Subcounty Governments - Township Governments</v>
      </c>
      <c r="B162" s="137" t="s">
        <v>189</v>
      </c>
      <c r="C162" s="137" t="s">
        <v>872</v>
      </c>
      <c r="D162" s="139">
        <v>1265</v>
      </c>
      <c r="E162" s="137" t="s">
        <v>848</v>
      </c>
    </row>
    <row r="163" spans="1:5" x14ac:dyDescent="0.15">
      <c r="A163" s="137" t="str">
        <f t="shared" si="2"/>
        <v>Kansas - Special Purpose Governments - Special District Governments</v>
      </c>
      <c r="B163" s="137" t="s">
        <v>189</v>
      </c>
      <c r="C163" s="137" t="s">
        <v>873</v>
      </c>
      <c r="D163" s="139">
        <v>1493</v>
      </c>
      <c r="E163" s="137" t="s">
        <v>848</v>
      </c>
    </row>
    <row r="164" spans="1:5" x14ac:dyDescent="0.15">
      <c r="A164" s="137" t="str">
        <f t="shared" si="2"/>
        <v>Kansas - Special Purpose Governments - Independent School District Governments</v>
      </c>
      <c r="B164" s="137" t="s">
        <v>189</v>
      </c>
      <c r="C164" s="137" t="s">
        <v>874</v>
      </c>
      <c r="D164" s="139">
        <v>306</v>
      </c>
      <c r="E164" s="137" t="s">
        <v>848</v>
      </c>
    </row>
    <row r="165" spans="1:5" x14ac:dyDescent="0.15">
      <c r="A165" s="137" t="str">
        <f t="shared" si="2"/>
        <v>Kentucky - Total Local Government Units</v>
      </c>
      <c r="B165" s="137" t="s">
        <v>190</v>
      </c>
      <c r="C165" s="137" t="s">
        <v>867</v>
      </c>
      <c r="D165" s="139">
        <v>1322</v>
      </c>
      <c r="E165" s="137" t="s">
        <v>848</v>
      </c>
    </row>
    <row r="166" spans="1:5" x14ac:dyDescent="0.15">
      <c r="A166" s="137" t="str">
        <f t="shared" si="2"/>
        <v>Kentucky - Special Purpose Governments</v>
      </c>
      <c r="B166" s="137" t="s">
        <v>190</v>
      </c>
      <c r="C166" s="137" t="s">
        <v>868</v>
      </c>
      <c r="D166" s="139">
        <v>787</v>
      </c>
      <c r="E166" s="137" t="s">
        <v>848</v>
      </c>
    </row>
    <row r="167" spans="1:5" x14ac:dyDescent="0.15">
      <c r="A167" s="137" t="str">
        <f t="shared" si="2"/>
        <v>Kentucky - General Purpose Governments</v>
      </c>
      <c r="B167" s="137" t="s">
        <v>190</v>
      </c>
      <c r="C167" s="137" t="s">
        <v>869</v>
      </c>
      <c r="D167" s="139">
        <v>535</v>
      </c>
      <c r="E167" s="137" t="s">
        <v>848</v>
      </c>
    </row>
    <row r="168" spans="1:5" x14ac:dyDescent="0.15">
      <c r="A168" s="137" t="str">
        <f t="shared" si="2"/>
        <v>Kentucky - County Governments</v>
      </c>
      <c r="B168" s="137" t="s">
        <v>190</v>
      </c>
      <c r="C168" s="137" t="s">
        <v>165</v>
      </c>
      <c r="D168" s="139">
        <v>118</v>
      </c>
      <c r="E168" s="137" t="s">
        <v>848</v>
      </c>
    </row>
    <row r="169" spans="1:5" x14ac:dyDescent="0.15">
      <c r="A169" s="137" t="str">
        <f t="shared" si="2"/>
        <v>Kentucky - Subcounty Governments</v>
      </c>
      <c r="B169" s="137" t="s">
        <v>190</v>
      </c>
      <c r="C169" s="137" t="s">
        <v>870</v>
      </c>
      <c r="D169" s="139">
        <v>417</v>
      </c>
      <c r="E169" s="137" t="s">
        <v>848</v>
      </c>
    </row>
    <row r="170" spans="1:5" x14ac:dyDescent="0.15">
      <c r="A170" s="137" t="str">
        <f t="shared" si="2"/>
        <v>Kentucky - Subcounty Governments - Municipal Governments</v>
      </c>
      <c r="B170" s="137" t="s">
        <v>190</v>
      </c>
      <c r="C170" s="137" t="s">
        <v>871</v>
      </c>
      <c r="D170" s="139">
        <v>417</v>
      </c>
      <c r="E170" s="137" t="s">
        <v>848</v>
      </c>
    </row>
    <row r="171" spans="1:5" x14ac:dyDescent="0.15">
      <c r="A171" s="137" t="str">
        <f t="shared" si="2"/>
        <v>Kentucky - Subcounty Governments - Township Governments</v>
      </c>
      <c r="B171" s="137" t="s">
        <v>190</v>
      </c>
      <c r="C171" s="137" t="s">
        <v>872</v>
      </c>
      <c r="D171" s="139">
        <v>0</v>
      </c>
      <c r="E171" s="137" t="s">
        <v>848</v>
      </c>
    </row>
    <row r="172" spans="1:5" x14ac:dyDescent="0.15">
      <c r="A172" s="137" t="str">
        <f t="shared" si="2"/>
        <v>Kentucky - Special Purpose Governments - Special District Governments</v>
      </c>
      <c r="B172" s="137" t="s">
        <v>190</v>
      </c>
      <c r="C172" s="137" t="s">
        <v>873</v>
      </c>
      <c r="D172" s="139">
        <v>614</v>
      </c>
      <c r="E172" s="137" t="s">
        <v>848</v>
      </c>
    </row>
    <row r="173" spans="1:5" x14ac:dyDescent="0.15">
      <c r="A173" s="137" t="str">
        <f t="shared" si="2"/>
        <v>Kentucky - Special Purpose Governments - Independent School District Governments</v>
      </c>
      <c r="B173" s="137" t="s">
        <v>190</v>
      </c>
      <c r="C173" s="137" t="s">
        <v>874</v>
      </c>
      <c r="D173" s="139">
        <v>173</v>
      </c>
      <c r="E173" s="137" t="s">
        <v>848</v>
      </c>
    </row>
    <row r="174" spans="1:5" x14ac:dyDescent="0.15">
      <c r="A174" s="137" t="str">
        <f t="shared" si="2"/>
        <v>Louisiana - Total Local Government Units</v>
      </c>
      <c r="B174" s="137" t="s">
        <v>191</v>
      </c>
      <c r="C174" s="137" t="s">
        <v>867</v>
      </c>
      <c r="D174" s="139">
        <v>516</v>
      </c>
      <c r="E174" s="137" t="s">
        <v>848</v>
      </c>
    </row>
    <row r="175" spans="1:5" x14ac:dyDescent="0.15">
      <c r="A175" s="137" t="str">
        <f t="shared" si="2"/>
        <v>Louisiana - Special Purpose Governments</v>
      </c>
      <c r="B175" s="137" t="s">
        <v>191</v>
      </c>
      <c r="C175" s="137" t="s">
        <v>868</v>
      </c>
      <c r="D175" s="139">
        <v>152</v>
      </c>
      <c r="E175" s="137" t="s">
        <v>848</v>
      </c>
    </row>
    <row r="176" spans="1:5" x14ac:dyDescent="0.15">
      <c r="A176" s="137" t="str">
        <f t="shared" si="2"/>
        <v>Louisiana - General Purpose Governments</v>
      </c>
      <c r="B176" s="137" t="s">
        <v>191</v>
      </c>
      <c r="C176" s="137" t="s">
        <v>869</v>
      </c>
      <c r="D176" s="139">
        <v>364</v>
      </c>
      <c r="E176" s="137" t="s">
        <v>848</v>
      </c>
    </row>
    <row r="177" spans="1:5" x14ac:dyDescent="0.15">
      <c r="A177" s="137" t="str">
        <f t="shared" si="2"/>
        <v>Louisiana - County Governments</v>
      </c>
      <c r="B177" s="137" t="s">
        <v>191</v>
      </c>
      <c r="C177" s="137" t="s">
        <v>165</v>
      </c>
      <c r="D177" s="139">
        <v>60</v>
      </c>
      <c r="E177" s="137" t="s">
        <v>848</v>
      </c>
    </row>
    <row r="178" spans="1:5" x14ac:dyDescent="0.15">
      <c r="A178" s="137" t="str">
        <f t="shared" si="2"/>
        <v>Louisiana - Subcounty Governments</v>
      </c>
      <c r="B178" s="137" t="s">
        <v>191</v>
      </c>
      <c r="C178" s="137" t="s">
        <v>870</v>
      </c>
      <c r="D178" s="139">
        <v>304</v>
      </c>
      <c r="E178" s="137" t="s">
        <v>848</v>
      </c>
    </row>
    <row r="179" spans="1:5" x14ac:dyDescent="0.15">
      <c r="A179" s="137" t="str">
        <f t="shared" si="2"/>
        <v>Louisiana - Subcounty Governments - Municipal Governments</v>
      </c>
      <c r="B179" s="137" t="s">
        <v>191</v>
      </c>
      <c r="C179" s="137" t="s">
        <v>871</v>
      </c>
      <c r="D179" s="139">
        <v>304</v>
      </c>
      <c r="E179" s="137" t="s">
        <v>848</v>
      </c>
    </row>
    <row r="180" spans="1:5" x14ac:dyDescent="0.15">
      <c r="A180" s="137" t="str">
        <f t="shared" si="2"/>
        <v>Louisiana - Subcounty Governments - Township Governments</v>
      </c>
      <c r="B180" s="137" t="s">
        <v>191</v>
      </c>
      <c r="C180" s="137" t="s">
        <v>872</v>
      </c>
      <c r="D180" s="139">
        <v>0</v>
      </c>
      <c r="E180" s="137" t="s">
        <v>848</v>
      </c>
    </row>
    <row r="181" spans="1:5" x14ac:dyDescent="0.15">
      <c r="A181" s="137" t="str">
        <f t="shared" si="2"/>
        <v>Louisiana - Special Purpose Governments - Special District Governments</v>
      </c>
      <c r="B181" s="137" t="s">
        <v>191</v>
      </c>
      <c r="C181" s="137" t="s">
        <v>873</v>
      </c>
      <c r="D181" s="139">
        <v>83</v>
      </c>
      <c r="E181" s="137" t="s">
        <v>848</v>
      </c>
    </row>
    <row r="182" spans="1:5" x14ac:dyDescent="0.15">
      <c r="A182" s="137" t="str">
        <f t="shared" si="2"/>
        <v>Louisiana - Special Purpose Governments - Independent School District Governments</v>
      </c>
      <c r="B182" s="137" t="s">
        <v>191</v>
      </c>
      <c r="C182" s="137" t="s">
        <v>874</v>
      </c>
      <c r="D182" s="139">
        <v>69</v>
      </c>
      <c r="E182" s="137" t="s">
        <v>848</v>
      </c>
    </row>
    <row r="183" spans="1:5" x14ac:dyDescent="0.15">
      <c r="A183" s="137" t="str">
        <f t="shared" si="2"/>
        <v>Maine - Total Local Government Units</v>
      </c>
      <c r="B183" s="137" t="s">
        <v>192</v>
      </c>
      <c r="C183" s="137" t="s">
        <v>867</v>
      </c>
      <c r="D183" s="139">
        <v>834</v>
      </c>
      <c r="E183" s="137" t="s">
        <v>848</v>
      </c>
    </row>
    <row r="184" spans="1:5" x14ac:dyDescent="0.15">
      <c r="A184" s="137" t="str">
        <f t="shared" si="2"/>
        <v>Maine - Special Purpose Governments</v>
      </c>
      <c r="B184" s="137" t="s">
        <v>192</v>
      </c>
      <c r="C184" s="137" t="s">
        <v>868</v>
      </c>
      <c r="D184" s="139">
        <v>330</v>
      </c>
      <c r="E184" s="137" t="s">
        <v>848</v>
      </c>
    </row>
    <row r="185" spans="1:5" x14ac:dyDescent="0.15">
      <c r="A185" s="137" t="str">
        <f t="shared" si="2"/>
        <v>Maine - General Purpose Governments</v>
      </c>
      <c r="B185" s="137" t="s">
        <v>192</v>
      </c>
      <c r="C185" s="137" t="s">
        <v>869</v>
      </c>
      <c r="D185" s="139">
        <v>504</v>
      </c>
      <c r="E185" s="137" t="s">
        <v>848</v>
      </c>
    </row>
    <row r="186" spans="1:5" x14ac:dyDescent="0.15">
      <c r="A186" s="137" t="str">
        <f t="shared" si="2"/>
        <v>Maine - County Governments</v>
      </c>
      <c r="B186" s="137" t="s">
        <v>192</v>
      </c>
      <c r="C186" s="137" t="s">
        <v>165</v>
      </c>
      <c r="D186" s="139">
        <v>16</v>
      </c>
      <c r="E186" s="137" t="s">
        <v>848</v>
      </c>
    </row>
    <row r="187" spans="1:5" x14ac:dyDescent="0.15">
      <c r="A187" s="137" t="str">
        <f t="shared" si="2"/>
        <v>Maine - Subcounty Governments</v>
      </c>
      <c r="B187" s="137" t="s">
        <v>192</v>
      </c>
      <c r="C187" s="137" t="s">
        <v>870</v>
      </c>
      <c r="D187" s="139">
        <v>488</v>
      </c>
      <c r="E187" s="137" t="s">
        <v>848</v>
      </c>
    </row>
    <row r="188" spans="1:5" x14ac:dyDescent="0.15">
      <c r="A188" s="137" t="str">
        <f t="shared" si="2"/>
        <v>Maine - Subcounty Governments - Municipal Governments</v>
      </c>
      <c r="B188" s="137" t="s">
        <v>192</v>
      </c>
      <c r="C188" s="137" t="s">
        <v>871</v>
      </c>
      <c r="D188" s="139">
        <v>23</v>
      </c>
      <c r="E188" s="137" t="s">
        <v>848</v>
      </c>
    </row>
    <row r="189" spans="1:5" x14ac:dyDescent="0.15">
      <c r="A189" s="137" t="str">
        <f t="shared" si="2"/>
        <v>Maine - Subcounty Governments - Township Governments</v>
      </c>
      <c r="B189" s="137" t="s">
        <v>192</v>
      </c>
      <c r="C189" s="137" t="s">
        <v>872</v>
      </c>
      <c r="D189" s="139">
        <v>465</v>
      </c>
      <c r="E189" s="137" t="s">
        <v>848</v>
      </c>
    </row>
    <row r="190" spans="1:5" x14ac:dyDescent="0.15">
      <c r="A190" s="137" t="str">
        <f t="shared" si="2"/>
        <v>Maine - Special Purpose Governments - Special District Governments</v>
      </c>
      <c r="B190" s="137" t="s">
        <v>192</v>
      </c>
      <c r="C190" s="137" t="s">
        <v>873</v>
      </c>
      <c r="D190" s="139">
        <v>232</v>
      </c>
      <c r="E190" s="137" t="s">
        <v>848</v>
      </c>
    </row>
    <row r="191" spans="1:5" x14ac:dyDescent="0.15">
      <c r="A191" s="137" t="str">
        <f t="shared" si="2"/>
        <v>Maine - Special Purpose Governments - Independent School District Governments</v>
      </c>
      <c r="B191" s="137" t="s">
        <v>192</v>
      </c>
      <c r="C191" s="137" t="s">
        <v>874</v>
      </c>
      <c r="D191" s="139">
        <v>98</v>
      </c>
      <c r="E191" s="137" t="s">
        <v>848</v>
      </c>
    </row>
    <row r="192" spans="1:5" x14ac:dyDescent="0.15">
      <c r="A192" s="137" t="str">
        <f t="shared" si="2"/>
        <v>Maryland - Total Local Government Units</v>
      </c>
      <c r="B192" s="137" t="s">
        <v>193</v>
      </c>
      <c r="C192" s="137" t="s">
        <v>867</v>
      </c>
      <c r="D192" s="139">
        <v>344</v>
      </c>
      <c r="E192" s="137" t="s">
        <v>848</v>
      </c>
    </row>
    <row r="193" spans="1:5" x14ac:dyDescent="0.15">
      <c r="A193" s="137" t="str">
        <f t="shared" si="2"/>
        <v>Maryland - Special Purpose Governments</v>
      </c>
      <c r="B193" s="137" t="s">
        <v>193</v>
      </c>
      <c r="C193" s="137" t="s">
        <v>868</v>
      </c>
      <c r="D193" s="139">
        <v>164</v>
      </c>
      <c r="E193" s="137" t="s">
        <v>848</v>
      </c>
    </row>
    <row r="194" spans="1:5" x14ac:dyDescent="0.15">
      <c r="A194" s="137" t="str">
        <f t="shared" si="2"/>
        <v>Maryland - General Purpose Governments</v>
      </c>
      <c r="B194" s="137" t="s">
        <v>193</v>
      </c>
      <c r="C194" s="137" t="s">
        <v>869</v>
      </c>
      <c r="D194" s="139">
        <v>180</v>
      </c>
      <c r="E194" s="137" t="s">
        <v>848</v>
      </c>
    </row>
    <row r="195" spans="1:5" x14ac:dyDescent="0.15">
      <c r="A195" s="137" t="str">
        <f t="shared" si="2"/>
        <v>Maryland - County Governments</v>
      </c>
      <c r="B195" s="137" t="s">
        <v>193</v>
      </c>
      <c r="C195" s="137" t="s">
        <v>165</v>
      </c>
      <c r="D195" s="139">
        <v>23</v>
      </c>
      <c r="E195" s="137" t="s">
        <v>848</v>
      </c>
    </row>
    <row r="196" spans="1:5" x14ac:dyDescent="0.15">
      <c r="A196" s="137" t="str">
        <f t="shared" ref="A196:A259" si="3">_xlfn.CONCAT(B196," - ",C196)</f>
        <v>Maryland - Subcounty Governments</v>
      </c>
      <c r="B196" s="137" t="s">
        <v>193</v>
      </c>
      <c r="C196" s="137" t="s">
        <v>870</v>
      </c>
      <c r="D196" s="139">
        <v>157</v>
      </c>
      <c r="E196" s="137" t="s">
        <v>848</v>
      </c>
    </row>
    <row r="197" spans="1:5" x14ac:dyDescent="0.15">
      <c r="A197" s="137" t="str">
        <f t="shared" si="3"/>
        <v>Maryland - Subcounty Governments - Municipal Governments</v>
      </c>
      <c r="B197" s="137" t="s">
        <v>193</v>
      </c>
      <c r="C197" s="137" t="s">
        <v>871</v>
      </c>
      <c r="D197" s="139">
        <v>157</v>
      </c>
      <c r="E197" s="137" t="s">
        <v>848</v>
      </c>
    </row>
    <row r="198" spans="1:5" x14ac:dyDescent="0.15">
      <c r="A198" s="137" t="str">
        <f t="shared" si="3"/>
        <v>Maryland - Subcounty Governments - Township Governments</v>
      </c>
      <c r="B198" s="137" t="s">
        <v>193</v>
      </c>
      <c r="C198" s="137" t="s">
        <v>872</v>
      </c>
      <c r="D198" s="139">
        <v>0</v>
      </c>
      <c r="E198" s="137" t="s">
        <v>848</v>
      </c>
    </row>
    <row r="199" spans="1:5" x14ac:dyDescent="0.15">
      <c r="A199" s="137" t="str">
        <f t="shared" si="3"/>
        <v>Maryland - Special Purpose Governments - Special District Governments</v>
      </c>
      <c r="B199" s="137" t="s">
        <v>193</v>
      </c>
      <c r="C199" s="137" t="s">
        <v>873</v>
      </c>
      <c r="D199" s="139">
        <v>164</v>
      </c>
      <c r="E199" s="137" t="s">
        <v>848</v>
      </c>
    </row>
    <row r="200" spans="1:5" x14ac:dyDescent="0.15">
      <c r="A200" s="137" t="str">
        <f t="shared" si="3"/>
        <v>Maryland - Special Purpose Governments - Independent School District Governments</v>
      </c>
      <c r="B200" s="137" t="s">
        <v>193</v>
      </c>
      <c r="C200" s="137" t="s">
        <v>874</v>
      </c>
      <c r="D200" s="139">
        <v>0</v>
      </c>
      <c r="E200" s="137" t="s">
        <v>848</v>
      </c>
    </row>
    <row r="201" spans="1:5" x14ac:dyDescent="0.15">
      <c r="A201" s="137" t="str">
        <f t="shared" si="3"/>
        <v>Massachusetts - Total Local Government Units</v>
      </c>
      <c r="B201" s="137" t="s">
        <v>194</v>
      </c>
      <c r="C201" s="137" t="s">
        <v>867</v>
      </c>
      <c r="D201" s="139">
        <v>858</v>
      </c>
      <c r="E201" s="137" t="s">
        <v>848</v>
      </c>
    </row>
    <row r="202" spans="1:5" x14ac:dyDescent="0.15">
      <c r="A202" s="137" t="str">
        <f t="shared" si="3"/>
        <v>Massachusetts - Special Purpose Governments</v>
      </c>
      <c r="B202" s="137" t="s">
        <v>194</v>
      </c>
      <c r="C202" s="137" t="s">
        <v>868</v>
      </c>
      <c r="D202" s="139">
        <v>502</v>
      </c>
      <c r="E202" s="137" t="s">
        <v>848</v>
      </c>
    </row>
    <row r="203" spans="1:5" x14ac:dyDescent="0.15">
      <c r="A203" s="137" t="str">
        <f t="shared" si="3"/>
        <v>Massachusetts - General Purpose Governments</v>
      </c>
      <c r="B203" s="137" t="s">
        <v>194</v>
      </c>
      <c r="C203" s="137" t="s">
        <v>869</v>
      </c>
      <c r="D203" s="139">
        <v>356</v>
      </c>
      <c r="E203" s="137" t="s">
        <v>848</v>
      </c>
    </row>
    <row r="204" spans="1:5" x14ac:dyDescent="0.15">
      <c r="A204" s="137" t="str">
        <f t="shared" si="3"/>
        <v>Massachusetts - County Governments</v>
      </c>
      <c r="B204" s="137" t="s">
        <v>194</v>
      </c>
      <c r="C204" s="137" t="s">
        <v>165</v>
      </c>
      <c r="D204" s="139">
        <v>5</v>
      </c>
      <c r="E204" s="137" t="s">
        <v>848</v>
      </c>
    </row>
    <row r="205" spans="1:5" x14ac:dyDescent="0.15">
      <c r="A205" s="137" t="str">
        <f t="shared" si="3"/>
        <v>Massachusetts - Subcounty Governments</v>
      </c>
      <c r="B205" s="137" t="s">
        <v>194</v>
      </c>
      <c r="C205" s="137" t="s">
        <v>870</v>
      </c>
      <c r="D205" s="139">
        <v>351</v>
      </c>
      <c r="E205" s="137" t="s">
        <v>848</v>
      </c>
    </row>
    <row r="206" spans="1:5" x14ac:dyDescent="0.15">
      <c r="A206" s="137" t="str">
        <f t="shared" si="3"/>
        <v>Massachusetts - Subcounty Governments - Municipal Governments</v>
      </c>
      <c r="B206" s="137" t="s">
        <v>194</v>
      </c>
      <c r="C206" s="137" t="s">
        <v>871</v>
      </c>
      <c r="D206" s="139">
        <v>53</v>
      </c>
      <c r="E206" s="137" t="s">
        <v>848</v>
      </c>
    </row>
    <row r="207" spans="1:5" x14ac:dyDescent="0.15">
      <c r="A207" s="137" t="str">
        <f t="shared" si="3"/>
        <v>Massachusetts - Subcounty Governments - Township Governments</v>
      </c>
      <c r="B207" s="137" t="s">
        <v>194</v>
      </c>
      <c r="C207" s="137" t="s">
        <v>872</v>
      </c>
      <c r="D207" s="139">
        <v>298</v>
      </c>
      <c r="E207" s="137" t="s">
        <v>848</v>
      </c>
    </row>
    <row r="208" spans="1:5" x14ac:dyDescent="0.15">
      <c r="A208" s="137" t="str">
        <f t="shared" si="3"/>
        <v>Massachusetts - Special Purpose Governments - Special District Governments</v>
      </c>
      <c r="B208" s="137" t="s">
        <v>194</v>
      </c>
      <c r="C208" s="137" t="s">
        <v>873</v>
      </c>
      <c r="D208" s="139">
        <v>417</v>
      </c>
      <c r="E208" s="137" t="s">
        <v>848</v>
      </c>
    </row>
    <row r="209" spans="1:5" x14ac:dyDescent="0.15">
      <c r="A209" s="137" t="str">
        <f t="shared" si="3"/>
        <v>Massachusetts - Special Purpose Governments - Independent School District Governments</v>
      </c>
      <c r="B209" s="137" t="s">
        <v>194</v>
      </c>
      <c r="C209" s="137" t="s">
        <v>874</v>
      </c>
      <c r="D209" s="139">
        <v>85</v>
      </c>
      <c r="E209" s="137" t="s">
        <v>848</v>
      </c>
    </row>
    <row r="210" spans="1:5" x14ac:dyDescent="0.15">
      <c r="A210" s="137" t="str">
        <f t="shared" si="3"/>
        <v>Michigan - Total Local Government Units</v>
      </c>
      <c r="B210" s="137" t="s">
        <v>195</v>
      </c>
      <c r="C210" s="137" t="s">
        <v>867</v>
      </c>
      <c r="D210" s="139">
        <v>2863</v>
      </c>
      <c r="E210" s="137" t="s">
        <v>848</v>
      </c>
    </row>
    <row r="211" spans="1:5" x14ac:dyDescent="0.15">
      <c r="A211" s="137" t="str">
        <f t="shared" si="3"/>
        <v>Michigan - Special Purpose Governments</v>
      </c>
      <c r="B211" s="137" t="s">
        <v>195</v>
      </c>
      <c r="C211" s="137" t="s">
        <v>868</v>
      </c>
      <c r="D211" s="139">
        <v>1007</v>
      </c>
      <c r="E211" s="137" t="s">
        <v>848</v>
      </c>
    </row>
    <row r="212" spans="1:5" x14ac:dyDescent="0.15">
      <c r="A212" s="137" t="str">
        <f t="shared" si="3"/>
        <v>Michigan - General Purpose Governments</v>
      </c>
      <c r="B212" s="137" t="s">
        <v>195</v>
      </c>
      <c r="C212" s="137" t="s">
        <v>869</v>
      </c>
      <c r="D212" s="139">
        <v>1856</v>
      </c>
      <c r="E212" s="137" t="s">
        <v>848</v>
      </c>
    </row>
    <row r="213" spans="1:5" x14ac:dyDescent="0.15">
      <c r="A213" s="137" t="str">
        <f t="shared" si="3"/>
        <v>Michigan - County Governments</v>
      </c>
      <c r="B213" s="137" t="s">
        <v>195</v>
      </c>
      <c r="C213" s="137" t="s">
        <v>165</v>
      </c>
      <c r="D213" s="139">
        <v>83</v>
      </c>
      <c r="E213" s="137" t="s">
        <v>848</v>
      </c>
    </row>
    <row r="214" spans="1:5" x14ac:dyDescent="0.15">
      <c r="A214" s="137" t="str">
        <f t="shared" si="3"/>
        <v>Michigan - Subcounty Governments</v>
      </c>
      <c r="B214" s="137" t="s">
        <v>195</v>
      </c>
      <c r="C214" s="137" t="s">
        <v>870</v>
      </c>
      <c r="D214" s="139">
        <v>1773</v>
      </c>
      <c r="E214" s="137" t="s">
        <v>848</v>
      </c>
    </row>
    <row r="215" spans="1:5" x14ac:dyDescent="0.15">
      <c r="A215" s="137" t="str">
        <f t="shared" si="3"/>
        <v>Michigan - Subcounty Governments - Municipal Governments</v>
      </c>
      <c r="B215" s="137" t="s">
        <v>195</v>
      </c>
      <c r="C215" s="137" t="s">
        <v>871</v>
      </c>
      <c r="D215" s="139">
        <v>533</v>
      </c>
      <c r="E215" s="137" t="s">
        <v>848</v>
      </c>
    </row>
    <row r="216" spans="1:5" x14ac:dyDescent="0.15">
      <c r="A216" s="137" t="str">
        <f t="shared" si="3"/>
        <v>Michigan - Subcounty Governments - Township Governments</v>
      </c>
      <c r="B216" s="137" t="s">
        <v>195</v>
      </c>
      <c r="C216" s="137" t="s">
        <v>872</v>
      </c>
      <c r="D216" s="139">
        <v>1240</v>
      </c>
      <c r="E216" s="137" t="s">
        <v>848</v>
      </c>
    </row>
    <row r="217" spans="1:5" x14ac:dyDescent="0.15">
      <c r="A217" s="137" t="str">
        <f t="shared" si="3"/>
        <v>Michigan - Special Purpose Governments - Special District Governments</v>
      </c>
      <c r="B217" s="137" t="s">
        <v>195</v>
      </c>
      <c r="C217" s="137" t="s">
        <v>873</v>
      </c>
      <c r="D217" s="139">
        <v>436</v>
      </c>
      <c r="E217" s="137" t="s">
        <v>848</v>
      </c>
    </row>
    <row r="218" spans="1:5" x14ac:dyDescent="0.15">
      <c r="A218" s="137" t="str">
        <f t="shared" si="3"/>
        <v>Michigan - Special Purpose Governments - Independent School District Governments</v>
      </c>
      <c r="B218" s="137" t="s">
        <v>195</v>
      </c>
      <c r="C218" s="137" t="s">
        <v>874</v>
      </c>
      <c r="D218" s="139">
        <v>571</v>
      </c>
      <c r="E218" s="137" t="s">
        <v>848</v>
      </c>
    </row>
    <row r="219" spans="1:5" x14ac:dyDescent="0.15">
      <c r="A219" s="137" t="str">
        <f t="shared" si="3"/>
        <v>Minnesota - Total Local Government Units</v>
      </c>
      <c r="B219" s="137" t="s">
        <v>196</v>
      </c>
      <c r="C219" s="137" t="s">
        <v>867</v>
      </c>
      <c r="D219" s="139">
        <v>3643</v>
      </c>
      <c r="E219" s="137" t="s">
        <v>848</v>
      </c>
    </row>
    <row r="220" spans="1:5" x14ac:dyDescent="0.15">
      <c r="A220" s="137" t="str">
        <f t="shared" si="3"/>
        <v>Minnesota - Special Purpose Governments</v>
      </c>
      <c r="B220" s="137" t="s">
        <v>196</v>
      </c>
      <c r="C220" s="137" t="s">
        <v>868</v>
      </c>
      <c r="D220" s="139">
        <v>923</v>
      </c>
      <c r="E220" s="137" t="s">
        <v>848</v>
      </c>
    </row>
    <row r="221" spans="1:5" x14ac:dyDescent="0.15">
      <c r="A221" s="137" t="str">
        <f t="shared" si="3"/>
        <v>Minnesota - General Purpose Governments</v>
      </c>
      <c r="B221" s="137" t="s">
        <v>196</v>
      </c>
      <c r="C221" s="137" t="s">
        <v>869</v>
      </c>
      <c r="D221" s="139">
        <v>2720</v>
      </c>
      <c r="E221" s="137" t="s">
        <v>848</v>
      </c>
    </row>
    <row r="222" spans="1:5" x14ac:dyDescent="0.15">
      <c r="A222" s="137" t="str">
        <f t="shared" si="3"/>
        <v>Minnesota - County Governments</v>
      </c>
      <c r="B222" s="137" t="s">
        <v>196</v>
      </c>
      <c r="C222" s="137" t="s">
        <v>165</v>
      </c>
      <c r="D222" s="139">
        <v>87</v>
      </c>
      <c r="E222" s="137" t="s">
        <v>848</v>
      </c>
    </row>
    <row r="223" spans="1:5" x14ac:dyDescent="0.15">
      <c r="A223" s="137" t="str">
        <f t="shared" si="3"/>
        <v>Minnesota - Subcounty Governments</v>
      </c>
      <c r="B223" s="137" t="s">
        <v>196</v>
      </c>
      <c r="C223" s="137" t="s">
        <v>870</v>
      </c>
      <c r="D223" s="139">
        <v>2633</v>
      </c>
      <c r="E223" s="137" t="s">
        <v>848</v>
      </c>
    </row>
    <row r="224" spans="1:5" x14ac:dyDescent="0.15">
      <c r="A224" s="137" t="str">
        <f t="shared" si="3"/>
        <v>Minnesota - Subcounty Governments - Municipal Governments</v>
      </c>
      <c r="B224" s="137" t="s">
        <v>196</v>
      </c>
      <c r="C224" s="137" t="s">
        <v>871</v>
      </c>
      <c r="D224" s="139">
        <v>853</v>
      </c>
      <c r="E224" s="137" t="s">
        <v>848</v>
      </c>
    </row>
    <row r="225" spans="1:5" x14ac:dyDescent="0.15">
      <c r="A225" s="137" t="str">
        <f t="shared" si="3"/>
        <v>Minnesota - Subcounty Governments - Township Governments</v>
      </c>
      <c r="B225" s="137" t="s">
        <v>196</v>
      </c>
      <c r="C225" s="137" t="s">
        <v>872</v>
      </c>
      <c r="D225" s="139">
        <v>1780</v>
      </c>
      <c r="E225" s="137" t="s">
        <v>848</v>
      </c>
    </row>
    <row r="226" spans="1:5" x14ac:dyDescent="0.15">
      <c r="A226" s="137" t="str">
        <f t="shared" si="3"/>
        <v>Minnesota - Special Purpose Governments - Special District Governments</v>
      </c>
      <c r="B226" s="137" t="s">
        <v>196</v>
      </c>
      <c r="C226" s="137" t="s">
        <v>873</v>
      </c>
      <c r="D226" s="139">
        <v>590</v>
      </c>
      <c r="E226" s="137" t="s">
        <v>848</v>
      </c>
    </row>
    <row r="227" spans="1:5" x14ac:dyDescent="0.15">
      <c r="A227" s="137" t="str">
        <f t="shared" si="3"/>
        <v>Minnesota - Special Purpose Governments - Independent School District Governments</v>
      </c>
      <c r="B227" s="137" t="s">
        <v>196</v>
      </c>
      <c r="C227" s="137" t="s">
        <v>874</v>
      </c>
      <c r="D227" s="139">
        <v>333</v>
      </c>
      <c r="E227" s="137" t="s">
        <v>848</v>
      </c>
    </row>
    <row r="228" spans="1:5" x14ac:dyDescent="0.15">
      <c r="A228" s="137" t="str">
        <f t="shared" si="3"/>
        <v>Mississippi - Total Local Government Units</v>
      </c>
      <c r="B228" s="137" t="s">
        <v>197</v>
      </c>
      <c r="C228" s="137" t="s">
        <v>867</v>
      </c>
      <c r="D228" s="139">
        <v>969</v>
      </c>
      <c r="E228" s="137" t="s">
        <v>848</v>
      </c>
    </row>
    <row r="229" spans="1:5" x14ac:dyDescent="0.15">
      <c r="A229" s="137" t="str">
        <f t="shared" si="3"/>
        <v>Mississippi - Special Purpose Governments</v>
      </c>
      <c r="B229" s="137" t="s">
        <v>197</v>
      </c>
      <c r="C229" s="137" t="s">
        <v>868</v>
      </c>
      <c r="D229" s="139">
        <v>589</v>
      </c>
      <c r="E229" s="137" t="s">
        <v>848</v>
      </c>
    </row>
    <row r="230" spans="1:5" x14ac:dyDescent="0.15">
      <c r="A230" s="137" t="str">
        <f t="shared" si="3"/>
        <v>Mississippi - General Purpose Governments</v>
      </c>
      <c r="B230" s="137" t="s">
        <v>197</v>
      </c>
      <c r="C230" s="137" t="s">
        <v>869</v>
      </c>
      <c r="D230" s="139">
        <v>380</v>
      </c>
      <c r="E230" s="137" t="s">
        <v>848</v>
      </c>
    </row>
    <row r="231" spans="1:5" x14ac:dyDescent="0.15">
      <c r="A231" s="137" t="str">
        <f t="shared" si="3"/>
        <v>Mississippi - County Governments</v>
      </c>
      <c r="B231" s="137" t="s">
        <v>197</v>
      </c>
      <c r="C231" s="137" t="s">
        <v>165</v>
      </c>
      <c r="D231" s="139">
        <v>82</v>
      </c>
      <c r="E231" s="137" t="s">
        <v>848</v>
      </c>
    </row>
    <row r="232" spans="1:5" x14ac:dyDescent="0.15">
      <c r="A232" s="137" t="str">
        <f t="shared" si="3"/>
        <v>Mississippi - Subcounty Governments</v>
      </c>
      <c r="B232" s="137" t="s">
        <v>197</v>
      </c>
      <c r="C232" s="137" t="s">
        <v>870</v>
      </c>
      <c r="D232" s="139">
        <v>298</v>
      </c>
      <c r="E232" s="137" t="s">
        <v>848</v>
      </c>
    </row>
    <row r="233" spans="1:5" x14ac:dyDescent="0.15">
      <c r="A233" s="137" t="str">
        <f t="shared" si="3"/>
        <v>Mississippi - Subcounty Governments - Municipal Governments</v>
      </c>
      <c r="B233" s="137" t="s">
        <v>197</v>
      </c>
      <c r="C233" s="137" t="s">
        <v>871</v>
      </c>
      <c r="D233" s="139">
        <v>298</v>
      </c>
      <c r="E233" s="137" t="s">
        <v>848</v>
      </c>
    </row>
    <row r="234" spans="1:5" x14ac:dyDescent="0.15">
      <c r="A234" s="137" t="str">
        <f t="shared" si="3"/>
        <v>Mississippi - Subcounty Governments - Township Governments</v>
      </c>
      <c r="B234" s="137" t="s">
        <v>197</v>
      </c>
      <c r="C234" s="137" t="s">
        <v>872</v>
      </c>
      <c r="D234" s="139">
        <v>0</v>
      </c>
      <c r="E234" s="137" t="s">
        <v>848</v>
      </c>
    </row>
    <row r="235" spans="1:5" x14ac:dyDescent="0.15">
      <c r="A235" s="137" t="str">
        <f t="shared" si="3"/>
        <v>Mississippi - Special Purpose Governments - Special District Governments</v>
      </c>
      <c r="B235" s="137" t="s">
        <v>197</v>
      </c>
      <c r="C235" s="137" t="s">
        <v>873</v>
      </c>
      <c r="D235" s="139">
        <v>432</v>
      </c>
      <c r="E235" s="137" t="s">
        <v>848</v>
      </c>
    </row>
    <row r="236" spans="1:5" x14ac:dyDescent="0.15">
      <c r="A236" s="137" t="str">
        <f t="shared" si="3"/>
        <v>Mississippi - Special Purpose Governments - Independent School District Governments</v>
      </c>
      <c r="B236" s="137" t="s">
        <v>197</v>
      </c>
      <c r="C236" s="137" t="s">
        <v>874</v>
      </c>
      <c r="D236" s="139">
        <v>157</v>
      </c>
      <c r="E236" s="137" t="s">
        <v>848</v>
      </c>
    </row>
    <row r="237" spans="1:5" x14ac:dyDescent="0.15">
      <c r="A237" s="137" t="str">
        <f t="shared" si="3"/>
        <v>Missouri - Total Local Government Units</v>
      </c>
      <c r="B237" s="137" t="s">
        <v>198</v>
      </c>
      <c r="C237" s="137" t="s">
        <v>867</v>
      </c>
      <c r="D237" s="139">
        <v>3768</v>
      </c>
      <c r="E237" s="137" t="s">
        <v>848</v>
      </c>
    </row>
    <row r="238" spans="1:5" x14ac:dyDescent="0.15">
      <c r="A238" s="137" t="str">
        <f t="shared" si="3"/>
        <v>Missouri - Special Purpose Governments</v>
      </c>
      <c r="B238" s="137" t="s">
        <v>198</v>
      </c>
      <c r="C238" s="137" t="s">
        <v>868</v>
      </c>
      <c r="D238" s="139">
        <v>2427</v>
      </c>
      <c r="E238" s="137" t="s">
        <v>848</v>
      </c>
    </row>
    <row r="239" spans="1:5" x14ac:dyDescent="0.15">
      <c r="A239" s="137" t="str">
        <f t="shared" si="3"/>
        <v>Missouri - General Purpose Governments</v>
      </c>
      <c r="B239" s="137" t="s">
        <v>198</v>
      </c>
      <c r="C239" s="137" t="s">
        <v>869</v>
      </c>
      <c r="D239" s="139">
        <v>1341</v>
      </c>
      <c r="E239" s="137" t="s">
        <v>848</v>
      </c>
    </row>
    <row r="240" spans="1:5" x14ac:dyDescent="0.15">
      <c r="A240" s="137" t="str">
        <f t="shared" si="3"/>
        <v>Missouri - County Governments</v>
      </c>
      <c r="B240" s="137" t="s">
        <v>198</v>
      </c>
      <c r="C240" s="137" t="s">
        <v>165</v>
      </c>
      <c r="D240" s="139">
        <v>114</v>
      </c>
      <c r="E240" s="137" t="s">
        <v>848</v>
      </c>
    </row>
    <row r="241" spans="1:5" x14ac:dyDescent="0.15">
      <c r="A241" s="137" t="str">
        <f t="shared" si="3"/>
        <v>Missouri - Subcounty Governments</v>
      </c>
      <c r="B241" s="137" t="s">
        <v>198</v>
      </c>
      <c r="C241" s="137" t="s">
        <v>870</v>
      </c>
      <c r="D241" s="139">
        <v>1227</v>
      </c>
      <c r="E241" s="137" t="s">
        <v>848</v>
      </c>
    </row>
    <row r="242" spans="1:5" x14ac:dyDescent="0.15">
      <c r="A242" s="137" t="str">
        <f t="shared" si="3"/>
        <v>Missouri - Subcounty Governments - Municipal Governments</v>
      </c>
      <c r="B242" s="137" t="s">
        <v>198</v>
      </c>
      <c r="C242" s="137" t="s">
        <v>871</v>
      </c>
      <c r="D242" s="139">
        <v>944</v>
      </c>
      <c r="E242" s="137" t="s">
        <v>848</v>
      </c>
    </row>
    <row r="243" spans="1:5" x14ac:dyDescent="0.15">
      <c r="A243" s="137" t="str">
        <f t="shared" si="3"/>
        <v>Missouri - Subcounty Governments - Township Governments</v>
      </c>
      <c r="B243" s="137" t="s">
        <v>198</v>
      </c>
      <c r="C243" s="137" t="s">
        <v>872</v>
      </c>
      <c r="D243" s="139">
        <v>283</v>
      </c>
      <c r="E243" s="137" t="s">
        <v>848</v>
      </c>
    </row>
    <row r="244" spans="1:5" x14ac:dyDescent="0.15">
      <c r="A244" s="137" t="str">
        <f t="shared" si="3"/>
        <v>Missouri - Special Purpose Governments - Special District Governments</v>
      </c>
      <c r="B244" s="137" t="s">
        <v>198</v>
      </c>
      <c r="C244" s="137" t="s">
        <v>873</v>
      </c>
      <c r="D244" s="139">
        <v>1897</v>
      </c>
      <c r="E244" s="137" t="s">
        <v>848</v>
      </c>
    </row>
    <row r="245" spans="1:5" x14ac:dyDescent="0.15">
      <c r="A245" s="137" t="str">
        <f t="shared" si="3"/>
        <v>Missouri - Special Purpose Governments - Independent School District Governments</v>
      </c>
      <c r="B245" s="137" t="s">
        <v>198</v>
      </c>
      <c r="C245" s="137" t="s">
        <v>874</v>
      </c>
      <c r="D245" s="139">
        <v>530</v>
      </c>
      <c r="E245" s="137" t="s">
        <v>848</v>
      </c>
    </row>
    <row r="246" spans="1:5" x14ac:dyDescent="0.15">
      <c r="A246" s="137" t="str">
        <f t="shared" si="3"/>
        <v>Montana - Total Local Government Units</v>
      </c>
      <c r="B246" s="137" t="s">
        <v>199</v>
      </c>
      <c r="C246" s="137" t="s">
        <v>867</v>
      </c>
      <c r="D246" s="139">
        <v>1226</v>
      </c>
      <c r="E246" s="137" t="s">
        <v>848</v>
      </c>
    </row>
    <row r="247" spans="1:5" x14ac:dyDescent="0.15">
      <c r="A247" s="137" t="str">
        <f t="shared" si="3"/>
        <v>Montana - Special Purpose Governments</v>
      </c>
      <c r="B247" s="137" t="s">
        <v>199</v>
      </c>
      <c r="C247" s="137" t="s">
        <v>868</v>
      </c>
      <c r="D247" s="139">
        <v>1043</v>
      </c>
      <c r="E247" s="137" t="s">
        <v>848</v>
      </c>
    </row>
    <row r="248" spans="1:5" x14ac:dyDescent="0.15">
      <c r="A248" s="137" t="str">
        <f t="shared" si="3"/>
        <v>Montana - General Purpose Governments</v>
      </c>
      <c r="B248" s="137" t="s">
        <v>199</v>
      </c>
      <c r="C248" s="137" t="s">
        <v>869</v>
      </c>
      <c r="D248" s="139">
        <v>183</v>
      </c>
      <c r="E248" s="137" t="s">
        <v>848</v>
      </c>
    </row>
    <row r="249" spans="1:5" x14ac:dyDescent="0.15">
      <c r="A249" s="137" t="str">
        <f t="shared" si="3"/>
        <v>Montana - County Governments</v>
      </c>
      <c r="B249" s="137" t="s">
        <v>199</v>
      </c>
      <c r="C249" s="137" t="s">
        <v>165</v>
      </c>
      <c r="D249" s="139">
        <v>54</v>
      </c>
      <c r="E249" s="137" t="s">
        <v>848</v>
      </c>
    </row>
    <row r="250" spans="1:5" x14ac:dyDescent="0.15">
      <c r="A250" s="137" t="str">
        <f t="shared" si="3"/>
        <v>Montana - Subcounty Governments</v>
      </c>
      <c r="B250" s="137" t="s">
        <v>199</v>
      </c>
      <c r="C250" s="137" t="s">
        <v>870</v>
      </c>
      <c r="D250" s="139">
        <v>129</v>
      </c>
      <c r="E250" s="137" t="s">
        <v>848</v>
      </c>
    </row>
    <row r="251" spans="1:5" x14ac:dyDescent="0.15">
      <c r="A251" s="137" t="str">
        <f t="shared" si="3"/>
        <v>Montana - Subcounty Governments - Municipal Governments</v>
      </c>
      <c r="B251" s="137" t="s">
        <v>199</v>
      </c>
      <c r="C251" s="137" t="s">
        <v>871</v>
      </c>
      <c r="D251" s="139">
        <v>129</v>
      </c>
      <c r="E251" s="137" t="s">
        <v>848</v>
      </c>
    </row>
    <row r="252" spans="1:5" x14ac:dyDescent="0.15">
      <c r="A252" s="137" t="str">
        <f t="shared" si="3"/>
        <v>Montana - Subcounty Governments - Township Governments</v>
      </c>
      <c r="B252" s="137" t="s">
        <v>199</v>
      </c>
      <c r="C252" s="137" t="s">
        <v>872</v>
      </c>
      <c r="D252" s="139">
        <v>0</v>
      </c>
      <c r="E252" s="137" t="s">
        <v>848</v>
      </c>
    </row>
    <row r="253" spans="1:5" x14ac:dyDescent="0.15">
      <c r="A253" s="137" t="str">
        <f t="shared" si="3"/>
        <v>Montana - Special Purpose Governments - Special District Governments</v>
      </c>
      <c r="B253" s="137" t="s">
        <v>199</v>
      </c>
      <c r="C253" s="137" t="s">
        <v>873</v>
      </c>
      <c r="D253" s="139">
        <v>730</v>
      </c>
      <c r="E253" s="137" t="s">
        <v>848</v>
      </c>
    </row>
    <row r="254" spans="1:5" x14ac:dyDescent="0.15">
      <c r="A254" s="137" t="str">
        <f t="shared" si="3"/>
        <v>Montana - Special Purpose Governments - Independent School District Governments</v>
      </c>
      <c r="B254" s="137" t="s">
        <v>199</v>
      </c>
      <c r="C254" s="137" t="s">
        <v>874</v>
      </c>
      <c r="D254" s="139">
        <v>313</v>
      </c>
      <c r="E254" s="137" t="s">
        <v>848</v>
      </c>
    </row>
    <row r="255" spans="1:5" x14ac:dyDescent="0.15">
      <c r="A255" s="137" t="str">
        <f t="shared" si="3"/>
        <v>Nebraska - Total Local Government Units</v>
      </c>
      <c r="B255" s="137" t="s">
        <v>200</v>
      </c>
      <c r="C255" s="137" t="s">
        <v>867</v>
      </c>
      <c r="D255" s="139">
        <v>2538</v>
      </c>
      <c r="E255" s="137" t="s">
        <v>848</v>
      </c>
    </row>
    <row r="256" spans="1:5" x14ac:dyDescent="0.15">
      <c r="A256" s="137" t="str">
        <f t="shared" si="3"/>
        <v>Nebraska - Special Purpose Governments</v>
      </c>
      <c r="B256" s="137" t="s">
        <v>200</v>
      </c>
      <c r="C256" s="137" t="s">
        <v>868</v>
      </c>
      <c r="D256" s="139">
        <v>1550</v>
      </c>
      <c r="E256" s="137" t="s">
        <v>848</v>
      </c>
    </row>
    <row r="257" spans="1:5" x14ac:dyDescent="0.15">
      <c r="A257" s="137" t="str">
        <f t="shared" si="3"/>
        <v>Nebraska - General Purpose Governments</v>
      </c>
      <c r="B257" s="137" t="s">
        <v>200</v>
      </c>
      <c r="C257" s="137" t="s">
        <v>869</v>
      </c>
      <c r="D257" s="139">
        <v>988</v>
      </c>
      <c r="E257" s="137" t="s">
        <v>848</v>
      </c>
    </row>
    <row r="258" spans="1:5" x14ac:dyDescent="0.15">
      <c r="A258" s="137" t="str">
        <f t="shared" si="3"/>
        <v>Nebraska - County Governments</v>
      </c>
      <c r="B258" s="137" t="s">
        <v>200</v>
      </c>
      <c r="C258" s="137" t="s">
        <v>165</v>
      </c>
      <c r="D258" s="139">
        <v>93</v>
      </c>
      <c r="E258" s="137" t="s">
        <v>848</v>
      </c>
    </row>
    <row r="259" spans="1:5" x14ac:dyDescent="0.15">
      <c r="A259" s="137" t="str">
        <f t="shared" si="3"/>
        <v>Nebraska - Subcounty Governments</v>
      </c>
      <c r="B259" s="137" t="s">
        <v>200</v>
      </c>
      <c r="C259" s="137" t="s">
        <v>870</v>
      </c>
      <c r="D259" s="139">
        <v>895</v>
      </c>
      <c r="E259" s="137" t="s">
        <v>848</v>
      </c>
    </row>
    <row r="260" spans="1:5" x14ac:dyDescent="0.15">
      <c r="A260" s="137" t="str">
        <f t="shared" ref="A260:A323" si="4">_xlfn.CONCAT(B260," - ",C260)</f>
        <v>Nebraska - Subcounty Governments - Municipal Governments</v>
      </c>
      <c r="B260" s="137" t="s">
        <v>200</v>
      </c>
      <c r="C260" s="137" t="s">
        <v>871</v>
      </c>
      <c r="D260" s="139">
        <v>529</v>
      </c>
      <c r="E260" s="137" t="s">
        <v>848</v>
      </c>
    </row>
    <row r="261" spans="1:5" x14ac:dyDescent="0.15">
      <c r="A261" s="137" t="str">
        <f t="shared" si="4"/>
        <v>Nebraska - Subcounty Governments - Township Governments</v>
      </c>
      <c r="B261" s="137" t="s">
        <v>200</v>
      </c>
      <c r="C261" s="137" t="s">
        <v>872</v>
      </c>
      <c r="D261" s="139">
        <v>366</v>
      </c>
      <c r="E261" s="137" t="s">
        <v>848</v>
      </c>
    </row>
    <row r="262" spans="1:5" x14ac:dyDescent="0.15">
      <c r="A262" s="137" t="str">
        <f t="shared" si="4"/>
        <v>Nebraska - Special Purpose Governments - Special District Governments</v>
      </c>
      <c r="B262" s="137" t="s">
        <v>200</v>
      </c>
      <c r="C262" s="137" t="s">
        <v>873</v>
      </c>
      <c r="D262" s="139">
        <v>1281</v>
      </c>
      <c r="E262" s="137" t="s">
        <v>848</v>
      </c>
    </row>
    <row r="263" spans="1:5" x14ac:dyDescent="0.15">
      <c r="A263" s="137" t="str">
        <f t="shared" si="4"/>
        <v>Nebraska - Special Purpose Governments - Independent School District Governments</v>
      </c>
      <c r="B263" s="137" t="s">
        <v>200</v>
      </c>
      <c r="C263" s="137" t="s">
        <v>874</v>
      </c>
      <c r="D263" s="139">
        <v>269</v>
      </c>
      <c r="E263" s="137" t="s">
        <v>848</v>
      </c>
    </row>
    <row r="264" spans="1:5" x14ac:dyDescent="0.15">
      <c r="A264" s="137" t="str">
        <f t="shared" si="4"/>
        <v>Nevada - Total Local Government Units</v>
      </c>
      <c r="B264" s="137" t="s">
        <v>201</v>
      </c>
      <c r="C264" s="137" t="s">
        <v>867</v>
      </c>
      <c r="D264" s="139">
        <v>189</v>
      </c>
      <c r="E264" s="137" t="s">
        <v>848</v>
      </c>
    </row>
    <row r="265" spans="1:5" x14ac:dyDescent="0.15">
      <c r="A265" s="137" t="str">
        <f t="shared" si="4"/>
        <v>Nevada - Special Purpose Governments</v>
      </c>
      <c r="B265" s="137" t="s">
        <v>201</v>
      </c>
      <c r="C265" s="137" t="s">
        <v>868</v>
      </c>
      <c r="D265" s="139">
        <v>154</v>
      </c>
      <c r="E265" s="137" t="s">
        <v>848</v>
      </c>
    </row>
    <row r="266" spans="1:5" x14ac:dyDescent="0.15">
      <c r="A266" s="137" t="str">
        <f t="shared" si="4"/>
        <v>Nevada - General Purpose Governments</v>
      </c>
      <c r="B266" s="137" t="s">
        <v>201</v>
      </c>
      <c r="C266" s="137" t="s">
        <v>869</v>
      </c>
      <c r="D266" s="139">
        <v>35</v>
      </c>
      <c r="E266" s="137" t="s">
        <v>848</v>
      </c>
    </row>
    <row r="267" spans="1:5" x14ac:dyDescent="0.15">
      <c r="A267" s="137" t="str">
        <f t="shared" si="4"/>
        <v>Nevada - County Governments</v>
      </c>
      <c r="B267" s="137" t="s">
        <v>201</v>
      </c>
      <c r="C267" s="137" t="s">
        <v>165</v>
      </c>
      <c r="D267" s="139">
        <v>16</v>
      </c>
      <c r="E267" s="137" t="s">
        <v>848</v>
      </c>
    </row>
    <row r="268" spans="1:5" x14ac:dyDescent="0.15">
      <c r="A268" s="137" t="str">
        <f t="shared" si="4"/>
        <v>Nevada - Subcounty Governments</v>
      </c>
      <c r="B268" s="137" t="s">
        <v>201</v>
      </c>
      <c r="C268" s="137" t="s">
        <v>870</v>
      </c>
      <c r="D268" s="139">
        <v>19</v>
      </c>
      <c r="E268" s="137" t="s">
        <v>848</v>
      </c>
    </row>
    <row r="269" spans="1:5" x14ac:dyDescent="0.15">
      <c r="A269" s="137" t="str">
        <f t="shared" si="4"/>
        <v>Nevada - Subcounty Governments - Municipal Governments</v>
      </c>
      <c r="B269" s="137" t="s">
        <v>201</v>
      </c>
      <c r="C269" s="137" t="s">
        <v>871</v>
      </c>
      <c r="D269" s="139">
        <v>19</v>
      </c>
      <c r="E269" s="137" t="s">
        <v>848</v>
      </c>
    </row>
    <row r="270" spans="1:5" x14ac:dyDescent="0.15">
      <c r="A270" s="137" t="str">
        <f t="shared" si="4"/>
        <v>Nevada - Subcounty Governments - Township Governments</v>
      </c>
      <c r="B270" s="137" t="s">
        <v>201</v>
      </c>
      <c r="C270" s="137" t="s">
        <v>872</v>
      </c>
      <c r="D270" s="139">
        <v>0</v>
      </c>
      <c r="E270" s="137" t="s">
        <v>848</v>
      </c>
    </row>
    <row r="271" spans="1:5" x14ac:dyDescent="0.15">
      <c r="A271" s="137" t="str">
        <f t="shared" si="4"/>
        <v>Nevada - Special Purpose Governments - Special District Governments</v>
      </c>
      <c r="B271" s="137" t="s">
        <v>201</v>
      </c>
      <c r="C271" s="137" t="s">
        <v>873</v>
      </c>
      <c r="D271" s="139">
        <v>137</v>
      </c>
      <c r="E271" s="137" t="s">
        <v>848</v>
      </c>
    </row>
    <row r="272" spans="1:5" x14ac:dyDescent="0.15">
      <c r="A272" s="137" t="str">
        <f t="shared" si="4"/>
        <v>Nevada - Special Purpose Governments - Independent School District Governments</v>
      </c>
      <c r="B272" s="137" t="s">
        <v>201</v>
      </c>
      <c r="C272" s="137" t="s">
        <v>874</v>
      </c>
      <c r="D272" s="139">
        <v>17</v>
      </c>
      <c r="E272" s="137" t="s">
        <v>848</v>
      </c>
    </row>
    <row r="273" spans="1:5" x14ac:dyDescent="0.15">
      <c r="A273" s="137" t="str">
        <f t="shared" si="4"/>
        <v>New Hampshire - Total Local Government Units</v>
      </c>
      <c r="B273" s="137" t="s">
        <v>202</v>
      </c>
      <c r="C273" s="137" t="s">
        <v>867</v>
      </c>
      <c r="D273" s="139">
        <v>541</v>
      </c>
      <c r="E273" s="137" t="s">
        <v>848</v>
      </c>
    </row>
    <row r="274" spans="1:5" x14ac:dyDescent="0.15">
      <c r="A274" s="137" t="str">
        <f t="shared" si="4"/>
        <v>New Hampshire - Special Purpose Governments</v>
      </c>
      <c r="B274" s="137" t="s">
        <v>202</v>
      </c>
      <c r="C274" s="137" t="s">
        <v>868</v>
      </c>
      <c r="D274" s="139">
        <v>297</v>
      </c>
      <c r="E274" s="137" t="s">
        <v>848</v>
      </c>
    </row>
    <row r="275" spans="1:5" x14ac:dyDescent="0.15">
      <c r="A275" s="137" t="str">
        <f t="shared" si="4"/>
        <v>New Hampshire - General Purpose Governments</v>
      </c>
      <c r="B275" s="137" t="s">
        <v>202</v>
      </c>
      <c r="C275" s="137" t="s">
        <v>869</v>
      </c>
      <c r="D275" s="139">
        <v>244</v>
      </c>
      <c r="E275" s="137" t="s">
        <v>848</v>
      </c>
    </row>
    <row r="276" spans="1:5" x14ac:dyDescent="0.15">
      <c r="A276" s="137" t="str">
        <f t="shared" si="4"/>
        <v>New Hampshire - County Governments</v>
      </c>
      <c r="B276" s="137" t="s">
        <v>202</v>
      </c>
      <c r="C276" s="137" t="s">
        <v>165</v>
      </c>
      <c r="D276" s="139">
        <v>10</v>
      </c>
      <c r="E276" s="137" t="s">
        <v>848</v>
      </c>
    </row>
    <row r="277" spans="1:5" x14ac:dyDescent="0.15">
      <c r="A277" s="137" t="str">
        <f t="shared" si="4"/>
        <v>New Hampshire - Subcounty Governments</v>
      </c>
      <c r="B277" s="137" t="s">
        <v>202</v>
      </c>
      <c r="C277" s="137" t="s">
        <v>870</v>
      </c>
      <c r="D277" s="139">
        <v>234</v>
      </c>
      <c r="E277" s="137" t="s">
        <v>848</v>
      </c>
    </row>
    <row r="278" spans="1:5" x14ac:dyDescent="0.15">
      <c r="A278" s="137" t="str">
        <f t="shared" si="4"/>
        <v>New Hampshire - Subcounty Governments - Municipal Governments</v>
      </c>
      <c r="B278" s="137" t="s">
        <v>202</v>
      </c>
      <c r="C278" s="137" t="s">
        <v>871</v>
      </c>
      <c r="D278" s="139">
        <v>13</v>
      </c>
      <c r="E278" s="137" t="s">
        <v>848</v>
      </c>
    </row>
    <row r="279" spans="1:5" x14ac:dyDescent="0.15">
      <c r="A279" s="137" t="str">
        <f t="shared" si="4"/>
        <v>New Hampshire - Subcounty Governments - Township Governments</v>
      </c>
      <c r="B279" s="137" t="s">
        <v>202</v>
      </c>
      <c r="C279" s="137" t="s">
        <v>872</v>
      </c>
      <c r="D279" s="139">
        <v>221</v>
      </c>
      <c r="E279" s="137" t="s">
        <v>848</v>
      </c>
    </row>
    <row r="280" spans="1:5" x14ac:dyDescent="0.15">
      <c r="A280" s="137" t="str">
        <f t="shared" si="4"/>
        <v>New Hampshire - Special Purpose Governments - Special District Governments</v>
      </c>
      <c r="B280" s="137" t="s">
        <v>202</v>
      </c>
      <c r="C280" s="137" t="s">
        <v>873</v>
      </c>
      <c r="D280" s="139">
        <v>129</v>
      </c>
      <c r="E280" s="137" t="s">
        <v>848</v>
      </c>
    </row>
    <row r="281" spans="1:5" x14ac:dyDescent="0.15">
      <c r="A281" s="137" t="str">
        <f t="shared" si="4"/>
        <v>New Hampshire - Special Purpose Governments - Independent School District Governments</v>
      </c>
      <c r="B281" s="137" t="s">
        <v>202</v>
      </c>
      <c r="C281" s="137" t="s">
        <v>874</v>
      </c>
      <c r="D281" s="139">
        <v>168</v>
      </c>
      <c r="E281" s="137" t="s">
        <v>848</v>
      </c>
    </row>
    <row r="282" spans="1:5" x14ac:dyDescent="0.15">
      <c r="A282" s="137" t="str">
        <f t="shared" si="4"/>
        <v>New Jersey - Total Local Government Units</v>
      </c>
      <c r="B282" s="137" t="s">
        <v>203</v>
      </c>
      <c r="C282" s="137" t="s">
        <v>867</v>
      </c>
      <c r="D282" s="139">
        <v>1338</v>
      </c>
      <c r="E282" s="137" t="s">
        <v>848</v>
      </c>
    </row>
    <row r="283" spans="1:5" x14ac:dyDescent="0.15">
      <c r="A283" s="137" t="str">
        <f t="shared" si="4"/>
        <v>New Jersey - Special Purpose Governments</v>
      </c>
      <c r="B283" s="137" t="s">
        <v>203</v>
      </c>
      <c r="C283" s="137" t="s">
        <v>868</v>
      </c>
      <c r="D283" s="139">
        <v>752</v>
      </c>
      <c r="E283" s="137" t="s">
        <v>848</v>
      </c>
    </row>
    <row r="284" spans="1:5" x14ac:dyDescent="0.15">
      <c r="A284" s="137" t="str">
        <f t="shared" si="4"/>
        <v>New Jersey - General Purpose Governments</v>
      </c>
      <c r="B284" s="137" t="s">
        <v>203</v>
      </c>
      <c r="C284" s="137" t="s">
        <v>869</v>
      </c>
      <c r="D284" s="139">
        <v>586</v>
      </c>
      <c r="E284" s="137" t="s">
        <v>848</v>
      </c>
    </row>
    <row r="285" spans="1:5" x14ac:dyDescent="0.15">
      <c r="A285" s="137" t="str">
        <f t="shared" si="4"/>
        <v>New Jersey - County Governments</v>
      </c>
      <c r="B285" s="137" t="s">
        <v>203</v>
      </c>
      <c r="C285" s="137" t="s">
        <v>165</v>
      </c>
      <c r="D285" s="139">
        <v>21</v>
      </c>
      <c r="E285" s="137" t="s">
        <v>848</v>
      </c>
    </row>
    <row r="286" spans="1:5" x14ac:dyDescent="0.15">
      <c r="A286" s="137" t="str">
        <f t="shared" si="4"/>
        <v>New Jersey - Subcounty Governments</v>
      </c>
      <c r="B286" s="137" t="s">
        <v>203</v>
      </c>
      <c r="C286" s="137" t="s">
        <v>870</v>
      </c>
      <c r="D286" s="139">
        <v>565</v>
      </c>
      <c r="E286" s="137" t="s">
        <v>848</v>
      </c>
    </row>
    <row r="287" spans="1:5" x14ac:dyDescent="0.15">
      <c r="A287" s="137" t="str">
        <f t="shared" si="4"/>
        <v>New Jersey - Subcounty Governments - Municipal Governments</v>
      </c>
      <c r="B287" s="137" t="s">
        <v>203</v>
      </c>
      <c r="C287" s="137" t="s">
        <v>871</v>
      </c>
      <c r="D287" s="139">
        <v>324</v>
      </c>
      <c r="E287" s="137" t="s">
        <v>848</v>
      </c>
    </row>
    <row r="288" spans="1:5" x14ac:dyDescent="0.15">
      <c r="A288" s="137" t="str">
        <f t="shared" si="4"/>
        <v>New Jersey - Subcounty Governments - Township Governments</v>
      </c>
      <c r="B288" s="137" t="s">
        <v>203</v>
      </c>
      <c r="C288" s="137" t="s">
        <v>872</v>
      </c>
      <c r="D288" s="139">
        <v>241</v>
      </c>
      <c r="E288" s="137" t="s">
        <v>848</v>
      </c>
    </row>
    <row r="289" spans="1:5" x14ac:dyDescent="0.15">
      <c r="A289" s="137" t="str">
        <f t="shared" si="4"/>
        <v>New Jersey - Special Purpose Governments - Special District Governments</v>
      </c>
      <c r="B289" s="137" t="s">
        <v>203</v>
      </c>
      <c r="C289" s="137" t="s">
        <v>873</v>
      </c>
      <c r="D289" s="139">
        <v>233</v>
      </c>
      <c r="E289" s="137" t="s">
        <v>848</v>
      </c>
    </row>
    <row r="290" spans="1:5" x14ac:dyDescent="0.15">
      <c r="A290" s="137" t="str">
        <f t="shared" si="4"/>
        <v>New Jersey - Special Purpose Governments - Independent School District Governments</v>
      </c>
      <c r="B290" s="137" t="s">
        <v>203</v>
      </c>
      <c r="C290" s="137" t="s">
        <v>874</v>
      </c>
      <c r="D290" s="139">
        <v>519</v>
      </c>
      <c r="E290" s="137" t="s">
        <v>848</v>
      </c>
    </row>
    <row r="291" spans="1:5" x14ac:dyDescent="0.15">
      <c r="A291" s="137" t="str">
        <f t="shared" si="4"/>
        <v>New Mexico - Total Local Government Units</v>
      </c>
      <c r="B291" s="137" t="s">
        <v>204</v>
      </c>
      <c r="C291" s="137" t="s">
        <v>867</v>
      </c>
      <c r="D291" s="139">
        <v>1013</v>
      </c>
      <c r="E291" s="137" t="s">
        <v>848</v>
      </c>
    </row>
    <row r="292" spans="1:5" x14ac:dyDescent="0.15">
      <c r="A292" s="137" t="str">
        <f t="shared" si="4"/>
        <v>New Mexico - Special Purpose Governments</v>
      </c>
      <c r="B292" s="137" t="s">
        <v>204</v>
      </c>
      <c r="C292" s="137" t="s">
        <v>868</v>
      </c>
      <c r="D292" s="139">
        <v>875</v>
      </c>
      <c r="E292" s="137" t="s">
        <v>848</v>
      </c>
    </row>
    <row r="293" spans="1:5" x14ac:dyDescent="0.15">
      <c r="A293" s="137" t="str">
        <f t="shared" si="4"/>
        <v>New Mexico - General Purpose Governments</v>
      </c>
      <c r="B293" s="137" t="s">
        <v>204</v>
      </c>
      <c r="C293" s="137" t="s">
        <v>869</v>
      </c>
      <c r="D293" s="139">
        <v>138</v>
      </c>
      <c r="E293" s="137" t="s">
        <v>848</v>
      </c>
    </row>
    <row r="294" spans="1:5" x14ac:dyDescent="0.15">
      <c r="A294" s="137" t="str">
        <f t="shared" si="4"/>
        <v>New Mexico - County Governments</v>
      </c>
      <c r="B294" s="137" t="s">
        <v>204</v>
      </c>
      <c r="C294" s="137" t="s">
        <v>165</v>
      </c>
      <c r="D294" s="139">
        <v>33</v>
      </c>
      <c r="E294" s="137" t="s">
        <v>848</v>
      </c>
    </row>
    <row r="295" spans="1:5" x14ac:dyDescent="0.15">
      <c r="A295" s="137" t="str">
        <f t="shared" si="4"/>
        <v>New Mexico - Subcounty Governments</v>
      </c>
      <c r="B295" s="137" t="s">
        <v>204</v>
      </c>
      <c r="C295" s="137" t="s">
        <v>870</v>
      </c>
      <c r="D295" s="139">
        <v>105</v>
      </c>
      <c r="E295" s="137" t="s">
        <v>848</v>
      </c>
    </row>
    <row r="296" spans="1:5" x14ac:dyDescent="0.15">
      <c r="A296" s="137" t="str">
        <f t="shared" si="4"/>
        <v>New Mexico - Subcounty Governments - Municipal Governments</v>
      </c>
      <c r="B296" s="137" t="s">
        <v>204</v>
      </c>
      <c r="C296" s="137" t="s">
        <v>871</v>
      </c>
      <c r="D296" s="139">
        <v>105</v>
      </c>
      <c r="E296" s="137" t="s">
        <v>848</v>
      </c>
    </row>
    <row r="297" spans="1:5" x14ac:dyDescent="0.15">
      <c r="A297" s="137" t="str">
        <f t="shared" si="4"/>
        <v>New Mexico - Subcounty Governments - Township Governments</v>
      </c>
      <c r="B297" s="137" t="s">
        <v>204</v>
      </c>
      <c r="C297" s="137" t="s">
        <v>872</v>
      </c>
      <c r="D297" s="139">
        <v>0</v>
      </c>
      <c r="E297" s="137" t="s">
        <v>848</v>
      </c>
    </row>
    <row r="298" spans="1:5" x14ac:dyDescent="0.15">
      <c r="A298" s="137" t="str">
        <f t="shared" si="4"/>
        <v>New Mexico - Special Purpose Governments - Special District Governments</v>
      </c>
      <c r="B298" s="137" t="s">
        <v>204</v>
      </c>
      <c r="C298" s="137" t="s">
        <v>873</v>
      </c>
      <c r="D298" s="139">
        <v>779</v>
      </c>
      <c r="E298" s="137" t="s">
        <v>848</v>
      </c>
    </row>
    <row r="299" spans="1:5" x14ac:dyDescent="0.15">
      <c r="A299" s="137" t="str">
        <f t="shared" si="4"/>
        <v>New Mexico - Special Purpose Governments - Independent School District Governments</v>
      </c>
      <c r="B299" s="137" t="s">
        <v>204</v>
      </c>
      <c r="C299" s="137" t="s">
        <v>874</v>
      </c>
      <c r="D299" s="139">
        <v>96</v>
      </c>
      <c r="E299" s="137" t="s">
        <v>848</v>
      </c>
    </row>
    <row r="300" spans="1:5" x14ac:dyDescent="0.15">
      <c r="A300" s="137" t="str">
        <f t="shared" si="4"/>
        <v>New York - Total Local Government Units</v>
      </c>
      <c r="B300" s="137" t="s">
        <v>205</v>
      </c>
      <c r="C300" s="137" t="s">
        <v>867</v>
      </c>
      <c r="D300" s="139">
        <v>3450</v>
      </c>
      <c r="E300" s="137" t="s">
        <v>848</v>
      </c>
    </row>
    <row r="301" spans="1:5" x14ac:dyDescent="0.15">
      <c r="A301" s="137" t="str">
        <f t="shared" si="4"/>
        <v>New York - Special Purpose Governments</v>
      </c>
      <c r="B301" s="137" t="s">
        <v>205</v>
      </c>
      <c r="C301" s="137" t="s">
        <v>868</v>
      </c>
      <c r="D301" s="139">
        <v>1863</v>
      </c>
      <c r="E301" s="137" t="s">
        <v>848</v>
      </c>
    </row>
    <row r="302" spans="1:5" x14ac:dyDescent="0.15">
      <c r="A302" s="137" t="str">
        <f t="shared" si="4"/>
        <v>New York - General Purpose Governments</v>
      </c>
      <c r="B302" s="137" t="s">
        <v>205</v>
      </c>
      <c r="C302" s="137" t="s">
        <v>869</v>
      </c>
      <c r="D302" s="139">
        <v>1587</v>
      </c>
      <c r="E302" s="137" t="s">
        <v>848</v>
      </c>
    </row>
    <row r="303" spans="1:5" x14ac:dyDescent="0.15">
      <c r="A303" s="137" t="str">
        <f t="shared" si="4"/>
        <v>New York - County Governments</v>
      </c>
      <c r="B303" s="137" t="s">
        <v>205</v>
      </c>
      <c r="C303" s="137" t="s">
        <v>165</v>
      </c>
      <c r="D303" s="139">
        <v>57</v>
      </c>
      <c r="E303" s="137" t="s">
        <v>848</v>
      </c>
    </row>
    <row r="304" spans="1:5" x14ac:dyDescent="0.15">
      <c r="A304" s="137" t="str">
        <f t="shared" si="4"/>
        <v>New York - Subcounty Governments</v>
      </c>
      <c r="B304" s="137" t="s">
        <v>205</v>
      </c>
      <c r="C304" s="137" t="s">
        <v>870</v>
      </c>
      <c r="D304" s="139">
        <v>1530</v>
      </c>
      <c r="E304" s="137" t="s">
        <v>848</v>
      </c>
    </row>
    <row r="305" spans="1:5" x14ac:dyDescent="0.15">
      <c r="A305" s="137" t="str">
        <f t="shared" si="4"/>
        <v>New York - Subcounty Governments - Municipal Governments</v>
      </c>
      <c r="B305" s="137" t="s">
        <v>205</v>
      </c>
      <c r="C305" s="137" t="s">
        <v>871</v>
      </c>
      <c r="D305" s="139">
        <v>601</v>
      </c>
      <c r="E305" s="137" t="s">
        <v>848</v>
      </c>
    </row>
    <row r="306" spans="1:5" x14ac:dyDescent="0.15">
      <c r="A306" s="137" t="str">
        <f t="shared" si="4"/>
        <v>New York - Subcounty Governments - Township Governments</v>
      </c>
      <c r="B306" s="137" t="s">
        <v>205</v>
      </c>
      <c r="C306" s="137" t="s">
        <v>872</v>
      </c>
      <c r="D306" s="139">
        <v>929</v>
      </c>
      <c r="E306" s="137" t="s">
        <v>848</v>
      </c>
    </row>
    <row r="307" spans="1:5" x14ac:dyDescent="0.15">
      <c r="A307" s="137" t="str">
        <f t="shared" si="4"/>
        <v>New York - Special Purpose Governments - Special District Governments</v>
      </c>
      <c r="B307" s="137" t="s">
        <v>205</v>
      </c>
      <c r="C307" s="137" t="s">
        <v>873</v>
      </c>
      <c r="D307" s="139">
        <v>1185</v>
      </c>
      <c r="E307" s="137" t="s">
        <v>848</v>
      </c>
    </row>
    <row r="308" spans="1:5" x14ac:dyDescent="0.15">
      <c r="A308" s="137" t="str">
        <f t="shared" si="4"/>
        <v>New York - Special Purpose Governments - Independent School District Governments</v>
      </c>
      <c r="B308" s="137" t="s">
        <v>205</v>
      </c>
      <c r="C308" s="137" t="s">
        <v>874</v>
      </c>
      <c r="D308" s="139">
        <v>678</v>
      </c>
      <c r="E308" s="137" t="s">
        <v>848</v>
      </c>
    </row>
    <row r="309" spans="1:5" x14ac:dyDescent="0.15">
      <c r="A309" s="137" t="str">
        <f t="shared" si="4"/>
        <v>North Carolina - Total Local Government Units</v>
      </c>
      <c r="B309" s="137" t="s">
        <v>206</v>
      </c>
      <c r="C309" s="137" t="s">
        <v>867</v>
      </c>
      <c r="D309" s="139">
        <v>970</v>
      </c>
      <c r="E309" s="137" t="s">
        <v>848</v>
      </c>
    </row>
    <row r="310" spans="1:5" x14ac:dyDescent="0.15">
      <c r="A310" s="137" t="str">
        <f t="shared" si="4"/>
        <v>North Carolina - Special Purpose Governments</v>
      </c>
      <c r="B310" s="137" t="s">
        <v>206</v>
      </c>
      <c r="C310" s="137" t="s">
        <v>868</v>
      </c>
      <c r="D310" s="139">
        <v>318</v>
      </c>
      <c r="E310" s="137" t="s">
        <v>848</v>
      </c>
    </row>
    <row r="311" spans="1:5" x14ac:dyDescent="0.15">
      <c r="A311" s="137" t="str">
        <f t="shared" si="4"/>
        <v>North Carolina - General Purpose Governments</v>
      </c>
      <c r="B311" s="137" t="s">
        <v>206</v>
      </c>
      <c r="C311" s="137" t="s">
        <v>869</v>
      </c>
      <c r="D311" s="139">
        <v>652</v>
      </c>
      <c r="E311" s="137" t="s">
        <v>848</v>
      </c>
    </row>
    <row r="312" spans="1:5" x14ac:dyDescent="0.15">
      <c r="A312" s="137" t="str">
        <f t="shared" si="4"/>
        <v>North Carolina - County Governments</v>
      </c>
      <c r="B312" s="137" t="s">
        <v>206</v>
      </c>
      <c r="C312" s="137" t="s">
        <v>165</v>
      </c>
      <c r="D312" s="139">
        <v>100</v>
      </c>
      <c r="E312" s="137" t="s">
        <v>848</v>
      </c>
    </row>
    <row r="313" spans="1:5" x14ac:dyDescent="0.15">
      <c r="A313" s="137" t="str">
        <f t="shared" si="4"/>
        <v>North Carolina - Subcounty Governments</v>
      </c>
      <c r="B313" s="137" t="s">
        <v>206</v>
      </c>
      <c r="C313" s="137" t="s">
        <v>870</v>
      </c>
      <c r="D313" s="139">
        <v>552</v>
      </c>
      <c r="E313" s="137" t="s">
        <v>848</v>
      </c>
    </row>
    <row r="314" spans="1:5" x14ac:dyDescent="0.15">
      <c r="A314" s="137" t="str">
        <f t="shared" si="4"/>
        <v>North Carolina - Subcounty Governments - Municipal Governments</v>
      </c>
      <c r="B314" s="137" t="s">
        <v>206</v>
      </c>
      <c r="C314" s="137" t="s">
        <v>871</v>
      </c>
      <c r="D314" s="139">
        <v>552</v>
      </c>
      <c r="E314" s="137" t="s">
        <v>848</v>
      </c>
    </row>
    <row r="315" spans="1:5" x14ac:dyDescent="0.15">
      <c r="A315" s="137" t="str">
        <f t="shared" si="4"/>
        <v>North Carolina - Subcounty Governments - Township Governments</v>
      </c>
      <c r="B315" s="137" t="s">
        <v>206</v>
      </c>
      <c r="C315" s="137" t="s">
        <v>872</v>
      </c>
      <c r="D315" s="139">
        <v>0</v>
      </c>
      <c r="E315" s="137" t="s">
        <v>848</v>
      </c>
    </row>
    <row r="316" spans="1:5" x14ac:dyDescent="0.15">
      <c r="A316" s="137" t="str">
        <f t="shared" si="4"/>
        <v>North Carolina - Special Purpose Governments - Special District Governments</v>
      </c>
      <c r="B316" s="137" t="s">
        <v>206</v>
      </c>
      <c r="C316" s="137" t="s">
        <v>873</v>
      </c>
      <c r="D316" s="139">
        <v>318</v>
      </c>
      <c r="E316" s="137" t="s">
        <v>848</v>
      </c>
    </row>
    <row r="317" spans="1:5" x14ac:dyDescent="0.15">
      <c r="A317" s="137" t="str">
        <f t="shared" si="4"/>
        <v>North Carolina - Special Purpose Governments - Independent School District Governments</v>
      </c>
      <c r="B317" s="137" t="s">
        <v>206</v>
      </c>
      <c r="C317" s="137" t="s">
        <v>874</v>
      </c>
      <c r="D317" s="139">
        <v>0</v>
      </c>
      <c r="E317" s="137" t="s">
        <v>848</v>
      </c>
    </row>
    <row r="318" spans="1:5" x14ac:dyDescent="0.15">
      <c r="A318" s="137" t="str">
        <f t="shared" si="4"/>
        <v>North Dakota - Total Local Government Units</v>
      </c>
      <c r="B318" s="137" t="s">
        <v>207</v>
      </c>
      <c r="C318" s="137" t="s">
        <v>867</v>
      </c>
      <c r="D318" s="139">
        <v>2664</v>
      </c>
      <c r="E318" s="137" t="s">
        <v>848</v>
      </c>
    </row>
    <row r="319" spans="1:5" x14ac:dyDescent="0.15">
      <c r="A319" s="137" t="str">
        <f t="shared" si="4"/>
        <v>North Dakota - Special Purpose Governments</v>
      </c>
      <c r="B319" s="137" t="s">
        <v>207</v>
      </c>
      <c r="C319" s="137" t="s">
        <v>868</v>
      </c>
      <c r="D319" s="139">
        <v>946</v>
      </c>
      <c r="E319" s="137" t="s">
        <v>848</v>
      </c>
    </row>
    <row r="320" spans="1:5" x14ac:dyDescent="0.15">
      <c r="A320" s="137" t="str">
        <f t="shared" si="4"/>
        <v>North Dakota - General Purpose Governments</v>
      </c>
      <c r="B320" s="137" t="s">
        <v>207</v>
      </c>
      <c r="C320" s="137" t="s">
        <v>869</v>
      </c>
      <c r="D320" s="139">
        <v>1718</v>
      </c>
      <c r="E320" s="137" t="s">
        <v>848</v>
      </c>
    </row>
    <row r="321" spans="1:5" x14ac:dyDescent="0.15">
      <c r="A321" s="137" t="str">
        <f t="shared" si="4"/>
        <v>North Dakota - County Governments</v>
      </c>
      <c r="B321" s="137" t="s">
        <v>207</v>
      </c>
      <c r="C321" s="137" t="s">
        <v>165</v>
      </c>
      <c r="D321" s="139">
        <v>53</v>
      </c>
      <c r="E321" s="137" t="s">
        <v>848</v>
      </c>
    </row>
    <row r="322" spans="1:5" x14ac:dyDescent="0.15">
      <c r="A322" s="137" t="str">
        <f t="shared" si="4"/>
        <v>North Dakota - Subcounty Governments</v>
      </c>
      <c r="B322" s="137" t="s">
        <v>207</v>
      </c>
      <c r="C322" s="137" t="s">
        <v>870</v>
      </c>
      <c r="D322" s="139">
        <v>1665</v>
      </c>
      <c r="E322" s="137" t="s">
        <v>848</v>
      </c>
    </row>
    <row r="323" spans="1:5" x14ac:dyDescent="0.15">
      <c r="A323" s="137" t="str">
        <f t="shared" si="4"/>
        <v>North Dakota - Subcounty Governments - Municipal Governments</v>
      </c>
      <c r="B323" s="137" t="s">
        <v>207</v>
      </c>
      <c r="C323" s="137" t="s">
        <v>871</v>
      </c>
      <c r="D323" s="139">
        <v>357</v>
      </c>
      <c r="E323" s="137" t="s">
        <v>848</v>
      </c>
    </row>
    <row r="324" spans="1:5" x14ac:dyDescent="0.15">
      <c r="A324" s="137" t="str">
        <f t="shared" ref="A324:A387" si="5">_xlfn.CONCAT(B324," - ",C324)</f>
        <v>North Dakota - Subcounty Governments - Township Governments</v>
      </c>
      <c r="B324" s="137" t="s">
        <v>207</v>
      </c>
      <c r="C324" s="137" t="s">
        <v>872</v>
      </c>
      <c r="D324" s="139">
        <v>1308</v>
      </c>
      <c r="E324" s="137" t="s">
        <v>848</v>
      </c>
    </row>
    <row r="325" spans="1:5" x14ac:dyDescent="0.15">
      <c r="A325" s="137" t="str">
        <f t="shared" si="5"/>
        <v>North Dakota - Special Purpose Governments - Special District Governments</v>
      </c>
      <c r="B325" s="137" t="s">
        <v>207</v>
      </c>
      <c r="C325" s="137" t="s">
        <v>873</v>
      </c>
      <c r="D325" s="139">
        <v>767</v>
      </c>
      <c r="E325" s="137" t="s">
        <v>848</v>
      </c>
    </row>
    <row r="326" spans="1:5" x14ac:dyDescent="0.15">
      <c r="A326" s="137" t="str">
        <f t="shared" si="5"/>
        <v>North Dakota - Special Purpose Governments - Independent School District Governments</v>
      </c>
      <c r="B326" s="137" t="s">
        <v>207</v>
      </c>
      <c r="C326" s="137" t="s">
        <v>874</v>
      </c>
      <c r="D326" s="139">
        <v>179</v>
      </c>
      <c r="E326" s="137" t="s">
        <v>848</v>
      </c>
    </row>
    <row r="327" spans="1:5" x14ac:dyDescent="0.15">
      <c r="A327" s="137" t="str">
        <f t="shared" si="5"/>
        <v>Ohio - Total Local Government Units</v>
      </c>
      <c r="B327" s="137" t="s">
        <v>208</v>
      </c>
      <c r="C327" s="137" t="s">
        <v>867</v>
      </c>
      <c r="D327" s="139">
        <v>3897</v>
      </c>
      <c r="E327" s="137" t="s">
        <v>848</v>
      </c>
    </row>
    <row r="328" spans="1:5" x14ac:dyDescent="0.15">
      <c r="A328" s="137" t="str">
        <f t="shared" si="5"/>
        <v>Ohio - Special Purpose Governments</v>
      </c>
      <c r="B328" s="137" t="s">
        <v>208</v>
      </c>
      <c r="C328" s="137" t="s">
        <v>868</v>
      </c>
      <c r="D328" s="139">
        <v>1570</v>
      </c>
      <c r="E328" s="137" t="s">
        <v>848</v>
      </c>
    </row>
    <row r="329" spans="1:5" x14ac:dyDescent="0.15">
      <c r="A329" s="137" t="str">
        <f t="shared" si="5"/>
        <v>Ohio - General Purpose Governments</v>
      </c>
      <c r="B329" s="137" t="s">
        <v>208</v>
      </c>
      <c r="C329" s="137" t="s">
        <v>869</v>
      </c>
      <c r="D329" s="139">
        <v>2327</v>
      </c>
      <c r="E329" s="137" t="s">
        <v>848</v>
      </c>
    </row>
    <row r="330" spans="1:5" x14ac:dyDescent="0.15">
      <c r="A330" s="137" t="str">
        <f t="shared" si="5"/>
        <v>Ohio - County Governments</v>
      </c>
      <c r="B330" s="137" t="s">
        <v>208</v>
      </c>
      <c r="C330" s="137" t="s">
        <v>165</v>
      </c>
      <c r="D330" s="139">
        <v>88</v>
      </c>
      <c r="E330" s="137" t="s">
        <v>848</v>
      </c>
    </row>
    <row r="331" spans="1:5" x14ac:dyDescent="0.15">
      <c r="A331" s="137" t="str">
        <f t="shared" si="5"/>
        <v>Ohio - Subcounty Governments</v>
      </c>
      <c r="B331" s="137" t="s">
        <v>208</v>
      </c>
      <c r="C331" s="137" t="s">
        <v>870</v>
      </c>
      <c r="D331" s="139">
        <v>2239</v>
      </c>
      <c r="E331" s="137" t="s">
        <v>848</v>
      </c>
    </row>
    <row r="332" spans="1:5" x14ac:dyDescent="0.15">
      <c r="A332" s="137" t="str">
        <f t="shared" si="5"/>
        <v>Ohio - Subcounty Governments - Municipal Governments</v>
      </c>
      <c r="B332" s="137" t="s">
        <v>208</v>
      </c>
      <c r="C332" s="137" t="s">
        <v>871</v>
      </c>
      <c r="D332" s="139">
        <v>931</v>
      </c>
      <c r="E332" s="137" t="s">
        <v>848</v>
      </c>
    </row>
    <row r="333" spans="1:5" x14ac:dyDescent="0.15">
      <c r="A333" s="137" t="str">
        <f t="shared" si="5"/>
        <v>Ohio - Subcounty Governments - Township Governments</v>
      </c>
      <c r="B333" s="137" t="s">
        <v>208</v>
      </c>
      <c r="C333" s="137" t="s">
        <v>872</v>
      </c>
      <c r="D333" s="139">
        <v>1308</v>
      </c>
      <c r="E333" s="137" t="s">
        <v>848</v>
      </c>
    </row>
    <row r="334" spans="1:5" x14ac:dyDescent="0.15">
      <c r="A334" s="137" t="str">
        <f t="shared" si="5"/>
        <v>Ohio - Special Purpose Governments - Special District Governments</v>
      </c>
      <c r="B334" s="137" t="s">
        <v>208</v>
      </c>
      <c r="C334" s="137" t="s">
        <v>873</v>
      </c>
      <c r="D334" s="139">
        <v>904</v>
      </c>
      <c r="E334" s="137" t="s">
        <v>848</v>
      </c>
    </row>
    <row r="335" spans="1:5" x14ac:dyDescent="0.15">
      <c r="A335" s="137" t="str">
        <f t="shared" si="5"/>
        <v>Ohio - Special Purpose Governments - Independent School District Governments</v>
      </c>
      <c r="B335" s="137" t="s">
        <v>208</v>
      </c>
      <c r="C335" s="137" t="s">
        <v>874</v>
      </c>
      <c r="D335" s="139">
        <v>666</v>
      </c>
      <c r="E335" s="137" t="s">
        <v>848</v>
      </c>
    </row>
    <row r="336" spans="1:5" x14ac:dyDescent="0.15">
      <c r="A336" s="137" t="str">
        <f t="shared" si="5"/>
        <v>Oklahoma - Total Local Government Units</v>
      </c>
      <c r="B336" s="137" t="s">
        <v>209</v>
      </c>
      <c r="C336" s="137" t="s">
        <v>867</v>
      </c>
      <c r="D336" s="139">
        <v>1830</v>
      </c>
      <c r="E336" s="137" t="s">
        <v>848</v>
      </c>
    </row>
    <row r="337" spans="1:5" x14ac:dyDescent="0.15">
      <c r="A337" s="137" t="str">
        <f t="shared" si="5"/>
        <v>Oklahoma - Special Purpose Governments</v>
      </c>
      <c r="B337" s="137" t="s">
        <v>209</v>
      </c>
      <c r="C337" s="137" t="s">
        <v>868</v>
      </c>
      <c r="D337" s="139">
        <v>1163</v>
      </c>
      <c r="E337" s="137" t="s">
        <v>848</v>
      </c>
    </row>
    <row r="338" spans="1:5" x14ac:dyDescent="0.15">
      <c r="A338" s="137" t="str">
        <f t="shared" si="5"/>
        <v>Oklahoma - General Purpose Governments</v>
      </c>
      <c r="B338" s="137" t="s">
        <v>209</v>
      </c>
      <c r="C338" s="137" t="s">
        <v>869</v>
      </c>
      <c r="D338" s="139">
        <v>667</v>
      </c>
      <c r="E338" s="137" t="s">
        <v>848</v>
      </c>
    </row>
    <row r="339" spans="1:5" x14ac:dyDescent="0.15">
      <c r="A339" s="137" t="str">
        <f t="shared" si="5"/>
        <v>Oklahoma - County Governments</v>
      </c>
      <c r="B339" s="137" t="s">
        <v>209</v>
      </c>
      <c r="C339" s="137" t="s">
        <v>165</v>
      </c>
      <c r="D339" s="139">
        <v>77</v>
      </c>
      <c r="E339" s="137" t="s">
        <v>848</v>
      </c>
    </row>
    <row r="340" spans="1:5" x14ac:dyDescent="0.15">
      <c r="A340" s="137" t="str">
        <f t="shared" si="5"/>
        <v>Oklahoma - Subcounty Governments</v>
      </c>
      <c r="B340" s="137" t="s">
        <v>209</v>
      </c>
      <c r="C340" s="137" t="s">
        <v>870</v>
      </c>
      <c r="D340" s="139">
        <v>590</v>
      </c>
      <c r="E340" s="137" t="s">
        <v>848</v>
      </c>
    </row>
    <row r="341" spans="1:5" x14ac:dyDescent="0.15">
      <c r="A341" s="137" t="str">
        <f t="shared" si="5"/>
        <v>Oklahoma - Subcounty Governments - Municipal Governments</v>
      </c>
      <c r="B341" s="137" t="s">
        <v>209</v>
      </c>
      <c r="C341" s="137" t="s">
        <v>871</v>
      </c>
      <c r="D341" s="139">
        <v>590</v>
      </c>
      <c r="E341" s="137" t="s">
        <v>848</v>
      </c>
    </row>
    <row r="342" spans="1:5" x14ac:dyDescent="0.15">
      <c r="A342" s="137" t="str">
        <f t="shared" si="5"/>
        <v>Oklahoma - Subcounty Governments - Township Governments</v>
      </c>
      <c r="B342" s="137" t="s">
        <v>209</v>
      </c>
      <c r="C342" s="137" t="s">
        <v>872</v>
      </c>
      <c r="D342" s="139">
        <v>0</v>
      </c>
      <c r="E342" s="137" t="s">
        <v>848</v>
      </c>
    </row>
    <row r="343" spans="1:5" x14ac:dyDescent="0.15">
      <c r="A343" s="137" t="str">
        <f t="shared" si="5"/>
        <v>Oklahoma - Special Purpose Governments - Special District Governments</v>
      </c>
      <c r="B343" s="137" t="s">
        <v>209</v>
      </c>
      <c r="C343" s="137" t="s">
        <v>873</v>
      </c>
      <c r="D343" s="139">
        <v>621</v>
      </c>
      <c r="E343" s="137" t="s">
        <v>848</v>
      </c>
    </row>
    <row r="344" spans="1:5" x14ac:dyDescent="0.15">
      <c r="A344" s="137" t="str">
        <f t="shared" si="5"/>
        <v>Oklahoma - Special Purpose Governments - Independent School District Governments</v>
      </c>
      <c r="B344" s="137" t="s">
        <v>209</v>
      </c>
      <c r="C344" s="137" t="s">
        <v>874</v>
      </c>
      <c r="D344" s="139">
        <v>542</v>
      </c>
      <c r="E344" s="137" t="s">
        <v>848</v>
      </c>
    </row>
    <row r="345" spans="1:5" x14ac:dyDescent="0.15">
      <c r="A345" s="137" t="str">
        <f t="shared" si="5"/>
        <v>Oregon - Total Local Government Units</v>
      </c>
      <c r="B345" s="137" t="s">
        <v>210</v>
      </c>
      <c r="C345" s="137" t="s">
        <v>867</v>
      </c>
      <c r="D345" s="139">
        <v>1510</v>
      </c>
      <c r="E345" s="137" t="s">
        <v>848</v>
      </c>
    </row>
    <row r="346" spans="1:5" x14ac:dyDescent="0.15">
      <c r="A346" s="137" t="str">
        <f t="shared" si="5"/>
        <v>Oregon - Special Purpose Governments</v>
      </c>
      <c r="B346" s="137" t="s">
        <v>210</v>
      </c>
      <c r="C346" s="137" t="s">
        <v>868</v>
      </c>
      <c r="D346" s="139">
        <v>1234</v>
      </c>
      <c r="E346" s="137" t="s">
        <v>848</v>
      </c>
    </row>
    <row r="347" spans="1:5" x14ac:dyDescent="0.15">
      <c r="A347" s="137" t="str">
        <f t="shared" si="5"/>
        <v>Oregon - General Purpose Governments</v>
      </c>
      <c r="B347" s="137" t="s">
        <v>210</v>
      </c>
      <c r="C347" s="137" t="s">
        <v>869</v>
      </c>
      <c r="D347" s="139">
        <v>276</v>
      </c>
      <c r="E347" s="137" t="s">
        <v>848</v>
      </c>
    </row>
    <row r="348" spans="1:5" x14ac:dyDescent="0.15">
      <c r="A348" s="137" t="str">
        <f t="shared" si="5"/>
        <v>Oregon - County Governments</v>
      </c>
      <c r="B348" s="137" t="s">
        <v>210</v>
      </c>
      <c r="C348" s="137" t="s">
        <v>165</v>
      </c>
      <c r="D348" s="139">
        <v>36</v>
      </c>
      <c r="E348" s="137" t="s">
        <v>848</v>
      </c>
    </row>
    <row r="349" spans="1:5" x14ac:dyDescent="0.15">
      <c r="A349" s="137" t="str">
        <f t="shared" si="5"/>
        <v>Oregon - Subcounty Governments</v>
      </c>
      <c r="B349" s="137" t="s">
        <v>210</v>
      </c>
      <c r="C349" s="137" t="s">
        <v>870</v>
      </c>
      <c r="D349" s="139">
        <v>240</v>
      </c>
      <c r="E349" s="137" t="s">
        <v>848</v>
      </c>
    </row>
    <row r="350" spans="1:5" x14ac:dyDescent="0.15">
      <c r="A350" s="137" t="str">
        <f t="shared" si="5"/>
        <v>Oregon - Subcounty Governments - Municipal Governments</v>
      </c>
      <c r="B350" s="137" t="s">
        <v>210</v>
      </c>
      <c r="C350" s="137" t="s">
        <v>871</v>
      </c>
      <c r="D350" s="139">
        <v>240</v>
      </c>
      <c r="E350" s="137" t="s">
        <v>848</v>
      </c>
    </row>
    <row r="351" spans="1:5" x14ac:dyDescent="0.15">
      <c r="A351" s="137" t="str">
        <f t="shared" si="5"/>
        <v>Oregon - Subcounty Governments - Township Governments</v>
      </c>
      <c r="B351" s="137" t="s">
        <v>210</v>
      </c>
      <c r="C351" s="137" t="s">
        <v>872</v>
      </c>
      <c r="D351" s="139">
        <v>0</v>
      </c>
      <c r="E351" s="137" t="s">
        <v>848</v>
      </c>
    </row>
    <row r="352" spans="1:5" x14ac:dyDescent="0.15">
      <c r="A352" s="137" t="str">
        <f t="shared" si="5"/>
        <v>Oregon - Special Purpose Governments - Special District Governments</v>
      </c>
      <c r="B352" s="137" t="s">
        <v>210</v>
      </c>
      <c r="C352" s="137" t="s">
        <v>873</v>
      </c>
      <c r="D352" s="139">
        <v>1004</v>
      </c>
      <c r="E352" s="137" t="s">
        <v>848</v>
      </c>
    </row>
    <row r="353" spans="1:5" x14ac:dyDescent="0.15">
      <c r="A353" s="137" t="str">
        <f t="shared" si="5"/>
        <v>Oregon - Special Purpose Governments - Independent School District Governments</v>
      </c>
      <c r="B353" s="137" t="s">
        <v>210</v>
      </c>
      <c r="C353" s="137" t="s">
        <v>874</v>
      </c>
      <c r="D353" s="139">
        <v>230</v>
      </c>
      <c r="E353" s="137" t="s">
        <v>848</v>
      </c>
    </row>
    <row r="354" spans="1:5" x14ac:dyDescent="0.15">
      <c r="A354" s="137" t="str">
        <f t="shared" si="5"/>
        <v>Pennsylvania - Total Local Government Units</v>
      </c>
      <c r="B354" s="137" t="s">
        <v>211</v>
      </c>
      <c r="C354" s="137" t="s">
        <v>867</v>
      </c>
      <c r="D354" s="139">
        <v>4830</v>
      </c>
      <c r="E354" s="137" t="s">
        <v>848</v>
      </c>
    </row>
    <row r="355" spans="1:5" x14ac:dyDescent="0.15">
      <c r="A355" s="137" t="str">
        <f t="shared" si="5"/>
        <v>Pennsylvania - Special Purpose Governments</v>
      </c>
      <c r="B355" s="137" t="s">
        <v>211</v>
      </c>
      <c r="C355" s="137" t="s">
        <v>868</v>
      </c>
      <c r="D355" s="139">
        <v>2205</v>
      </c>
      <c r="E355" s="137" t="s">
        <v>848</v>
      </c>
    </row>
    <row r="356" spans="1:5" x14ac:dyDescent="0.15">
      <c r="A356" s="137" t="str">
        <f t="shared" si="5"/>
        <v>Pennsylvania - General Purpose Governments</v>
      </c>
      <c r="B356" s="137" t="s">
        <v>211</v>
      </c>
      <c r="C356" s="137" t="s">
        <v>869</v>
      </c>
      <c r="D356" s="139">
        <v>2625</v>
      </c>
      <c r="E356" s="137" t="s">
        <v>848</v>
      </c>
    </row>
    <row r="357" spans="1:5" x14ac:dyDescent="0.15">
      <c r="A357" s="137" t="str">
        <f t="shared" si="5"/>
        <v>Pennsylvania - County Governments</v>
      </c>
      <c r="B357" s="137" t="s">
        <v>211</v>
      </c>
      <c r="C357" s="137" t="s">
        <v>165</v>
      </c>
      <c r="D357" s="139">
        <v>66</v>
      </c>
      <c r="E357" s="137" t="s">
        <v>848</v>
      </c>
    </row>
    <row r="358" spans="1:5" x14ac:dyDescent="0.15">
      <c r="A358" s="137" t="str">
        <f t="shared" si="5"/>
        <v>Pennsylvania - Subcounty Governments</v>
      </c>
      <c r="B358" s="137" t="s">
        <v>211</v>
      </c>
      <c r="C358" s="137" t="s">
        <v>870</v>
      </c>
      <c r="D358" s="139">
        <v>2559</v>
      </c>
      <c r="E358" s="137" t="s">
        <v>848</v>
      </c>
    </row>
    <row r="359" spans="1:5" x14ac:dyDescent="0.15">
      <c r="A359" s="137" t="str">
        <f t="shared" si="5"/>
        <v>Pennsylvania - Subcounty Governments - Municipal Governments</v>
      </c>
      <c r="B359" s="137" t="s">
        <v>211</v>
      </c>
      <c r="C359" s="137" t="s">
        <v>871</v>
      </c>
      <c r="D359" s="139">
        <v>1013</v>
      </c>
      <c r="E359" s="137" t="s">
        <v>848</v>
      </c>
    </row>
    <row r="360" spans="1:5" x14ac:dyDescent="0.15">
      <c r="A360" s="137" t="str">
        <f t="shared" si="5"/>
        <v>Pennsylvania - Subcounty Governments - Township Governments</v>
      </c>
      <c r="B360" s="137" t="s">
        <v>211</v>
      </c>
      <c r="C360" s="137" t="s">
        <v>872</v>
      </c>
      <c r="D360" s="139">
        <v>1546</v>
      </c>
      <c r="E360" s="137" t="s">
        <v>848</v>
      </c>
    </row>
    <row r="361" spans="1:5" x14ac:dyDescent="0.15">
      <c r="A361" s="137" t="str">
        <f t="shared" si="5"/>
        <v>Pennsylvania - Special Purpose Governments - Special District Governments</v>
      </c>
      <c r="B361" s="137" t="s">
        <v>211</v>
      </c>
      <c r="C361" s="137" t="s">
        <v>873</v>
      </c>
      <c r="D361" s="139">
        <v>1691</v>
      </c>
      <c r="E361" s="137" t="s">
        <v>848</v>
      </c>
    </row>
    <row r="362" spans="1:5" x14ac:dyDescent="0.15">
      <c r="A362" s="137" t="str">
        <f t="shared" si="5"/>
        <v>Pennsylvania - Special Purpose Governments - Independent School District Governments</v>
      </c>
      <c r="B362" s="137" t="s">
        <v>211</v>
      </c>
      <c r="C362" s="137" t="s">
        <v>874</v>
      </c>
      <c r="D362" s="139">
        <v>514</v>
      </c>
      <c r="E362" s="137" t="s">
        <v>848</v>
      </c>
    </row>
    <row r="363" spans="1:5" x14ac:dyDescent="0.15">
      <c r="A363" s="137" t="str">
        <f t="shared" si="5"/>
        <v>Rhode Island - Total Local Government Units</v>
      </c>
      <c r="B363" s="137" t="s">
        <v>212</v>
      </c>
      <c r="C363" s="137" t="s">
        <v>867</v>
      </c>
      <c r="D363" s="139">
        <v>129</v>
      </c>
      <c r="E363" s="137" t="s">
        <v>848</v>
      </c>
    </row>
    <row r="364" spans="1:5" x14ac:dyDescent="0.15">
      <c r="A364" s="137" t="str">
        <f t="shared" si="5"/>
        <v>Rhode Island - Special Purpose Governments</v>
      </c>
      <c r="B364" s="137" t="s">
        <v>212</v>
      </c>
      <c r="C364" s="137" t="s">
        <v>868</v>
      </c>
      <c r="D364" s="139">
        <v>90</v>
      </c>
      <c r="E364" s="137" t="s">
        <v>848</v>
      </c>
    </row>
    <row r="365" spans="1:5" x14ac:dyDescent="0.15">
      <c r="A365" s="137" t="str">
        <f t="shared" si="5"/>
        <v>Rhode Island - General Purpose Governments</v>
      </c>
      <c r="B365" s="137" t="s">
        <v>212</v>
      </c>
      <c r="C365" s="137" t="s">
        <v>869</v>
      </c>
      <c r="D365" s="139">
        <v>39</v>
      </c>
      <c r="E365" s="137" t="s">
        <v>848</v>
      </c>
    </row>
    <row r="366" spans="1:5" x14ac:dyDescent="0.15">
      <c r="A366" s="137" t="str">
        <f t="shared" si="5"/>
        <v>Rhode Island - County Governments</v>
      </c>
      <c r="B366" s="137" t="s">
        <v>212</v>
      </c>
      <c r="C366" s="137" t="s">
        <v>165</v>
      </c>
      <c r="D366" s="139">
        <v>0</v>
      </c>
      <c r="E366" s="137" t="s">
        <v>848</v>
      </c>
    </row>
    <row r="367" spans="1:5" x14ac:dyDescent="0.15">
      <c r="A367" s="137" t="str">
        <f t="shared" si="5"/>
        <v>Rhode Island - Subcounty Governments</v>
      </c>
      <c r="B367" s="137" t="s">
        <v>212</v>
      </c>
      <c r="C367" s="137" t="s">
        <v>870</v>
      </c>
      <c r="D367" s="139">
        <v>39</v>
      </c>
      <c r="E367" s="137" t="s">
        <v>848</v>
      </c>
    </row>
    <row r="368" spans="1:5" x14ac:dyDescent="0.15">
      <c r="A368" s="137" t="str">
        <f t="shared" si="5"/>
        <v>Rhode Island - Subcounty Governments - Municipal Governments</v>
      </c>
      <c r="B368" s="137" t="s">
        <v>212</v>
      </c>
      <c r="C368" s="137" t="s">
        <v>871</v>
      </c>
      <c r="D368" s="139">
        <v>8</v>
      </c>
      <c r="E368" s="137" t="s">
        <v>848</v>
      </c>
    </row>
    <row r="369" spans="1:5" x14ac:dyDescent="0.15">
      <c r="A369" s="137" t="str">
        <f t="shared" si="5"/>
        <v>Rhode Island - Subcounty Governments - Township Governments</v>
      </c>
      <c r="B369" s="137" t="s">
        <v>212</v>
      </c>
      <c r="C369" s="137" t="s">
        <v>872</v>
      </c>
      <c r="D369" s="139">
        <v>31</v>
      </c>
      <c r="E369" s="137" t="s">
        <v>848</v>
      </c>
    </row>
    <row r="370" spans="1:5" x14ac:dyDescent="0.15">
      <c r="A370" s="137" t="str">
        <f t="shared" si="5"/>
        <v>Rhode Island - Special Purpose Governments - Special District Governments</v>
      </c>
      <c r="B370" s="137" t="s">
        <v>212</v>
      </c>
      <c r="C370" s="137" t="s">
        <v>873</v>
      </c>
      <c r="D370" s="139">
        <v>86</v>
      </c>
      <c r="E370" s="137" t="s">
        <v>848</v>
      </c>
    </row>
    <row r="371" spans="1:5" x14ac:dyDescent="0.15">
      <c r="A371" s="137" t="str">
        <f t="shared" si="5"/>
        <v>Rhode Island - Special Purpose Governments - Independent School District Governments</v>
      </c>
      <c r="B371" s="137" t="s">
        <v>212</v>
      </c>
      <c r="C371" s="137" t="s">
        <v>874</v>
      </c>
      <c r="D371" s="139">
        <v>4</v>
      </c>
      <c r="E371" s="137" t="s">
        <v>848</v>
      </c>
    </row>
    <row r="372" spans="1:5" x14ac:dyDescent="0.15">
      <c r="A372" s="137" t="str">
        <f t="shared" si="5"/>
        <v>South Carolina - Total Local Government Units</v>
      </c>
      <c r="B372" s="137" t="s">
        <v>213</v>
      </c>
      <c r="C372" s="137" t="s">
        <v>867</v>
      </c>
      <c r="D372" s="139">
        <v>671</v>
      </c>
      <c r="E372" s="137" t="s">
        <v>848</v>
      </c>
    </row>
    <row r="373" spans="1:5" x14ac:dyDescent="0.15">
      <c r="A373" s="137" t="str">
        <f t="shared" si="5"/>
        <v>South Carolina - Special Purpose Governments</v>
      </c>
      <c r="B373" s="137" t="s">
        <v>213</v>
      </c>
      <c r="C373" s="137" t="s">
        <v>868</v>
      </c>
      <c r="D373" s="139">
        <v>355</v>
      </c>
      <c r="E373" s="137" t="s">
        <v>848</v>
      </c>
    </row>
    <row r="374" spans="1:5" x14ac:dyDescent="0.15">
      <c r="A374" s="137" t="str">
        <f t="shared" si="5"/>
        <v>South Carolina - General Purpose Governments</v>
      </c>
      <c r="B374" s="137" t="s">
        <v>213</v>
      </c>
      <c r="C374" s="137" t="s">
        <v>869</v>
      </c>
      <c r="D374" s="139">
        <v>316</v>
      </c>
      <c r="E374" s="137" t="s">
        <v>848</v>
      </c>
    </row>
    <row r="375" spans="1:5" x14ac:dyDescent="0.15">
      <c r="A375" s="137" t="str">
        <f t="shared" si="5"/>
        <v>South Carolina - County Governments</v>
      </c>
      <c r="B375" s="137" t="s">
        <v>213</v>
      </c>
      <c r="C375" s="137" t="s">
        <v>165</v>
      </c>
      <c r="D375" s="139">
        <v>46</v>
      </c>
      <c r="E375" s="137" t="s">
        <v>848</v>
      </c>
    </row>
    <row r="376" spans="1:5" x14ac:dyDescent="0.15">
      <c r="A376" s="137" t="str">
        <f t="shared" si="5"/>
        <v>South Carolina - Subcounty Governments</v>
      </c>
      <c r="B376" s="137" t="s">
        <v>213</v>
      </c>
      <c r="C376" s="137" t="s">
        <v>870</v>
      </c>
      <c r="D376" s="139">
        <v>270</v>
      </c>
      <c r="E376" s="137" t="s">
        <v>848</v>
      </c>
    </row>
    <row r="377" spans="1:5" x14ac:dyDescent="0.15">
      <c r="A377" s="137" t="str">
        <f t="shared" si="5"/>
        <v>South Carolina - Subcounty Governments - Municipal Governments</v>
      </c>
      <c r="B377" s="137" t="s">
        <v>213</v>
      </c>
      <c r="C377" s="137" t="s">
        <v>871</v>
      </c>
      <c r="D377" s="139">
        <v>270</v>
      </c>
      <c r="E377" s="137" t="s">
        <v>848</v>
      </c>
    </row>
    <row r="378" spans="1:5" x14ac:dyDescent="0.15">
      <c r="A378" s="137" t="str">
        <f t="shared" si="5"/>
        <v>South Carolina - Subcounty Governments - Township Governments</v>
      </c>
      <c r="B378" s="137" t="s">
        <v>213</v>
      </c>
      <c r="C378" s="137" t="s">
        <v>872</v>
      </c>
      <c r="D378" s="139">
        <v>0</v>
      </c>
      <c r="E378" s="137" t="s">
        <v>848</v>
      </c>
    </row>
    <row r="379" spans="1:5" x14ac:dyDescent="0.15">
      <c r="A379" s="137" t="str">
        <f t="shared" si="5"/>
        <v>South Carolina - Special Purpose Governments - Special District Governments</v>
      </c>
      <c r="B379" s="137" t="s">
        <v>213</v>
      </c>
      <c r="C379" s="137" t="s">
        <v>873</v>
      </c>
      <c r="D379" s="139">
        <v>274</v>
      </c>
      <c r="E379" s="137" t="s">
        <v>848</v>
      </c>
    </row>
    <row r="380" spans="1:5" x14ac:dyDescent="0.15">
      <c r="A380" s="137" t="str">
        <f t="shared" si="5"/>
        <v>South Carolina - Special Purpose Governments - Independent School District Governments</v>
      </c>
      <c r="B380" s="137" t="s">
        <v>213</v>
      </c>
      <c r="C380" s="137" t="s">
        <v>874</v>
      </c>
      <c r="D380" s="139">
        <v>81</v>
      </c>
      <c r="E380" s="137" t="s">
        <v>848</v>
      </c>
    </row>
    <row r="381" spans="1:5" x14ac:dyDescent="0.15">
      <c r="A381" s="137" t="str">
        <f t="shared" si="5"/>
        <v>South Dakota - Total Local Government Units</v>
      </c>
      <c r="B381" s="137" t="s">
        <v>214</v>
      </c>
      <c r="C381" s="137" t="s">
        <v>867</v>
      </c>
      <c r="D381" s="139">
        <v>1916</v>
      </c>
      <c r="E381" s="137" t="s">
        <v>848</v>
      </c>
    </row>
    <row r="382" spans="1:5" x14ac:dyDescent="0.15">
      <c r="A382" s="137" t="str">
        <f t="shared" si="5"/>
        <v>South Dakota - Special Purpose Governments</v>
      </c>
      <c r="B382" s="137" t="s">
        <v>214</v>
      </c>
      <c r="C382" s="137" t="s">
        <v>868</v>
      </c>
      <c r="D382" s="139">
        <v>637</v>
      </c>
      <c r="E382" s="137" t="s">
        <v>848</v>
      </c>
    </row>
    <row r="383" spans="1:5" x14ac:dyDescent="0.15">
      <c r="A383" s="137" t="str">
        <f t="shared" si="5"/>
        <v>South Dakota - General Purpose Governments</v>
      </c>
      <c r="B383" s="137" t="s">
        <v>214</v>
      </c>
      <c r="C383" s="137" t="s">
        <v>869</v>
      </c>
      <c r="D383" s="139">
        <v>1279</v>
      </c>
      <c r="E383" s="137" t="s">
        <v>848</v>
      </c>
    </row>
    <row r="384" spans="1:5" x14ac:dyDescent="0.15">
      <c r="A384" s="137" t="str">
        <f t="shared" si="5"/>
        <v>South Dakota - County Governments</v>
      </c>
      <c r="B384" s="137" t="s">
        <v>214</v>
      </c>
      <c r="C384" s="137" t="s">
        <v>165</v>
      </c>
      <c r="D384" s="139">
        <v>66</v>
      </c>
      <c r="E384" s="137" t="s">
        <v>848</v>
      </c>
    </row>
    <row r="385" spans="1:5" x14ac:dyDescent="0.15">
      <c r="A385" s="137" t="str">
        <f t="shared" si="5"/>
        <v>South Dakota - Subcounty Governments</v>
      </c>
      <c r="B385" s="137" t="s">
        <v>214</v>
      </c>
      <c r="C385" s="137" t="s">
        <v>870</v>
      </c>
      <c r="D385" s="139">
        <v>1213</v>
      </c>
      <c r="E385" s="137" t="s">
        <v>848</v>
      </c>
    </row>
    <row r="386" spans="1:5" x14ac:dyDescent="0.15">
      <c r="A386" s="137" t="str">
        <f t="shared" si="5"/>
        <v>South Dakota - Subcounty Governments - Municipal Governments</v>
      </c>
      <c r="B386" s="137" t="s">
        <v>214</v>
      </c>
      <c r="C386" s="137" t="s">
        <v>871</v>
      </c>
      <c r="D386" s="139">
        <v>311</v>
      </c>
      <c r="E386" s="137" t="s">
        <v>848</v>
      </c>
    </row>
    <row r="387" spans="1:5" x14ac:dyDescent="0.15">
      <c r="A387" s="137" t="str">
        <f t="shared" si="5"/>
        <v>South Dakota - Subcounty Governments - Township Governments</v>
      </c>
      <c r="B387" s="137" t="s">
        <v>214</v>
      </c>
      <c r="C387" s="137" t="s">
        <v>872</v>
      </c>
      <c r="D387" s="139">
        <v>902</v>
      </c>
      <c r="E387" s="137" t="s">
        <v>848</v>
      </c>
    </row>
    <row r="388" spans="1:5" x14ac:dyDescent="0.15">
      <c r="A388" s="137" t="str">
        <f t="shared" ref="A388:A451" si="6">_xlfn.CONCAT(B388," - ",C388)</f>
        <v>South Dakota - Special Purpose Governments - Special District Governments</v>
      </c>
      <c r="B388" s="137" t="s">
        <v>214</v>
      </c>
      <c r="C388" s="137" t="s">
        <v>873</v>
      </c>
      <c r="D388" s="139">
        <v>487</v>
      </c>
      <c r="E388" s="137" t="s">
        <v>848</v>
      </c>
    </row>
    <row r="389" spans="1:5" x14ac:dyDescent="0.15">
      <c r="A389" s="137" t="str">
        <f t="shared" si="6"/>
        <v>South Dakota - Special Purpose Governments - Independent School District Governments</v>
      </c>
      <c r="B389" s="137" t="s">
        <v>214</v>
      </c>
      <c r="C389" s="137" t="s">
        <v>874</v>
      </c>
      <c r="D389" s="139">
        <v>150</v>
      </c>
      <c r="E389" s="137" t="s">
        <v>848</v>
      </c>
    </row>
    <row r="390" spans="1:5" x14ac:dyDescent="0.15">
      <c r="A390" s="137" t="str">
        <f t="shared" si="6"/>
        <v>Tennessee - Total Local Government Units</v>
      </c>
      <c r="B390" s="137" t="s">
        <v>215</v>
      </c>
      <c r="C390" s="137" t="s">
        <v>867</v>
      </c>
      <c r="D390" s="139">
        <v>906</v>
      </c>
      <c r="E390" s="137" t="s">
        <v>848</v>
      </c>
    </row>
    <row r="391" spans="1:5" x14ac:dyDescent="0.15">
      <c r="A391" s="137" t="str">
        <f t="shared" si="6"/>
        <v>Tennessee - Special Purpose Governments</v>
      </c>
      <c r="B391" s="137" t="s">
        <v>215</v>
      </c>
      <c r="C391" s="137" t="s">
        <v>868</v>
      </c>
      <c r="D391" s="139">
        <v>469</v>
      </c>
      <c r="E391" s="137" t="s">
        <v>848</v>
      </c>
    </row>
    <row r="392" spans="1:5" x14ac:dyDescent="0.15">
      <c r="A392" s="137" t="str">
        <f t="shared" si="6"/>
        <v>Tennessee - General Purpose Governments</v>
      </c>
      <c r="B392" s="137" t="s">
        <v>215</v>
      </c>
      <c r="C392" s="137" t="s">
        <v>869</v>
      </c>
      <c r="D392" s="139">
        <v>437</v>
      </c>
      <c r="E392" s="137" t="s">
        <v>848</v>
      </c>
    </row>
    <row r="393" spans="1:5" x14ac:dyDescent="0.15">
      <c r="A393" s="137" t="str">
        <f t="shared" si="6"/>
        <v>Tennessee - County Governments</v>
      </c>
      <c r="B393" s="137" t="s">
        <v>215</v>
      </c>
      <c r="C393" s="137" t="s">
        <v>165</v>
      </c>
      <c r="D393" s="139">
        <v>92</v>
      </c>
      <c r="E393" s="137" t="s">
        <v>848</v>
      </c>
    </row>
    <row r="394" spans="1:5" x14ac:dyDescent="0.15">
      <c r="A394" s="137" t="str">
        <f t="shared" si="6"/>
        <v>Tennessee - Subcounty Governments</v>
      </c>
      <c r="B394" s="137" t="s">
        <v>215</v>
      </c>
      <c r="C394" s="137" t="s">
        <v>870</v>
      </c>
      <c r="D394" s="139">
        <v>345</v>
      </c>
      <c r="E394" s="137" t="s">
        <v>848</v>
      </c>
    </row>
    <row r="395" spans="1:5" x14ac:dyDescent="0.15">
      <c r="A395" s="137" t="str">
        <f t="shared" si="6"/>
        <v>Tennessee - Subcounty Governments - Municipal Governments</v>
      </c>
      <c r="B395" s="137" t="s">
        <v>215</v>
      </c>
      <c r="C395" s="137" t="s">
        <v>871</v>
      </c>
      <c r="D395" s="139">
        <v>345</v>
      </c>
      <c r="E395" s="137" t="s">
        <v>848</v>
      </c>
    </row>
    <row r="396" spans="1:5" x14ac:dyDescent="0.15">
      <c r="A396" s="137" t="str">
        <f t="shared" si="6"/>
        <v>Tennessee - Subcounty Governments - Township Governments</v>
      </c>
      <c r="B396" s="137" t="s">
        <v>215</v>
      </c>
      <c r="C396" s="137" t="s">
        <v>872</v>
      </c>
      <c r="D396" s="139">
        <v>0</v>
      </c>
      <c r="E396" s="137" t="s">
        <v>848</v>
      </c>
    </row>
    <row r="397" spans="1:5" x14ac:dyDescent="0.15">
      <c r="A397" s="137" t="str">
        <f t="shared" si="6"/>
        <v>Tennessee - Special Purpose Governments - Special District Governments</v>
      </c>
      <c r="B397" s="137" t="s">
        <v>215</v>
      </c>
      <c r="C397" s="137" t="s">
        <v>873</v>
      </c>
      <c r="D397" s="139">
        <v>455</v>
      </c>
      <c r="E397" s="137" t="s">
        <v>848</v>
      </c>
    </row>
    <row r="398" spans="1:5" x14ac:dyDescent="0.15">
      <c r="A398" s="137" t="str">
        <f t="shared" si="6"/>
        <v>Tennessee - Special Purpose Governments - Independent School District Governments</v>
      </c>
      <c r="B398" s="137" t="s">
        <v>215</v>
      </c>
      <c r="C398" s="137" t="s">
        <v>874</v>
      </c>
      <c r="D398" s="139">
        <v>14</v>
      </c>
      <c r="E398" s="137" t="s">
        <v>848</v>
      </c>
    </row>
    <row r="399" spans="1:5" x14ac:dyDescent="0.15">
      <c r="A399" s="137" t="str">
        <f t="shared" si="6"/>
        <v>Texas - Total Local Government Units</v>
      </c>
      <c r="B399" s="137" t="s">
        <v>216</v>
      </c>
      <c r="C399" s="137" t="s">
        <v>867</v>
      </c>
      <c r="D399" s="139">
        <v>5343</v>
      </c>
      <c r="E399" s="137" t="s">
        <v>848</v>
      </c>
    </row>
    <row r="400" spans="1:5" x14ac:dyDescent="0.15">
      <c r="A400" s="137" t="str">
        <f t="shared" si="6"/>
        <v>Texas - Special Purpose Governments</v>
      </c>
      <c r="B400" s="137" t="s">
        <v>216</v>
      </c>
      <c r="C400" s="137" t="s">
        <v>868</v>
      </c>
      <c r="D400" s="139">
        <v>3871</v>
      </c>
      <c r="E400" s="137" t="s">
        <v>848</v>
      </c>
    </row>
    <row r="401" spans="1:5" x14ac:dyDescent="0.15">
      <c r="A401" s="137" t="str">
        <f t="shared" si="6"/>
        <v>Texas - General Purpose Governments</v>
      </c>
      <c r="B401" s="137" t="s">
        <v>216</v>
      </c>
      <c r="C401" s="137" t="s">
        <v>869</v>
      </c>
      <c r="D401" s="139">
        <v>1472</v>
      </c>
      <c r="E401" s="137" t="s">
        <v>848</v>
      </c>
    </row>
    <row r="402" spans="1:5" x14ac:dyDescent="0.15">
      <c r="A402" s="137" t="str">
        <f t="shared" si="6"/>
        <v>Texas - County Governments</v>
      </c>
      <c r="B402" s="137" t="s">
        <v>216</v>
      </c>
      <c r="C402" s="137" t="s">
        <v>165</v>
      </c>
      <c r="D402" s="139">
        <v>254</v>
      </c>
      <c r="E402" s="137" t="s">
        <v>848</v>
      </c>
    </row>
    <row r="403" spans="1:5" x14ac:dyDescent="0.15">
      <c r="A403" s="137" t="str">
        <f t="shared" si="6"/>
        <v>Texas - Subcounty Governments</v>
      </c>
      <c r="B403" s="137" t="s">
        <v>216</v>
      </c>
      <c r="C403" s="137" t="s">
        <v>870</v>
      </c>
      <c r="D403" s="139">
        <v>1218</v>
      </c>
      <c r="E403" s="137" t="s">
        <v>848</v>
      </c>
    </row>
    <row r="404" spans="1:5" x14ac:dyDescent="0.15">
      <c r="A404" s="137" t="str">
        <f t="shared" si="6"/>
        <v>Texas - Subcounty Governments - Municipal Governments</v>
      </c>
      <c r="B404" s="137" t="s">
        <v>216</v>
      </c>
      <c r="C404" s="137" t="s">
        <v>871</v>
      </c>
      <c r="D404" s="139">
        <v>1218</v>
      </c>
      <c r="E404" s="137" t="s">
        <v>848</v>
      </c>
    </row>
    <row r="405" spans="1:5" x14ac:dyDescent="0.15">
      <c r="A405" s="137" t="str">
        <f t="shared" si="6"/>
        <v>Texas - Subcounty Governments - Township Governments</v>
      </c>
      <c r="B405" s="137" t="s">
        <v>216</v>
      </c>
      <c r="C405" s="137" t="s">
        <v>872</v>
      </c>
      <c r="D405" s="139">
        <v>0</v>
      </c>
      <c r="E405" s="137" t="s">
        <v>848</v>
      </c>
    </row>
    <row r="406" spans="1:5" x14ac:dyDescent="0.15">
      <c r="A406" s="137" t="str">
        <f t="shared" si="6"/>
        <v>Texas - Special Purpose Governments - Special District Governments</v>
      </c>
      <c r="B406" s="137" t="s">
        <v>216</v>
      </c>
      <c r="C406" s="137" t="s">
        <v>873</v>
      </c>
      <c r="D406" s="139">
        <v>2798</v>
      </c>
      <c r="E406" s="137" t="s">
        <v>848</v>
      </c>
    </row>
    <row r="407" spans="1:5" x14ac:dyDescent="0.15">
      <c r="A407" s="137" t="str">
        <f t="shared" si="6"/>
        <v>Texas - Special Purpose Governments - Independent School District Governments</v>
      </c>
      <c r="B407" s="137" t="s">
        <v>216</v>
      </c>
      <c r="C407" s="137" t="s">
        <v>874</v>
      </c>
      <c r="D407" s="139">
        <v>1073</v>
      </c>
      <c r="E407" s="137" t="s">
        <v>848</v>
      </c>
    </row>
    <row r="408" spans="1:5" x14ac:dyDescent="0.15">
      <c r="A408" s="137" t="str">
        <f t="shared" si="6"/>
        <v>Utah - Total Local Government Units</v>
      </c>
      <c r="B408" s="137" t="s">
        <v>217</v>
      </c>
      <c r="C408" s="137" t="s">
        <v>867</v>
      </c>
      <c r="D408" s="139">
        <v>619</v>
      </c>
      <c r="E408" s="137" t="s">
        <v>848</v>
      </c>
    </row>
    <row r="409" spans="1:5" x14ac:dyDescent="0.15">
      <c r="A409" s="137" t="str">
        <f t="shared" si="6"/>
        <v>Utah - Special Purpose Governments</v>
      </c>
      <c r="B409" s="137" t="s">
        <v>217</v>
      </c>
      <c r="C409" s="137" t="s">
        <v>868</v>
      </c>
      <c r="D409" s="139">
        <v>340</v>
      </c>
      <c r="E409" s="137" t="s">
        <v>848</v>
      </c>
    </row>
    <row r="410" spans="1:5" x14ac:dyDescent="0.15">
      <c r="A410" s="137" t="str">
        <f t="shared" si="6"/>
        <v>Utah - General Purpose Governments</v>
      </c>
      <c r="B410" s="137" t="s">
        <v>217</v>
      </c>
      <c r="C410" s="137" t="s">
        <v>869</v>
      </c>
      <c r="D410" s="139">
        <v>279</v>
      </c>
      <c r="E410" s="137" t="s">
        <v>848</v>
      </c>
    </row>
    <row r="411" spans="1:5" x14ac:dyDescent="0.15">
      <c r="A411" s="137" t="str">
        <f t="shared" si="6"/>
        <v>Utah - County Governments</v>
      </c>
      <c r="B411" s="137" t="s">
        <v>217</v>
      </c>
      <c r="C411" s="137" t="s">
        <v>165</v>
      </c>
      <c r="D411" s="139">
        <v>29</v>
      </c>
      <c r="E411" s="137" t="s">
        <v>848</v>
      </c>
    </row>
    <row r="412" spans="1:5" x14ac:dyDescent="0.15">
      <c r="A412" s="137" t="str">
        <f t="shared" si="6"/>
        <v>Utah - Subcounty Governments</v>
      </c>
      <c r="B412" s="137" t="s">
        <v>217</v>
      </c>
      <c r="C412" s="137" t="s">
        <v>870</v>
      </c>
      <c r="D412" s="139">
        <v>250</v>
      </c>
      <c r="E412" s="137" t="s">
        <v>848</v>
      </c>
    </row>
    <row r="413" spans="1:5" x14ac:dyDescent="0.15">
      <c r="A413" s="137" t="str">
        <f t="shared" si="6"/>
        <v>Utah - Subcounty Governments - Municipal Governments</v>
      </c>
      <c r="B413" s="137" t="s">
        <v>217</v>
      </c>
      <c r="C413" s="137" t="s">
        <v>871</v>
      </c>
      <c r="D413" s="139">
        <v>250</v>
      </c>
      <c r="E413" s="137" t="s">
        <v>848</v>
      </c>
    </row>
    <row r="414" spans="1:5" x14ac:dyDescent="0.15">
      <c r="A414" s="137" t="str">
        <f t="shared" si="6"/>
        <v>Utah - Subcounty Governments - Township Governments</v>
      </c>
      <c r="B414" s="137" t="s">
        <v>217</v>
      </c>
      <c r="C414" s="137" t="s">
        <v>872</v>
      </c>
      <c r="D414" s="139">
        <v>0</v>
      </c>
      <c r="E414" s="137" t="s">
        <v>848</v>
      </c>
    </row>
    <row r="415" spans="1:5" x14ac:dyDescent="0.15">
      <c r="A415" s="137" t="str">
        <f t="shared" si="6"/>
        <v>Utah - Special Purpose Governments - Special District Governments</v>
      </c>
      <c r="B415" s="137" t="s">
        <v>217</v>
      </c>
      <c r="C415" s="137" t="s">
        <v>873</v>
      </c>
      <c r="D415" s="139">
        <v>299</v>
      </c>
      <c r="E415" s="137" t="s">
        <v>848</v>
      </c>
    </row>
    <row r="416" spans="1:5" x14ac:dyDescent="0.15">
      <c r="A416" s="137" t="str">
        <f t="shared" si="6"/>
        <v>Utah - Special Purpose Governments - Independent School District Governments</v>
      </c>
      <c r="B416" s="137" t="s">
        <v>217</v>
      </c>
      <c r="C416" s="137" t="s">
        <v>874</v>
      </c>
      <c r="D416" s="139">
        <v>41</v>
      </c>
      <c r="E416" s="137" t="s">
        <v>848</v>
      </c>
    </row>
    <row r="417" spans="1:5" x14ac:dyDescent="0.15">
      <c r="A417" s="137" t="str">
        <f t="shared" si="6"/>
        <v>Vermont - Total Local Government Units</v>
      </c>
      <c r="B417" s="137" t="s">
        <v>218</v>
      </c>
      <c r="C417" s="137" t="s">
        <v>867</v>
      </c>
      <c r="D417" s="139">
        <v>729</v>
      </c>
      <c r="E417" s="137" t="s">
        <v>848</v>
      </c>
    </row>
    <row r="418" spans="1:5" x14ac:dyDescent="0.15">
      <c r="A418" s="137" t="str">
        <f t="shared" si="6"/>
        <v>Vermont - Special Purpose Governments</v>
      </c>
      <c r="B418" s="137" t="s">
        <v>218</v>
      </c>
      <c r="C418" s="137" t="s">
        <v>868</v>
      </c>
      <c r="D418" s="139">
        <v>436</v>
      </c>
      <c r="E418" s="137" t="s">
        <v>848</v>
      </c>
    </row>
    <row r="419" spans="1:5" x14ac:dyDescent="0.15">
      <c r="A419" s="137" t="str">
        <f t="shared" si="6"/>
        <v>Vermont - General Purpose Governments</v>
      </c>
      <c r="B419" s="137" t="s">
        <v>218</v>
      </c>
      <c r="C419" s="137" t="s">
        <v>869</v>
      </c>
      <c r="D419" s="139">
        <v>293</v>
      </c>
      <c r="E419" s="137" t="s">
        <v>848</v>
      </c>
    </row>
    <row r="420" spans="1:5" x14ac:dyDescent="0.15">
      <c r="A420" s="137" t="str">
        <f t="shared" si="6"/>
        <v>Vermont - County Governments</v>
      </c>
      <c r="B420" s="137" t="s">
        <v>218</v>
      </c>
      <c r="C420" s="137" t="s">
        <v>165</v>
      </c>
      <c r="D420" s="139">
        <v>14</v>
      </c>
      <c r="E420" s="137" t="s">
        <v>848</v>
      </c>
    </row>
    <row r="421" spans="1:5" x14ac:dyDescent="0.15">
      <c r="A421" s="137" t="str">
        <f t="shared" si="6"/>
        <v>Vermont - Subcounty Governments</v>
      </c>
      <c r="B421" s="137" t="s">
        <v>218</v>
      </c>
      <c r="C421" s="137" t="s">
        <v>870</v>
      </c>
      <c r="D421" s="139">
        <v>279</v>
      </c>
      <c r="E421" s="137" t="s">
        <v>848</v>
      </c>
    </row>
    <row r="422" spans="1:5" x14ac:dyDescent="0.15">
      <c r="A422" s="137" t="str">
        <f t="shared" si="6"/>
        <v>Vermont - Subcounty Governments - Municipal Governments</v>
      </c>
      <c r="B422" s="137" t="s">
        <v>218</v>
      </c>
      <c r="C422" s="137" t="s">
        <v>871</v>
      </c>
      <c r="D422" s="139">
        <v>42</v>
      </c>
      <c r="E422" s="137" t="s">
        <v>848</v>
      </c>
    </row>
    <row r="423" spans="1:5" x14ac:dyDescent="0.15">
      <c r="A423" s="137" t="str">
        <f t="shared" si="6"/>
        <v>Vermont - Subcounty Governments - Township Governments</v>
      </c>
      <c r="B423" s="137" t="s">
        <v>218</v>
      </c>
      <c r="C423" s="137" t="s">
        <v>872</v>
      </c>
      <c r="D423" s="139">
        <v>237</v>
      </c>
      <c r="E423" s="137" t="s">
        <v>848</v>
      </c>
    </row>
    <row r="424" spans="1:5" x14ac:dyDescent="0.15">
      <c r="A424" s="137" t="str">
        <f t="shared" si="6"/>
        <v>Vermont - Special Purpose Governments - Special District Governments</v>
      </c>
      <c r="B424" s="137" t="s">
        <v>218</v>
      </c>
      <c r="C424" s="137" t="s">
        <v>873</v>
      </c>
      <c r="D424" s="139">
        <v>159</v>
      </c>
      <c r="E424" s="137" t="s">
        <v>848</v>
      </c>
    </row>
    <row r="425" spans="1:5" x14ac:dyDescent="0.15">
      <c r="A425" s="137" t="str">
        <f t="shared" si="6"/>
        <v>Vermont - Special Purpose Governments - Independent School District Governments</v>
      </c>
      <c r="B425" s="137" t="s">
        <v>218</v>
      </c>
      <c r="C425" s="137" t="s">
        <v>874</v>
      </c>
      <c r="D425" s="139">
        <v>277</v>
      </c>
      <c r="E425" s="137" t="s">
        <v>848</v>
      </c>
    </row>
    <row r="426" spans="1:5" x14ac:dyDescent="0.15">
      <c r="A426" s="137" t="str">
        <f t="shared" si="6"/>
        <v>Virginia - Total Local Government Units</v>
      </c>
      <c r="B426" s="137" t="s">
        <v>219</v>
      </c>
      <c r="C426" s="137" t="s">
        <v>867</v>
      </c>
      <c r="D426" s="139">
        <v>517</v>
      </c>
      <c r="E426" s="137" t="s">
        <v>848</v>
      </c>
    </row>
    <row r="427" spans="1:5" x14ac:dyDescent="0.15">
      <c r="A427" s="137" t="str">
        <f t="shared" si="6"/>
        <v>Virginia - Special Purpose Governments</v>
      </c>
      <c r="B427" s="137" t="s">
        <v>219</v>
      </c>
      <c r="C427" s="137" t="s">
        <v>868</v>
      </c>
      <c r="D427" s="139">
        <v>194</v>
      </c>
      <c r="E427" s="137" t="s">
        <v>848</v>
      </c>
    </row>
    <row r="428" spans="1:5" x14ac:dyDescent="0.15">
      <c r="A428" s="137" t="str">
        <f t="shared" si="6"/>
        <v>Virginia - General Purpose Governments</v>
      </c>
      <c r="B428" s="137" t="s">
        <v>219</v>
      </c>
      <c r="C428" s="137" t="s">
        <v>869</v>
      </c>
      <c r="D428" s="139">
        <v>323</v>
      </c>
      <c r="E428" s="137" t="s">
        <v>848</v>
      </c>
    </row>
    <row r="429" spans="1:5" x14ac:dyDescent="0.15">
      <c r="A429" s="137" t="str">
        <f t="shared" si="6"/>
        <v>Virginia - County Governments</v>
      </c>
      <c r="B429" s="137" t="s">
        <v>219</v>
      </c>
      <c r="C429" s="137" t="s">
        <v>165</v>
      </c>
      <c r="D429" s="139">
        <v>95</v>
      </c>
      <c r="E429" s="137" t="s">
        <v>848</v>
      </c>
    </row>
    <row r="430" spans="1:5" x14ac:dyDescent="0.15">
      <c r="A430" s="137" t="str">
        <f t="shared" si="6"/>
        <v>Virginia - Subcounty Governments</v>
      </c>
      <c r="B430" s="137" t="s">
        <v>219</v>
      </c>
      <c r="C430" s="137" t="s">
        <v>870</v>
      </c>
      <c r="D430" s="139">
        <v>228</v>
      </c>
      <c r="E430" s="137" t="s">
        <v>848</v>
      </c>
    </row>
    <row r="431" spans="1:5" x14ac:dyDescent="0.15">
      <c r="A431" s="137" t="str">
        <f t="shared" si="6"/>
        <v>Virginia - Subcounty Governments - Municipal Governments</v>
      </c>
      <c r="B431" s="137" t="s">
        <v>219</v>
      </c>
      <c r="C431" s="137" t="s">
        <v>871</v>
      </c>
      <c r="D431" s="139">
        <v>228</v>
      </c>
      <c r="E431" s="137" t="s">
        <v>848</v>
      </c>
    </row>
    <row r="432" spans="1:5" x14ac:dyDescent="0.15">
      <c r="A432" s="137" t="str">
        <f t="shared" si="6"/>
        <v>Virginia - Subcounty Governments - Township Governments</v>
      </c>
      <c r="B432" s="137" t="s">
        <v>219</v>
      </c>
      <c r="C432" s="137" t="s">
        <v>872</v>
      </c>
      <c r="D432" s="139">
        <v>0</v>
      </c>
      <c r="E432" s="137" t="s">
        <v>848</v>
      </c>
    </row>
    <row r="433" spans="1:5" x14ac:dyDescent="0.15">
      <c r="A433" s="137" t="str">
        <f t="shared" si="6"/>
        <v>Virginia - Special Purpose Governments - Special District Governments</v>
      </c>
      <c r="B433" s="137" t="s">
        <v>219</v>
      </c>
      <c r="C433" s="137" t="s">
        <v>873</v>
      </c>
      <c r="D433" s="139">
        <v>193</v>
      </c>
      <c r="E433" s="137" t="s">
        <v>848</v>
      </c>
    </row>
    <row r="434" spans="1:5" x14ac:dyDescent="0.15">
      <c r="A434" s="137" t="str">
        <f t="shared" si="6"/>
        <v>Virginia - Special Purpose Governments - Independent School District Governments</v>
      </c>
      <c r="B434" s="137" t="s">
        <v>219</v>
      </c>
      <c r="C434" s="137" t="s">
        <v>874</v>
      </c>
      <c r="D434" s="139">
        <v>1</v>
      </c>
      <c r="E434" s="137" t="s">
        <v>848</v>
      </c>
    </row>
    <row r="435" spans="1:5" x14ac:dyDescent="0.15">
      <c r="A435" s="137" t="str">
        <f t="shared" si="6"/>
        <v>Washington - Total Local Government Units</v>
      </c>
      <c r="B435" s="137" t="s">
        <v>220</v>
      </c>
      <c r="C435" s="137" t="s">
        <v>867</v>
      </c>
      <c r="D435" s="139">
        <v>1900</v>
      </c>
      <c r="E435" s="137" t="s">
        <v>848</v>
      </c>
    </row>
    <row r="436" spans="1:5" x14ac:dyDescent="0.15">
      <c r="A436" s="137" t="str">
        <f t="shared" si="6"/>
        <v>Washington - Special Purpose Governments</v>
      </c>
      <c r="B436" s="137" t="s">
        <v>220</v>
      </c>
      <c r="C436" s="137" t="s">
        <v>868</v>
      </c>
      <c r="D436" s="139">
        <v>1580</v>
      </c>
      <c r="E436" s="137" t="s">
        <v>848</v>
      </c>
    </row>
    <row r="437" spans="1:5" x14ac:dyDescent="0.15">
      <c r="A437" s="137" t="str">
        <f t="shared" si="6"/>
        <v>Washington - General Purpose Governments</v>
      </c>
      <c r="B437" s="137" t="s">
        <v>220</v>
      </c>
      <c r="C437" s="137" t="s">
        <v>869</v>
      </c>
      <c r="D437" s="139">
        <v>320</v>
      </c>
      <c r="E437" s="137" t="s">
        <v>848</v>
      </c>
    </row>
    <row r="438" spans="1:5" x14ac:dyDescent="0.15">
      <c r="A438" s="137" t="str">
        <f t="shared" si="6"/>
        <v>Washington - County Governments</v>
      </c>
      <c r="B438" s="137" t="s">
        <v>220</v>
      </c>
      <c r="C438" s="137" t="s">
        <v>165</v>
      </c>
      <c r="D438" s="139">
        <v>39</v>
      </c>
      <c r="E438" s="137" t="s">
        <v>848</v>
      </c>
    </row>
    <row r="439" spans="1:5" x14ac:dyDescent="0.15">
      <c r="A439" s="137" t="str">
        <f t="shared" si="6"/>
        <v>Washington - Subcounty Governments</v>
      </c>
      <c r="B439" s="137" t="s">
        <v>220</v>
      </c>
      <c r="C439" s="137" t="s">
        <v>870</v>
      </c>
      <c r="D439" s="139">
        <v>281</v>
      </c>
      <c r="E439" s="137" t="s">
        <v>848</v>
      </c>
    </row>
    <row r="440" spans="1:5" x14ac:dyDescent="0.15">
      <c r="A440" s="137" t="str">
        <f t="shared" si="6"/>
        <v>Washington - Subcounty Governments - Municipal Governments</v>
      </c>
      <c r="B440" s="137" t="s">
        <v>220</v>
      </c>
      <c r="C440" s="137" t="s">
        <v>871</v>
      </c>
      <c r="D440" s="139">
        <v>281</v>
      </c>
      <c r="E440" s="137" t="s">
        <v>848</v>
      </c>
    </row>
    <row r="441" spans="1:5" x14ac:dyDescent="0.15">
      <c r="A441" s="137" t="str">
        <f t="shared" si="6"/>
        <v>Washington - Subcounty Governments - Township Governments</v>
      </c>
      <c r="B441" s="137" t="s">
        <v>220</v>
      </c>
      <c r="C441" s="137" t="s">
        <v>872</v>
      </c>
      <c r="D441" s="139">
        <v>0</v>
      </c>
      <c r="E441" s="137" t="s">
        <v>848</v>
      </c>
    </row>
    <row r="442" spans="1:5" x14ac:dyDescent="0.15">
      <c r="A442" s="137" t="str">
        <f t="shared" si="6"/>
        <v>Washington - Special Purpose Governments - Special District Governments</v>
      </c>
      <c r="B442" s="137" t="s">
        <v>220</v>
      </c>
      <c r="C442" s="137" t="s">
        <v>873</v>
      </c>
      <c r="D442" s="139">
        <v>1285</v>
      </c>
      <c r="E442" s="137" t="s">
        <v>848</v>
      </c>
    </row>
    <row r="443" spans="1:5" x14ac:dyDescent="0.15">
      <c r="A443" s="137" t="str">
        <f t="shared" si="6"/>
        <v>Washington - Special Purpose Governments - Independent School District Governments</v>
      </c>
      <c r="B443" s="137" t="s">
        <v>220</v>
      </c>
      <c r="C443" s="137" t="s">
        <v>874</v>
      </c>
      <c r="D443" s="139">
        <v>295</v>
      </c>
      <c r="E443" s="137" t="s">
        <v>848</v>
      </c>
    </row>
    <row r="444" spans="1:5" x14ac:dyDescent="0.15">
      <c r="A444" s="137" t="str">
        <f t="shared" si="6"/>
        <v>West Virginia - Total Local Government Units</v>
      </c>
      <c r="B444" s="137" t="s">
        <v>221</v>
      </c>
      <c r="C444" s="137" t="s">
        <v>867</v>
      </c>
      <c r="D444" s="139">
        <v>651</v>
      </c>
      <c r="E444" s="137" t="s">
        <v>848</v>
      </c>
    </row>
    <row r="445" spans="1:5" x14ac:dyDescent="0.15">
      <c r="A445" s="137" t="str">
        <f t="shared" si="6"/>
        <v>West Virginia - Special Purpose Governments</v>
      </c>
      <c r="B445" s="137" t="s">
        <v>221</v>
      </c>
      <c r="C445" s="137" t="s">
        <v>868</v>
      </c>
      <c r="D445" s="139">
        <v>364</v>
      </c>
      <c r="E445" s="137" t="s">
        <v>848</v>
      </c>
    </row>
    <row r="446" spans="1:5" x14ac:dyDescent="0.15">
      <c r="A446" s="137" t="str">
        <f t="shared" si="6"/>
        <v>West Virginia - General Purpose Governments</v>
      </c>
      <c r="B446" s="137" t="s">
        <v>221</v>
      </c>
      <c r="C446" s="137" t="s">
        <v>869</v>
      </c>
      <c r="D446" s="139">
        <v>287</v>
      </c>
      <c r="E446" s="137" t="s">
        <v>848</v>
      </c>
    </row>
    <row r="447" spans="1:5" x14ac:dyDescent="0.15">
      <c r="A447" s="137" t="str">
        <f t="shared" si="6"/>
        <v>West Virginia - County Governments</v>
      </c>
      <c r="B447" s="137" t="s">
        <v>221</v>
      </c>
      <c r="C447" s="137" t="s">
        <v>165</v>
      </c>
      <c r="D447" s="139">
        <v>55</v>
      </c>
      <c r="E447" s="137" t="s">
        <v>848</v>
      </c>
    </row>
    <row r="448" spans="1:5" x14ac:dyDescent="0.15">
      <c r="A448" s="137" t="str">
        <f t="shared" si="6"/>
        <v>West Virginia - Subcounty Governments</v>
      </c>
      <c r="B448" s="137" t="s">
        <v>221</v>
      </c>
      <c r="C448" s="137" t="s">
        <v>870</v>
      </c>
      <c r="D448" s="139">
        <v>232</v>
      </c>
      <c r="E448" s="137" t="s">
        <v>848</v>
      </c>
    </row>
    <row r="449" spans="1:5" x14ac:dyDescent="0.15">
      <c r="A449" s="137" t="str">
        <f t="shared" si="6"/>
        <v>West Virginia - Subcounty Governments - Municipal Governments</v>
      </c>
      <c r="B449" s="137" t="s">
        <v>221</v>
      </c>
      <c r="C449" s="137" t="s">
        <v>871</v>
      </c>
      <c r="D449" s="139">
        <v>232</v>
      </c>
      <c r="E449" s="137" t="s">
        <v>848</v>
      </c>
    </row>
    <row r="450" spans="1:5" x14ac:dyDescent="0.15">
      <c r="A450" s="137" t="str">
        <f t="shared" si="6"/>
        <v>West Virginia - Subcounty Governments - Township Governments</v>
      </c>
      <c r="B450" s="137" t="s">
        <v>221</v>
      </c>
      <c r="C450" s="137" t="s">
        <v>872</v>
      </c>
      <c r="D450" s="139">
        <v>0</v>
      </c>
      <c r="E450" s="137" t="s">
        <v>848</v>
      </c>
    </row>
    <row r="451" spans="1:5" x14ac:dyDescent="0.15">
      <c r="A451" s="137" t="str">
        <f t="shared" si="6"/>
        <v>West Virginia - Special Purpose Governments - Special District Governments</v>
      </c>
      <c r="B451" s="137" t="s">
        <v>221</v>
      </c>
      <c r="C451" s="137" t="s">
        <v>873</v>
      </c>
      <c r="D451" s="139">
        <v>309</v>
      </c>
      <c r="E451" s="137" t="s">
        <v>848</v>
      </c>
    </row>
    <row r="452" spans="1:5" x14ac:dyDescent="0.15">
      <c r="A452" s="137" t="str">
        <f t="shared" ref="A452:A470" si="7">_xlfn.CONCAT(B452," - ",C452)</f>
        <v>West Virginia - Special Purpose Governments - Independent School District Governments</v>
      </c>
      <c r="B452" s="137" t="s">
        <v>221</v>
      </c>
      <c r="C452" s="137" t="s">
        <v>874</v>
      </c>
      <c r="D452" s="139">
        <v>55</v>
      </c>
      <c r="E452" s="137" t="s">
        <v>848</v>
      </c>
    </row>
    <row r="453" spans="1:5" x14ac:dyDescent="0.15">
      <c r="A453" s="137" t="str">
        <f t="shared" si="7"/>
        <v>Wisconsin - Total Local Government Units</v>
      </c>
      <c r="B453" s="137" t="s">
        <v>222</v>
      </c>
      <c r="C453" s="137" t="s">
        <v>867</v>
      </c>
      <c r="D453" s="139">
        <v>3096</v>
      </c>
      <c r="E453" s="137" t="s">
        <v>848</v>
      </c>
    </row>
    <row r="454" spans="1:5" x14ac:dyDescent="0.15">
      <c r="A454" s="137" t="str">
        <f t="shared" si="7"/>
        <v>Wisconsin - Special Purpose Governments</v>
      </c>
      <c r="B454" s="137" t="s">
        <v>222</v>
      </c>
      <c r="C454" s="137" t="s">
        <v>868</v>
      </c>
      <c r="D454" s="139">
        <v>1172</v>
      </c>
      <c r="E454" s="137" t="s">
        <v>848</v>
      </c>
    </row>
    <row r="455" spans="1:5" x14ac:dyDescent="0.15">
      <c r="A455" s="137" t="str">
        <f t="shared" si="7"/>
        <v>Wisconsin - General Purpose Governments</v>
      </c>
      <c r="B455" s="137" t="s">
        <v>222</v>
      </c>
      <c r="C455" s="137" t="s">
        <v>869</v>
      </c>
      <c r="D455" s="139">
        <v>1924</v>
      </c>
      <c r="E455" s="137" t="s">
        <v>848</v>
      </c>
    </row>
    <row r="456" spans="1:5" x14ac:dyDescent="0.15">
      <c r="A456" s="137" t="str">
        <f t="shared" si="7"/>
        <v>Wisconsin - County Governments</v>
      </c>
      <c r="B456" s="137" t="s">
        <v>222</v>
      </c>
      <c r="C456" s="137" t="s">
        <v>165</v>
      </c>
      <c r="D456" s="139">
        <v>72</v>
      </c>
      <c r="E456" s="137" t="s">
        <v>848</v>
      </c>
    </row>
    <row r="457" spans="1:5" x14ac:dyDescent="0.15">
      <c r="A457" s="137" t="str">
        <f t="shared" si="7"/>
        <v>Wisconsin - Subcounty Governments</v>
      </c>
      <c r="B457" s="137" t="s">
        <v>222</v>
      </c>
      <c r="C457" s="137" t="s">
        <v>870</v>
      </c>
      <c r="D457" s="139">
        <v>1852</v>
      </c>
      <c r="E457" s="137" t="s">
        <v>848</v>
      </c>
    </row>
    <row r="458" spans="1:5" x14ac:dyDescent="0.15">
      <c r="A458" s="137" t="str">
        <f t="shared" si="7"/>
        <v>Wisconsin - Subcounty Governments - Municipal Governments</v>
      </c>
      <c r="B458" s="137" t="s">
        <v>222</v>
      </c>
      <c r="C458" s="137" t="s">
        <v>871</v>
      </c>
      <c r="D458" s="139">
        <v>601</v>
      </c>
      <c r="E458" s="137" t="s">
        <v>848</v>
      </c>
    </row>
    <row r="459" spans="1:5" x14ac:dyDescent="0.15">
      <c r="A459" s="137" t="str">
        <f t="shared" si="7"/>
        <v>Wisconsin - Subcounty Governments - Township Governments</v>
      </c>
      <c r="B459" s="137" t="s">
        <v>222</v>
      </c>
      <c r="C459" s="137" t="s">
        <v>872</v>
      </c>
      <c r="D459" s="139">
        <v>1251</v>
      </c>
      <c r="E459" s="137" t="s">
        <v>848</v>
      </c>
    </row>
    <row r="460" spans="1:5" x14ac:dyDescent="0.15">
      <c r="A460" s="137" t="str">
        <f t="shared" si="7"/>
        <v>Wisconsin - Special Purpose Governments - Special District Governments</v>
      </c>
      <c r="B460" s="137" t="s">
        <v>222</v>
      </c>
      <c r="C460" s="137" t="s">
        <v>873</v>
      </c>
      <c r="D460" s="139">
        <v>734</v>
      </c>
      <c r="E460" s="137" t="s">
        <v>848</v>
      </c>
    </row>
    <row r="461" spans="1:5" x14ac:dyDescent="0.15">
      <c r="A461" s="137" t="str">
        <f t="shared" si="7"/>
        <v>Wisconsin - Special Purpose Governments - Independent School District Governments</v>
      </c>
      <c r="B461" s="137" t="s">
        <v>222</v>
      </c>
      <c r="C461" s="137" t="s">
        <v>874</v>
      </c>
      <c r="D461" s="139">
        <v>438</v>
      </c>
      <c r="E461" s="137" t="s">
        <v>848</v>
      </c>
    </row>
    <row r="462" spans="1:5" x14ac:dyDescent="0.15">
      <c r="A462" s="137" t="str">
        <f t="shared" si="7"/>
        <v>Wyoming - Total Local Government Units</v>
      </c>
      <c r="B462" s="137" t="s">
        <v>223</v>
      </c>
      <c r="C462" s="137" t="s">
        <v>867</v>
      </c>
      <c r="D462" s="139">
        <v>794</v>
      </c>
      <c r="E462" s="137" t="s">
        <v>848</v>
      </c>
    </row>
    <row r="463" spans="1:5" x14ac:dyDescent="0.15">
      <c r="A463" s="137" t="str">
        <f t="shared" si="7"/>
        <v>Wyoming - Special Purpose Governments</v>
      </c>
      <c r="B463" s="137" t="s">
        <v>223</v>
      </c>
      <c r="C463" s="137" t="s">
        <v>868</v>
      </c>
      <c r="D463" s="139">
        <v>672</v>
      </c>
      <c r="E463" s="137" t="s">
        <v>848</v>
      </c>
    </row>
    <row r="464" spans="1:5" x14ac:dyDescent="0.15">
      <c r="A464" s="137" t="str">
        <f t="shared" si="7"/>
        <v>Wyoming - General Purpose Governments</v>
      </c>
      <c r="B464" s="137" t="s">
        <v>223</v>
      </c>
      <c r="C464" s="137" t="s">
        <v>869</v>
      </c>
      <c r="D464" s="139">
        <v>122</v>
      </c>
      <c r="E464" s="137" t="s">
        <v>848</v>
      </c>
    </row>
    <row r="465" spans="1:5" x14ac:dyDescent="0.15">
      <c r="A465" s="137" t="str">
        <f t="shared" si="7"/>
        <v>Wyoming - County Governments</v>
      </c>
      <c r="B465" s="137" t="s">
        <v>223</v>
      </c>
      <c r="C465" s="137" t="s">
        <v>165</v>
      </c>
      <c r="D465" s="139">
        <v>23</v>
      </c>
      <c r="E465" s="137" t="s">
        <v>848</v>
      </c>
    </row>
    <row r="466" spans="1:5" x14ac:dyDescent="0.15">
      <c r="A466" s="137" t="str">
        <f t="shared" si="7"/>
        <v>Wyoming - Subcounty Governments</v>
      </c>
      <c r="B466" s="137" t="s">
        <v>223</v>
      </c>
      <c r="C466" s="137" t="s">
        <v>870</v>
      </c>
      <c r="D466" s="139">
        <v>99</v>
      </c>
      <c r="E466" s="137" t="s">
        <v>848</v>
      </c>
    </row>
    <row r="467" spans="1:5" x14ac:dyDescent="0.15">
      <c r="A467" s="137" t="str">
        <f t="shared" si="7"/>
        <v>Wyoming - Subcounty Governments - Municipal Governments</v>
      </c>
      <c r="B467" s="137" t="s">
        <v>223</v>
      </c>
      <c r="C467" s="137" t="s">
        <v>871</v>
      </c>
      <c r="D467" s="139">
        <v>99</v>
      </c>
      <c r="E467" s="137" t="s">
        <v>848</v>
      </c>
    </row>
    <row r="468" spans="1:5" x14ac:dyDescent="0.15">
      <c r="A468" s="137" t="str">
        <f t="shared" si="7"/>
        <v>Wyoming - Subcounty Governments - Township Governments</v>
      </c>
      <c r="B468" s="137" t="s">
        <v>223</v>
      </c>
      <c r="C468" s="137" t="s">
        <v>872</v>
      </c>
      <c r="D468" s="139">
        <v>0</v>
      </c>
      <c r="E468" s="137" t="s">
        <v>848</v>
      </c>
    </row>
    <row r="469" spans="1:5" x14ac:dyDescent="0.15">
      <c r="A469" s="137" t="str">
        <f t="shared" si="7"/>
        <v>Wyoming - Special Purpose Governments - Special District Governments</v>
      </c>
      <c r="B469" s="137" t="s">
        <v>223</v>
      </c>
      <c r="C469" s="137" t="s">
        <v>873</v>
      </c>
      <c r="D469" s="139">
        <v>617</v>
      </c>
      <c r="E469" s="137" t="s">
        <v>848</v>
      </c>
    </row>
    <row r="470" spans="1:5" x14ac:dyDescent="0.15">
      <c r="A470" s="137" t="str">
        <f t="shared" si="7"/>
        <v>Wyoming - Special Purpose Governments - Independent School District Governments</v>
      </c>
      <c r="B470" s="137" t="s">
        <v>223</v>
      </c>
      <c r="C470" s="137" t="s">
        <v>874</v>
      </c>
      <c r="D470" s="139">
        <v>55</v>
      </c>
      <c r="E470" s="137" t="s">
        <v>848</v>
      </c>
    </row>
  </sheetData>
  <pageMargins left="0.7" right="0.7" top="0.75" bottom="0.75" header="0.3" footer="0.3"/>
  <pageSetup scale="68" orientation="portrait" horizontalDpi="4294967293"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770D-22FA-438B-8F5A-88CD67452EA9}">
  <sheetPr>
    <tabColor theme="5" tint="0.39997558519241921"/>
  </sheetPr>
  <dimension ref="A1:I72"/>
  <sheetViews>
    <sheetView view="pageBreakPreview" topLeftCell="A3" zoomScale="145" zoomScaleNormal="130" zoomScaleSheetLayoutView="145" workbookViewId="0">
      <selection activeCell="G24" sqref="G24"/>
    </sheetView>
  </sheetViews>
  <sheetFormatPr baseColWidth="10" defaultColWidth="9.1640625" defaultRowHeight="12" outlineLevelRow="1" x14ac:dyDescent="0.15"/>
  <cols>
    <col min="1" max="1" width="23.1640625" style="137" customWidth="1"/>
    <col min="2" max="2" width="10.5" style="137" bestFit="1" customWidth="1"/>
    <col min="3" max="3" width="4.5" style="137" bestFit="1" customWidth="1"/>
    <col min="4" max="4" width="21.5" style="137" bestFit="1" customWidth="1"/>
    <col min="5" max="5" width="9.33203125" style="137" bestFit="1" customWidth="1"/>
    <col min="6" max="6" width="16" style="137" bestFit="1" customWidth="1"/>
    <col min="7" max="7" width="9.33203125" style="137" bestFit="1" customWidth="1"/>
    <col min="8" max="8" width="15" style="137" customWidth="1"/>
    <col min="9" max="9" width="17.1640625" style="137" customWidth="1"/>
    <col min="10" max="10" width="9.1640625" style="137"/>
    <col min="11" max="11" width="9.33203125" style="137" bestFit="1" customWidth="1"/>
    <col min="12" max="16384" width="9.1640625" style="137"/>
  </cols>
  <sheetData>
    <row r="1" spans="1:9" hidden="1" outlineLevel="1" x14ac:dyDescent="0.15">
      <c r="A1" s="137">
        <v>1</v>
      </c>
      <c r="B1" s="137">
        <f>A1+1</f>
        <v>2</v>
      </c>
      <c r="C1" s="137">
        <f t="shared" ref="C1:I1" si="0">B1+1</f>
        <v>3</v>
      </c>
      <c r="D1" s="137">
        <f t="shared" si="0"/>
        <v>4</v>
      </c>
      <c r="E1" s="137">
        <f t="shared" si="0"/>
        <v>5</v>
      </c>
      <c r="F1" s="137">
        <f t="shared" si="0"/>
        <v>6</v>
      </c>
      <c r="G1" s="137">
        <f t="shared" si="0"/>
        <v>7</v>
      </c>
      <c r="H1" s="137">
        <f t="shared" si="0"/>
        <v>8</v>
      </c>
      <c r="I1" s="137">
        <f t="shared" si="0"/>
        <v>9</v>
      </c>
    </row>
    <row r="2" spans="1:9" hidden="1" outlineLevel="1" x14ac:dyDescent="0.15"/>
    <row r="3" spans="1:9" collapsed="1" x14ac:dyDescent="0.15">
      <c r="A3" s="136" t="s">
        <v>875</v>
      </c>
    </row>
    <row r="5" spans="1:9" ht="26" x14ac:dyDescent="0.15">
      <c r="A5" s="169" t="s">
        <v>83</v>
      </c>
      <c r="B5" s="169" t="s">
        <v>876</v>
      </c>
      <c r="C5" s="169" t="s">
        <v>877</v>
      </c>
      <c r="D5" s="169" t="s">
        <v>878</v>
      </c>
      <c r="E5" s="169" t="s">
        <v>879</v>
      </c>
      <c r="F5" s="169" t="s">
        <v>880</v>
      </c>
      <c r="G5" s="169" t="s">
        <v>881</v>
      </c>
      <c r="H5" s="169" t="s">
        <v>160</v>
      </c>
      <c r="I5" s="169" t="s">
        <v>882</v>
      </c>
    </row>
    <row r="6" spans="1:9" x14ac:dyDescent="0.15">
      <c r="A6" s="137" t="s">
        <v>173</v>
      </c>
      <c r="B6" s="137" t="s">
        <v>883</v>
      </c>
      <c r="C6" s="137">
        <v>2015</v>
      </c>
      <c r="D6" s="173">
        <v>3132542605</v>
      </c>
      <c r="E6" s="137">
        <v>0.4</v>
      </c>
      <c r="F6" s="173">
        <v>229406215</v>
      </c>
      <c r="G6" s="137">
        <v>0.4</v>
      </c>
      <c r="H6" s="137">
        <v>963</v>
      </c>
      <c r="I6" s="137">
        <v>1.1000000000000001</v>
      </c>
    </row>
    <row r="7" spans="1:9" x14ac:dyDescent="0.15">
      <c r="A7" s="137" t="s">
        <v>174</v>
      </c>
      <c r="B7" s="137" t="s">
        <v>884</v>
      </c>
      <c r="C7" s="137">
        <v>2015</v>
      </c>
      <c r="D7" s="173">
        <v>1048508349</v>
      </c>
      <c r="E7" s="137">
        <v>0.1</v>
      </c>
      <c r="F7" s="173">
        <v>42426591</v>
      </c>
      <c r="G7" s="137">
        <v>0.1</v>
      </c>
      <c r="H7" s="137">
        <v>85</v>
      </c>
      <c r="I7" s="137">
        <v>0.1</v>
      </c>
    </row>
    <row r="8" spans="1:9" x14ac:dyDescent="0.15">
      <c r="A8" s="137" t="s">
        <v>175</v>
      </c>
      <c r="B8" s="137" t="s">
        <v>885</v>
      </c>
      <c r="C8" s="137">
        <v>2015</v>
      </c>
      <c r="D8" s="173">
        <v>5397864427</v>
      </c>
      <c r="E8" s="137">
        <v>0.6</v>
      </c>
      <c r="F8" s="173">
        <v>344965290</v>
      </c>
      <c r="G8" s="137">
        <v>0.5</v>
      </c>
      <c r="H8" s="137">
        <v>834</v>
      </c>
      <c r="I8" s="137">
        <v>1</v>
      </c>
    </row>
    <row r="9" spans="1:9" x14ac:dyDescent="0.15">
      <c r="A9" s="137" t="s">
        <v>176</v>
      </c>
      <c r="B9" s="137" t="s">
        <v>886</v>
      </c>
      <c r="C9" s="137">
        <v>2015</v>
      </c>
      <c r="D9" s="173">
        <v>5286112856</v>
      </c>
      <c r="E9" s="137">
        <v>0.6</v>
      </c>
      <c r="F9" s="173">
        <v>721774468</v>
      </c>
      <c r="G9" s="137">
        <v>1.1000000000000001</v>
      </c>
      <c r="H9" s="137">
        <v>328</v>
      </c>
      <c r="I9" s="137">
        <v>0.4</v>
      </c>
    </row>
    <row r="10" spans="1:9" x14ac:dyDescent="0.15">
      <c r="A10" s="137" t="s">
        <v>177</v>
      </c>
      <c r="B10" s="137" t="s">
        <v>887</v>
      </c>
      <c r="C10" s="137">
        <v>2015</v>
      </c>
      <c r="D10" s="173">
        <v>133281787238</v>
      </c>
      <c r="E10" s="137">
        <v>15.4</v>
      </c>
      <c r="F10" s="173">
        <v>8372783639</v>
      </c>
      <c r="G10" s="137">
        <v>13.3</v>
      </c>
      <c r="H10" s="137">
        <v>7650</v>
      </c>
      <c r="I10" s="137">
        <v>8.9</v>
      </c>
    </row>
    <row r="11" spans="1:9" x14ac:dyDescent="0.15">
      <c r="A11" s="137" t="s">
        <v>178</v>
      </c>
      <c r="B11" s="137" t="s">
        <v>888</v>
      </c>
      <c r="C11" s="137">
        <v>2015</v>
      </c>
      <c r="D11" s="173">
        <v>11735955635</v>
      </c>
      <c r="E11" s="137">
        <v>1.4</v>
      </c>
      <c r="F11" s="173">
        <v>834294096</v>
      </c>
      <c r="G11" s="137">
        <v>1.3</v>
      </c>
      <c r="H11" s="137">
        <v>1349</v>
      </c>
      <c r="I11" s="137">
        <v>1.6</v>
      </c>
    </row>
    <row r="12" spans="1:9" x14ac:dyDescent="0.15">
      <c r="A12" s="137" t="s">
        <v>179</v>
      </c>
      <c r="B12" s="137" t="s">
        <v>889</v>
      </c>
      <c r="C12" s="137">
        <v>2015</v>
      </c>
      <c r="D12" s="173">
        <v>11707411925</v>
      </c>
      <c r="E12" s="137">
        <v>1.3</v>
      </c>
      <c r="F12" s="173">
        <v>900843697</v>
      </c>
      <c r="G12" s="137">
        <v>1.4</v>
      </c>
      <c r="H12" s="137">
        <v>1591</v>
      </c>
      <c r="I12" s="137">
        <v>1.8</v>
      </c>
    </row>
    <row r="13" spans="1:9" x14ac:dyDescent="0.15">
      <c r="A13" s="137" t="s">
        <v>180</v>
      </c>
      <c r="B13" s="137" t="s">
        <v>890</v>
      </c>
      <c r="C13" s="137">
        <v>2015</v>
      </c>
      <c r="D13" s="173">
        <v>10445589387</v>
      </c>
      <c r="E13" s="137">
        <v>1.2</v>
      </c>
      <c r="F13" s="173">
        <v>865625755</v>
      </c>
      <c r="G13" s="137">
        <v>1.4</v>
      </c>
      <c r="H13" s="137">
        <v>1287</v>
      </c>
      <c r="I13" s="137">
        <v>1.5</v>
      </c>
    </row>
    <row r="14" spans="1:9" x14ac:dyDescent="0.15">
      <c r="A14" s="137" t="s">
        <v>181</v>
      </c>
      <c r="B14" s="137" t="s">
        <v>891</v>
      </c>
      <c r="C14" s="137">
        <v>2015</v>
      </c>
      <c r="D14" s="173">
        <v>9714611213</v>
      </c>
      <c r="E14" s="137">
        <v>1.1000000000000001</v>
      </c>
      <c r="F14" s="173">
        <v>453614711</v>
      </c>
      <c r="G14" s="137">
        <v>0.7</v>
      </c>
      <c r="H14" s="137">
        <v>387</v>
      </c>
      <c r="I14" s="137">
        <v>0.4</v>
      </c>
    </row>
    <row r="15" spans="1:9" x14ac:dyDescent="0.15">
      <c r="A15" s="137" t="s">
        <v>182</v>
      </c>
      <c r="B15" s="137" t="s">
        <v>892</v>
      </c>
      <c r="C15" s="137">
        <v>2015</v>
      </c>
      <c r="D15" s="173">
        <v>25581258784</v>
      </c>
      <c r="E15" s="137">
        <v>2.9</v>
      </c>
      <c r="F15" s="173">
        <v>1751976917</v>
      </c>
      <c r="G15" s="137">
        <v>2.8</v>
      </c>
      <c r="H15" s="137">
        <v>5266</v>
      </c>
      <c r="I15" s="137">
        <v>6.1</v>
      </c>
    </row>
    <row r="16" spans="1:9" x14ac:dyDescent="0.15">
      <c r="A16" s="137" t="s">
        <v>183</v>
      </c>
      <c r="B16" s="137" t="s">
        <v>893</v>
      </c>
      <c r="C16" s="137">
        <v>2015</v>
      </c>
      <c r="D16" s="173">
        <v>16827500173</v>
      </c>
      <c r="E16" s="137">
        <v>1.9</v>
      </c>
      <c r="F16" s="173">
        <v>1191092441</v>
      </c>
      <c r="G16" s="137">
        <v>1.9</v>
      </c>
      <c r="H16" s="137">
        <v>1488</v>
      </c>
      <c r="I16" s="137">
        <v>1.7</v>
      </c>
    </row>
    <row r="17" spans="1:9" x14ac:dyDescent="0.15">
      <c r="A17" s="137" t="s">
        <v>184</v>
      </c>
      <c r="B17" s="137" t="s">
        <v>894</v>
      </c>
      <c r="C17" s="137">
        <v>2015</v>
      </c>
      <c r="D17" s="173">
        <v>2061077501</v>
      </c>
      <c r="E17" s="137">
        <v>0.2</v>
      </c>
      <c r="F17" s="173">
        <v>109213958</v>
      </c>
      <c r="G17" s="137">
        <v>0.2</v>
      </c>
      <c r="H17" s="137">
        <v>357</v>
      </c>
      <c r="I17" s="137">
        <v>0.4</v>
      </c>
    </row>
    <row r="18" spans="1:9" x14ac:dyDescent="0.15">
      <c r="A18" s="137" t="s">
        <v>185</v>
      </c>
      <c r="B18" s="137" t="s">
        <v>895</v>
      </c>
      <c r="C18" s="137">
        <v>2015</v>
      </c>
      <c r="D18" s="173">
        <v>1818467421</v>
      </c>
      <c r="E18" s="137">
        <v>0.2</v>
      </c>
      <c r="F18" s="173">
        <v>86593975</v>
      </c>
      <c r="G18" s="137">
        <v>0.1</v>
      </c>
      <c r="H18" s="137">
        <v>241</v>
      </c>
      <c r="I18" s="137">
        <v>0.3</v>
      </c>
    </row>
    <row r="19" spans="1:9" x14ac:dyDescent="0.15">
      <c r="A19" s="137" t="s">
        <v>186</v>
      </c>
      <c r="B19" s="137" t="s">
        <v>896</v>
      </c>
      <c r="C19" s="137">
        <v>2015</v>
      </c>
      <c r="D19" s="173">
        <v>39032827259</v>
      </c>
      <c r="E19" s="137">
        <v>4.5</v>
      </c>
      <c r="F19" s="173">
        <v>3610445653</v>
      </c>
      <c r="G19" s="137">
        <v>5.7</v>
      </c>
      <c r="H19" s="137">
        <v>5317</v>
      </c>
      <c r="I19" s="137">
        <v>6.2</v>
      </c>
    </row>
    <row r="20" spans="1:9" x14ac:dyDescent="0.15">
      <c r="A20" s="137" t="s">
        <v>187</v>
      </c>
      <c r="B20" s="137" t="s">
        <v>897</v>
      </c>
      <c r="C20" s="137">
        <v>2015</v>
      </c>
      <c r="D20" s="173">
        <v>22462185900</v>
      </c>
      <c r="E20" s="137">
        <v>2.6</v>
      </c>
      <c r="F20" s="173">
        <v>1483101186</v>
      </c>
      <c r="G20" s="137">
        <v>2.4</v>
      </c>
      <c r="H20" s="137">
        <v>1194</v>
      </c>
      <c r="I20" s="137">
        <v>1.4</v>
      </c>
    </row>
    <row r="21" spans="1:9" x14ac:dyDescent="0.15">
      <c r="A21" s="137" t="s">
        <v>188</v>
      </c>
      <c r="B21" s="137" t="s">
        <v>898</v>
      </c>
      <c r="C21" s="137">
        <v>2015</v>
      </c>
      <c r="D21" s="173">
        <v>3855550561</v>
      </c>
      <c r="E21" s="137">
        <v>0.4</v>
      </c>
      <c r="F21" s="173">
        <v>230666534</v>
      </c>
      <c r="G21" s="137">
        <v>0.4</v>
      </c>
      <c r="H21" s="137">
        <v>866</v>
      </c>
      <c r="I21" s="137">
        <v>1</v>
      </c>
    </row>
    <row r="22" spans="1:9" x14ac:dyDescent="0.15">
      <c r="A22" s="137" t="s">
        <v>189</v>
      </c>
      <c r="B22" s="137" t="s">
        <v>899</v>
      </c>
      <c r="C22" s="137">
        <v>2015</v>
      </c>
      <c r="D22" s="173">
        <v>3697154734</v>
      </c>
      <c r="E22" s="137">
        <v>0.4</v>
      </c>
      <c r="F22" s="173">
        <v>215721644</v>
      </c>
      <c r="G22" s="137">
        <v>0.3</v>
      </c>
      <c r="H22" s="137">
        <v>775</v>
      </c>
      <c r="I22" s="137">
        <v>0.9</v>
      </c>
    </row>
    <row r="23" spans="1:9" x14ac:dyDescent="0.15">
      <c r="A23" s="137" t="s">
        <v>190</v>
      </c>
      <c r="B23" s="137" t="s">
        <v>900</v>
      </c>
      <c r="C23" s="137">
        <v>2015</v>
      </c>
      <c r="D23" s="173">
        <v>3237361928</v>
      </c>
      <c r="E23" s="137">
        <v>0.4</v>
      </c>
      <c r="F23" s="173">
        <v>185116421</v>
      </c>
      <c r="G23" s="137">
        <v>0.3</v>
      </c>
      <c r="H23" s="137">
        <v>543</v>
      </c>
      <c r="I23" s="137">
        <v>0.6</v>
      </c>
    </row>
    <row r="24" spans="1:9" x14ac:dyDescent="0.15">
      <c r="A24" s="137" t="s">
        <v>191</v>
      </c>
      <c r="B24" s="137" t="s">
        <v>901</v>
      </c>
      <c r="C24" s="137">
        <v>2015</v>
      </c>
      <c r="D24" s="173">
        <v>3911529843</v>
      </c>
      <c r="E24" s="137">
        <v>0.5</v>
      </c>
      <c r="F24" s="173">
        <v>237237316</v>
      </c>
      <c r="G24" s="137">
        <v>0.4</v>
      </c>
      <c r="H24" s="137">
        <v>516</v>
      </c>
      <c r="I24" s="137">
        <v>0.6</v>
      </c>
    </row>
    <row r="25" spans="1:9" x14ac:dyDescent="0.15">
      <c r="A25" s="137" t="s">
        <v>192</v>
      </c>
      <c r="B25" s="137" t="s">
        <v>902</v>
      </c>
      <c r="C25" s="137">
        <v>2015</v>
      </c>
      <c r="D25" s="173">
        <v>2900606191</v>
      </c>
      <c r="E25" s="137">
        <v>0.3</v>
      </c>
      <c r="F25" s="173">
        <v>159795511</v>
      </c>
      <c r="G25" s="137">
        <v>0.3</v>
      </c>
      <c r="H25" s="137">
        <v>363</v>
      </c>
      <c r="I25" s="137">
        <v>0.4</v>
      </c>
    </row>
    <row r="26" spans="1:9" x14ac:dyDescent="0.15">
      <c r="A26" s="137" t="s">
        <v>193</v>
      </c>
      <c r="B26" s="137" t="s">
        <v>903</v>
      </c>
      <c r="C26" s="137">
        <v>2015</v>
      </c>
      <c r="D26" s="173">
        <v>17288455807</v>
      </c>
      <c r="E26" s="137">
        <v>2</v>
      </c>
      <c r="F26" s="173">
        <v>887897207</v>
      </c>
      <c r="G26" s="137">
        <v>1.4</v>
      </c>
      <c r="H26" s="137">
        <v>1433</v>
      </c>
      <c r="I26" s="137">
        <v>1.7</v>
      </c>
    </row>
    <row r="27" spans="1:9" x14ac:dyDescent="0.15">
      <c r="A27" s="137" t="s">
        <v>194</v>
      </c>
      <c r="B27" s="137" t="s">
        <v>904</v>
      </c>
      <c r="C27" s="137">
        <v>2015</v>
      </c>
      <c r="D27" s="173">
        <v>23725981843</v>
      </c>
      <c r="E27" s="137">
        <v>2.7</v>
      </c>
      <c r="F27" s="173">
        <v>1674862137</v>
      </c>
      <c r="G27" s="137">
        <v>2.7</v>
      </c>
      <c r="H27" s="137">
        <v>3008</v>
      </c>
      <c r="I27" s="137">
        <v>3.5</v>
      </c>
    </row>
    <row r="28" spans="1:9" x14ac:dyDescent="0.15">
      <c r="A28" s="137" t="s">
        <v>195</v>
      </c>
      <c r="B28" s="137" t="s">
        <v>905</v>
      </c>
      <c r="C28" s="137">
        <v>2015</v>
      </c>
      <c r="D28" s="173">
        <v>31187432087</v>
      </c>
      <c r="E28" s="137">
        <v>3.6</v>
      </c>
      <c r="F28" s="173">
        <v>1663756427</v>
      </c>
      <c r="G28" s="137">
        <v>2.6</v>
      </c>
      <c r="H28" s="137">
        <v>2181</v>
      </c>
      <c r="I28" s="137">
        <v>2.5</v>
      </c>
    </row>
    <row r="29" spans="1:9" x14ac:dyDescent="0.15">
      <c r="A29" s="137" t="s">
        <v>196</v>
      </c>
      <c r="B29" s="137" t="s">
        <v>906</v>
      </c>
      <c r="C29" s="137">
        <v>2015</v>
      </c>
      <c r="D29" s="173">
        <v>18611796298</v>
      </c>
      <c r="E29" s="137">
        <v>2.1</v>
      </c>
      <c r="F29" s="173">
        <v>1343337650</v>
      </c>
      <c r="G29" s="137">
        <v>2.1</v>
      </c>
      <c r="H29" s="137">
        <v>1481</v>
      </c>
      <c r="I29" s="137">
        <v>1.7</v>
      </c>
    </row>
    <row r="30" spans="1:9" x14ac:dyDescent="0.15">
      <c r="A30" s="137" t="s">
        <v>197</v>
      </c>
      <c r="B30" s="137" t="s">
        <v>907</v>
      </c>
      <c r="C30" s="137">
        <v>2015</v>
      </c>
      <c r="D30" s="173">
        <v>1443082457</v>
      </c>
      <c r="E30" s="137">
        <v>0.2</v>
      </c>
      <c r="F30" s="173">
        <v>96286772</v>
      </c>
      <c r="G30" s="137">
        <v>0.2</v>
      </c>
      <c r="H30" s="137">
        <v>243</v>
      </c>
      <c r="I30" s="137">
        <v>0.3</v>
      </c>
    </row>
    <row r="31" spans="1:9" x14ac:dyDescent="0.15">
      <c r="A31" s="137" t="s">
        <v>198</v>
      </c>
      <c r="B31" s="137" t="s">
        <v>908</v>
      </c>
      <c r="C31" s="137">
        <v>2015</v>
      </c>
      <c r="D31" s="173">
        <v>13762831548</v>
      </c>
      <c r="E31" s="137">
        <v>1.6</v>
      </c>
      <c r="F31" s="173">
        <v>1110991342</v>
      </c>
      <c r="G31" s="137">
        <v>1.8</v>
      </c>
      <c r="H31" s="137">
        <v>1426</v>
      </c>
      <c r="I31" s="137">
        <v>1.7</v>
      </c>
    </row>
    <row r="32" spans="1:9" x14ac:dyDescent="0.15">
      <c r="A32" s="137" t="s">
        <v>199</v>
      </c>
      <c r="B32" s="137" t="s">
        <v>909</v>
      </c>
      <c r="C32" s="137">
        <v>2015</v>
      </c>
      <c r="D32" s="173">
        <v>1651715109</v>
      </c>
      <c r="E32" s="137">
        <v>0.2</v>
      </c>
      <c r="F32" s="173">
        <v>80508508</v>
      </c>
      <c r="G32" s="137">
        <v>0.1</v>
      </c>
      <c r="H32" s="137">
        <v>283</v>
      </c>
      <c r="I32" s="137">
        <v>0.3</v>
      </c>
    </row>
    <row r="33" spans="1:9" x14ac:dyDescent="0.15">
      <c r="A33" s="137" t="s">
        <v>200</v>
      </c>
      <c r="B33" s="137" t="s">
        <v>910</v>
      </c>
      <c r="C33" s="137">
        <v>2015</v>
      </c>
      <c r="D33" s="173">
        <v>8071136635</v>
      </c>
      <c r="E33" s="137">
        <v>0.9</v>
      </c>
      <c r="F33" s="173">
        <v>1043355636</v>
      </c>
      <c r="G33" s="137">
        <v>1.7</v>
      </c>
      <c r="H33" s="137">
        <v>598</v>
      </c>
      <c r="I33" s="137">
        <v>0.7</v>
      </c>
    </row>
    <row r="34" spans="1:9" x14ac:dyDescent="0.15">
      <c r="A34" s="137" t="s">
        <v>201</v>
      </c>
      <c r="B34" s="137" t="s">
        <v>911</v>
      </c>
      <c r="C34" s="137">
        <v>2015</v>
      </c>
      <c r="D34" s="173">
        <v>4279630463</v>
      </c>
      <c r="E34" s="137">
        <v>0.5</v>
      </c>
      <c r="F34" s="173">
        <v>360845841</v>
      </c>
      <c r="G34" s="137">
        <v>0.6</v>
      </c>
      <c r="H34" s="137">
        <v>509</v>
      </c>
      <c r="I34" s="137">
        <v>0.6</v>
      </c>
    </row>
    <row r="35" spans="1:9" x14ac:dyDescent="0.15">
      <c r="A35" s="137" t="s">
        <v>202</v>
      </c>
      <c r="B35" s="137" t="s">
        <v>912</v>
      </c>
      <c r="C35" s="137">
        <v>2015</v>
      </c>
      <c r="D35" s="173">
        <v>2412957649</v>
      </c>
      <c r="E35" s="137">
        <v>0.3</v>
      </c>
      <c r="F35" s="173">
        <v>170839121</v>
      </c>
      <c r="G35" s="137">
        <v>0.3</v>
      </c>
      <c r="H35" s="137">
        <v>445</v>
      </c>
      <c r="I35" s="137">
        <v>0.5</v>
      </c>
    </row>
    <row r="36" spans="1:9" x14ac:dyDescent="0.15">
      <c r="A36" s="137" t="s">
        <v>203</v>
      </c>
      <c r="B36" s="137" t="s">
        <v>913</v>
      </c>
      <c r="C36" s="137">
        <v>2015</v>
      </c>
      <c r="D36" s="173">
        <v>24342626125</v>
      </c>
      <c r="E36" s="137">
        <v>2.8</v>
      </c>
      <c r="F36" s="173">
        <v>4130119172</v>
      </c>
      <c r="G36" s="137">
        <v>6.6</v>
      </c>
      <c r="H36" s="137">
        <v>2826</v>
      </c>
      <c r="I36" s="137">
        <v>3.3</v>
      </c>
    </row>
    <row r="37" spans="1:9" x14ac:dyDescent="0.15">
      <c r="A37" s="137" t="s">
        <v>204</v>
      </c>
      <c r="B37" s="137" t="s">
        <v>914</v>
      </c>
      <c r="C37" s="137">
        <v>2015</v>
      </c>
      <c r="D37" s="173">
        <v>1676033192</v>
      </c>
      <c r="E37" s="137">
        <v>0.2</v>
      </c>
      <c r="F37" s="173">
        <v>82529996</v>
      </c>
      <c r="G37" s="137">
        <v>0.1</v>
      </c>
      <c r="H37" s="137">
        <v>277</v>
      </c>
      <c r="I37" s="137">
        <v>0.3</v>
      </c>
    </row>
    <row r="38" spans="1:9" x14ac:dyDescent="0.15">
      <c r="A38" s="137" t="s">
        <v>205</v>
      </c>
      <c r="B38" s="137" t="s">
        <v>915</v>
      </c>
      <c r="C38" s="137">
        <v>2015</v>
      </c>
      <c r="D38" s="173">
        <v>151125413759</v>
      </c>
      <c r="E38" s="137">
        <v>17.399999999999999</v>
      </c>
      <c r="F38" s="173">
        <v>10490751818</v>
      </c>
      <c r="G38" s="137">
        <v>16.7</v>
      </c>
      <c r="H38" s="137">
        <v>9639</v>
      </c>
      <c r="I38" s="137">
        <v>11.2</v>
      </c>
    </row>
    <row r="39" spans="1:9" x14ac:dyDescent="0.15">
      <c r="A39" s="137" t="s">
        <v>206</v>
      </c>
      <c r="B39" s="137" t="s">
        <v>916</v>
      </c>
      <c r="C39" s="137">
        <v>2015</v>
      </c>
      <c r="D39" s="173">
        <v>19131877674</v>
      </c>
      <c r="E39" s="137">
        <v>2.2000000000000002</v>
      </c>
      <c r="F39" s="173">
        <v>1415232576</v>
      </c>
      <c r="G39" s="137">
        <v>2.2999999999999998</v>
      </c>
      <c r="H39" s="137">
        <v>3456</v>
      </c>
      <c r="I39" s="137">
        <v>4</v>
      </c>
    </row>
    <row r="40" spans="1:9" x14ac:dyDescent="0.15">
      <c r="A40" s="137" t="s">
        <v>207</v>
      </c>
      <c r="B40" s="137" t="s">
        <v>917</v>
      </c>
      <c r="C40" s="137">
        <v>2015</v>
      </c>
      <c r="D40" s="173">
        <v>404224407</v>
      </c>
      <c r="E40" s="137">
        <v>0</v>
      </c>
      <c r="F40" s="173">
        <v>22904979</v>
      </c>
      <c r="G40" s="137">
        <v>0</v>
      </c>
      <c r="H40" s="137">
        <v>90</v>
      </c>
      <c r="I40" s="137">
        <v>0.1</v>
      </c>
    </row>
    <row r="41" spans="1:9" x14ac:dyDescent="0.15">
      <c r="A41" s="137" t="s">
        <v>208</v>
      </c>
      <c r="B41" s="137" t="s">
        <v>918</v>
      </c>
      <c r="C41" s="137">
        <v>2015</v>
      </c>
      <c r="D41" s="173">
        <v>23385932231</v>
      </c>
      <c r="E41" s="137">
        <v>2.7</v>
      </c>
      <c r="F41" s="173">
        <v>1672835323</v>
      </c>
      <c r="G41" s="137">
        <v>2.7</v>
      </c>
      <c r="H41" s="137">
        <v>3626</v>
      </c>
      <c r="I41" s="137">
        <v>4.2</v>
      </c>
    </row>
    <row r="42" spans="1:9" x14ac:dyDescent="0.15">
      <c r="A42" s="137" t="s">
        <v>209</v>
      </c>
      <c r="B42" s="137" t="s">
        <v>919</v>
      </c>
      <c r="C42" s="137">
        <v>2015</v>
      </c>
      <c r="D42" s="173">
        <v>15119018224</v>
      </c>
      <c r="E42" s="137">
        <v>1.7</v>
      </c>
      <c r="F42" s="173">
        <v>738122169</v>
      </c>
      <c r="G42" s="137">
        <v>1.2</v>
      </c>
      <c r="H42" s="137">
        <v>792</v>
      </c>
      <c r="I42" s="137">
        <v>0.9</v>
      </c>
    </row>
    <row r="43" spans="1:9" x14ac:dyDescent="0.15">
      <c r="A43" s="137" t="s">
        <v>210</v>
      </c>
      <c r="B43" s="137" t="s">
        <v>920</v>
      </c>
      <c r="C43" s="137">
        <v>2015</v>
      </c>
      <c r="D43" s="173">
        <v>7164494541</v>
      </c>
      <c r="E43" s="137">
        <v>0.8</v>
      </c>
      <c r="F43" s="173">
        <v>399847794</v>
      </c>
      <c r="G43" s="137">
        <v>0.6</v>
      </c>
      <c r="H43" s="137">
        <v>867</v>
      </c>
      <c r="I43" s="137">
        <v>1</v>
      </c>
    </row>
    <row r="44" spans="1:9" x14ac:dyDescent="0.15">
      <c r="A44" s="137" t="s">
        <v>211</v>
      </c>
      <c r="B44" s="137" t="s">
        <v>921</v>
      </c>
      <c r="C44" s="137">
        <v>2015</v>
      </c>
      <c r="D44" s="173">
        <v>35939558875</v>
      </c>
      <c r="E44" s="137">
        <v>4.0999999999999996</v>
      </c>
      <c r="F44" s="173">
        <v>2469569058</v>
      </c>
      <c r="G44" s="137">
        <v>3.9</v>
      </c>
      <c r="H44" s="137">
        <v>6656</v>
      </c>
      <c r="I44" s="137">
        <v>7.7</v>
      </c>
    </row>
    <row r="45" spans="1:9" x14ac:dyDescent="0.15">
      <c r="A45" s="137" t="s">
        <v>212</v>
      </c>
      <c r="B45" s="137" t="s">
        <v>922</v>
      </c>
      <c r="C45" s="137">
        <v>2015</v>
      </c>
      <c r="D45" s="173">
        <v>7326608877</v>
      </c>
      <c r="E45" s="137">
        <v>0.8</v>
      </c>
      <c r="F45" s="173">
        <v>386480541</v>
      </c>
      <c r="G45" s="137">
        <v>0.6</v>
      </c>
      <c r="H45" s="137">
        <v>2675</v>
      </c>
      <c r="I45" s="137">
        <v>3.1</v>
      </c>
    </row>
    <row r="46" spans="1:9" x14ac:dyDescent="0.15">
      <c r="A46" s="137" t="s">
        <v>213</v>
      </c>
      <c r="B46" s="137" t="s">
        <v>923</v>
      </c>
      <c r="C46" s="137">
        <v>2015</v>
      </c>
      <c r="D46" s="173">
        <v>2521417905</v>
      </c>
      <c r="E46" s="137">
        <v>0.3</v>
      </c>
      <c r="F46" s="173">
        <v>187046418</v>
      </c>
      <c r="G46" s="137">
        <v>0.3</v>
      </c>
      <c r="H46" s="137">
        <v>489</v>
      </c>
      <c r="I46" s="137">
        <v>0.6</v>
      </c>
    </row>
    <row r="47" spans="1:9" x14ac:dyDescent="0.15">
      <c r="A47" s="137" t="s">
        <v>214</v>
      </c>
      <c r="B47" s="137" t="s">
        <v>924</v>
      </c>
      <c r="C47" s="137">
        <v>2015</v>
      </c>
      <c r="D47" s="173">
        <v>1102436430</v>
      </c>
      <c r="E47" s="137">
        <v>0.1</v>
      </c>
      <c r="F47" s="173">
        <v>54279722</v>
      </c>
      <c r="G47" s="137">
        <v>0.1</v>
      </c>
      <c r="H47" s="137">
        <v>159</v>
      </c>
      <c r="I47" s="137">
        <v>0.2</v>
      </c>
    </row>
    <row r="48" spans="1:9" x14ac:dyDescent="0.15">
      <c r="A48" s="137" t="s">
        <v>215</v>
      </c>
      <c r="B48" s="137" t="s">
        <v>925</v>
      </c>
      <c r="C48" s="137">
        <v>2015</v>
      </c>
      <c r="D48" s="173">
        <v>7630786949</v>
      </c>
      <c r="E48" s="137">
        <v>0.9</v>
      </c>
      <c r="F48" s="173">
        <v>672707947</v>
      </c>
      <c r="G48" s="137">
        <v>1.1000000000000001</v>
      </c>
      <c r="H48" s="137">
        <v>817</v>
      </c>
      <c r="I48" s="137">
        <v>0.9</v>
      </c>
    </row>
    <row r="49" spans="1:9" x14ac:dyDescent="0.15">
      <c r="A49" s="137" t="s">
        <v>216</v>
      </c>
      <c r="B49" s="137" t="s">
        <v>926</v>
      </c>
      <c r="C49" s="137">
        <v>2015</v>
      </c>
      <c r="D49" s="173">
        <v>48578849831</v>
      </c>
      <c r="E49" s="137">
        <v>5.6</v>
      </c>
      <c r="F49" s="173">
        <v>3212599988</v>
      </c>
      <c r="G49" s="137">
        <v>5.0999999999999996</v>
      </c>
      <c r="H49" s="137">
        <v>4782</v>
      </c>
      <c r="I49" s="137">
        <v>5.5</v>
      </c>
    </row>
    <row r="50" spans="1:9" x14ac:dyDescent="0.15">
      <c r="A50" s="137" t="s">
        <v>217</v>
      </c>
      <c r="B50" s="137" t="s">
        <v>927</v>
      </c>
      <c r="C50" s="137">
        <v>2015</v>
      </c>
      <c r="D50" s="173">
        <v>4196234728</v>
      </c>
      <c r="E50" s="137">
        <v>0.5</v>
      </c>
      <c r="F50" s="173">
        <v>218902529</v>
      </c>
      <c r="G50" s="137">
        <v>0.3</v>
      </c>
      <c r="H50" s="137">
        <v>594</v>
      </c>
      <c r="I50" s="137">
        <v>0.7</v>
      </c>
    </row>
    <row r="51" spans="1:9" x14ac:dyDescent="0.15">
      <c r="A51" s="137" t="s">
        <v>218</v>
      </c>
      <c r="B51" s="137" t="s">
        <v>928</v>
      </c>
      <c r="C51" s="137">
        <v>2015</v>
      </c>
      <c r="D51" s="173">
        <v>857246345</v>
      </c>
      <c r="E51" s="137">
        <v>0.1</v>
      </c>
      <c r="F51" s="173">
        <v>54846677</v>
      </c>
      <c r="G51" s="137">
        <v>0.1</v>
      </c>
      <c r="H51" s="137">
        <v>216</v>
      </c>
      <c r="I51" s="137">
        <v>0.3</v>
      </c>
    </row>
    <row r="52" spans="1:9" x14ac:dyDescent="0.15">
      <c r="A52" s="137" t="s">
        <v>219</v>
      </c>
      <c r="B52" s="137" t="s">
        <v>929</v>
      </c>
      <c r="C52" s="137">
        <v>2015</v>
      </c>
      <c r="D52" s="173">
        <v>10260981584</v>
      </c>
      <c r="E52" s="137">
        <v>1.2</v>
      </c>
      <c r="F52" s="173">
        <v>652950480</v>
      </c>
      <c r="G52" s="137">
        <v>1</v>
      </c>
      <c r="H52" s="137">
        <v>1517</v>
      </c>
      <c r="I52" s="137">
        <v>1.8</v>
      </c>
    </row>
    <row r="53" spans="1:9" x14ac:dyDescent="0.15">
      <c r="A53" s="137" t="s">
        <v>220</v>
      </c>
      <c r="B53" s="137" t="s">
        <v>930</v>
      </c>
      <c r="C53" s="137">
        <v>2015</v>
      </c>
      <c r="D53" s="173">
        <v>54150843917</v>
      </c>
      <c r="E53" s="137">
        <v>6.2</v>
      </c>
      <c r="F53" s="173">
        <v>4583276833</v>
      </c>
      <c r="G53" s="137">
        <v>7.3</v>
      </c>
      <c r="H53" s="137">
        <v>1300</v>
      </c>
      <c r="I53" s="137">
        <v>1.5</v>
      </c>
    </row>
    <row r="54" spans="1:9" x14ac:dyDescent="0.15">
      <c r="A54" s="137" t="s">
        <v>221</v>
      </c>
      <c r="B54" s="137" t="s">
        <v>931</v>
      </c>
      <c r="C54" s="137">
        <v>2015</v>
      </c>
      <c r="D54" s="173">
        <v>1420961399</v>
      </c>
      <c r="E54" s="137">
        <v>0.2</v>
      </c>
      <c r="F54" s="173">
        <v>72994735</v>
      </c>
      <c r="G54" s="137">
        <v>0.1</v>
      </c>
      <c r="H54" s="137">
        <v>293</v>
      </c>
      <c r="I54" s="137">
        <v>0.3</v>
      </c>
    </row>
    <row r="55" spans="1:9" x14ac:dyDescent="0.15">
      <c r="A55" s="137" t="s">
        <v>222</v>
      </c>
      <c r="B55" s="137" t="s">
        <v>932</v>
      </c>
      <c r="C55" s="137">
        <v>2015</v>
      </c>
      <c r="D55" s="173">
        <v>10384565875</v>
      </c>
      <c r="E55" s="137">
        <v>1.2</v>
      </c>
      <c r="F55" s="173">
        <v>696879197</v>
      </c>
      <c r="G55" s="137">
        <v>1.1000000000000001</v>
      </c>
      <c r="H55" s="137">
        <v>1883</v>
      </c>
      <c r="I55" s="137">
        <v>2.2000000000000002</v>
      </c>
    </row>
    <row r="56" spans="1:9" x14ac:dyDescent="0.15">
      <c r="A56" s="137" t="s">
        <v>223</v>
      </c>
      <c r="B56" s="137" t="s">
        <v>933</v>
      </c>
      <c r="C56" s="137">
        <v>2015</v>
      </c>
      <c r="D56" s="173">
        <v>1698342453</v>
      </c>
      <c r="E56" s="137">
        <v>0.2</v>
      </c>
      <c r="F56" s="173">
        <v>119354233</v>
      </c>
      <c r="G56" s="137">
        <v>0.2</v>
      </c>
      <c r="H56" s="137">
        <v>242</v>
      </c>
      <c r="I56" s="137">
        <v>0.3</v>
      </c>
    </row>
    <row r="57" spans="1:9" x14ac:dyDescent="0.15">
      <c r="D57" s="173">
        <f>SUM(D6:D56)</f>
        <v>867989379147</v>
      </c>
      <c r="E57" s="137">
        <f>SUM(E6:E56)</f>
        <v>99.7</v>
      </c>
      <c r="F57" s="173">
        <f>SUM(F6:F56)</f>
        <v>62793608844</v>
      </c>
      <c r="G57" s="137">
        <f>SUM(G6:G56)</f>
        <v>99.899999999999949</v>
      </c>
      <c r="I57" s="137">
        <f>SUM(I6:I56)</f>
        <v>100</v>
      </c>
    </row>
    <row r="59" spans="1:9" ht="51.75" customHeight="1" x14ac:dyDescent="0.15">
      <c r="A59" s="207" t="s">
        <v>934</v>
      </c>
      <c r="B59" s="207"/>
      <c r="C59" s="207"/>
      <c r="D59" s="207"/>
      <c r="E59" s="207"/>
      <c r="F59" s="207"/>
      <c r="G59" s="207"/>
      <c r="H59" s="207"/>
      <c r="I59" s="207"/>
    </row>
    <row r="61" spans="1:9" x14ac:dyDescent="0.15">
      <c r="A61" s="137" t="s">
        <v>935</v>
      </c>
    </row>
    <row r="63" spans="1:9" x14ac:dyDescent="0.15">
      <c r="A63" s="137" t="s">
        <v>936</v>
      </c>
    </row>
    <row r="64" spans="1:9" ht="130" x14ac:dyDescent="0.15">
      <c r="A64" s="205" t="s">
        <v>937</v>
      </c>
    </row>
    <row r="66" spans="1:9" x14ac:dyDescent="0.15">
      <c r="A66" s="137" t="s">
        <v>938</v>
      </c>
    </row>
    <row r="68" spans="1:9" x14ac:dyDescent="0.15">
      <c r="A68" s="137" t="s">
        <v>939</v>
      </c>
      <c r="B68" s="137" t="s">
        <v>940</v>
      </c>
      <c r="C68" s="137" t="s">
        <v>941</v>
      </c>
      <c r="D68" s="137" t="s">
        <v>942</v>
      </c>
      <c r="E68" s="137" t="s">
        <v>943</v>
      </c>
      <c r="F68" s="137" t="s">
        <v>944</v>
      </c>
      <c r="G68" s="137" t="s">
        <v>945</v>
      </c>
      <c r="H68" s="137" t="s">
        <v>946</v>
      </c>
      <c r="I68" s="137" t="s">
        <v>947</v>
      </c>
    </row>
    <row r="69" spans="1:9" x14ac:dyDescent="0.15">
      <c r="A69" s="137" t="s">
        <v>948</v>
      </c>
      <c r="B69" s="137" t="s">
        <v>949</v>
      </c>
      <c r="C69" s="137">
        <v>2015</v>
      </c>
      <c r="D69" s="206">
        <v>84271432910</v>
      </c>
      <c r="E69" s="137">
        <v>9.6999999999999993</v>
      </c>
      <c r="F69" s="137">
        <v>6989857606</v>
      </c>
      <c r="G69" s="137">
        <v>11.1</v>
      </c>
      <c r="H69" s="137">
        <v>795</v>
      </c>
      <c r="I69" s="137">
        <v>0.9</v>
      </c>
    </row>
    <row r="70" spans="1:9" x14ac:dyDescent="0.15">
      <c r="A70" s="137" t="s">
        <v>632</v>
      </c>
      <c r="B70" s="137" t="s">
        <v>950</v>
      </c>
      <c r="C70" s="137">
        <v>2015</v>
      </c>
      <c r="D70" s="206">
        <v>27799317937</v>
      </c>
      <c r="E70" s="137">
        <v>3.2</v>
      </c>
      <c r="F70" s="137">
        <v>5508251597</v>
      </c>
      <c r="G70" s="137">
        <v>8.8000000000000007</v>
      </c>
      <c r="H70" s="137">
        <v>2468</v>
      </c>
      <c r="I70" s="137">
        <v>2.9</v>
      </c>
    </row>
    <row r="71" spans="1:9" x14ac:dyDescent="0.15">
      <c r="A71" s="137" t="s">
        <v>951</v>
      </c>
      <c r="B71" s="137" t="s">
        <v>897</v>
      </c>
      <c r="C71" s="137">
        <v>2015</v>
      </c>
      <c r="D71" s="206">
        <v>712025541743</v>
      </c>
      <c r="E71" s="137">
        <v>82</v>
      </c>
      <c r="F71" s="137">
        <v>44128388767</v>
      </c>
      <c r="G71" s="137">
        <v>70.3</v>
      </c>
      <c r="H71" s="137">
        <v>79489</v>
      </c>
      <c r="I71" s="137">
        <v>92.2</v>
      </c>
    </row>
    <row r="72" spans="1:9" x14ac:dyDescent="0.15">
      <c r="A72" s="137" t="s">
        <v>952</v>
      </c>
      <c r="B72" s="137" t="s">
        <v>953</v>
      </c>
      <c r="C72" s="137">
        <v>2015</v>
      </c>
      <c r="D72" s="206">
        <v>43893086557</v>
      </c>
      <c r="E72" s="137">
        <v>5.0999999999999996</v>
      </c>
      <c r="F72" s="137">
        <v>6167110874</v>
      </c>
      <c r="G72" s="137">
        <v>9.8000000000000007</v>
      </c>
      <c r="H72" s="137">
        <v>3451</v>
      </c>
      <c r="I72" s="137">
        <v>4</v>
      </c>
    </row>
  </sheetData>
  <pageMargins left="0.7" right="0.7" top="0.75" bottom="0.75" header="0.3" footer="0.3"/>
  <pageSetup scale="67"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6F9D-45D6-43F1-A12B-E7FAC64F9489}">
  <dimension ref="A1:J52"/>
  <sheetViews>
    <sheetView topLeftCell="A25" workbookViewId="0">
      <selection activeCell="J53" sqref="J52:J53"/>
    </sheetView>
  </sheetViews>
  <sheetFormatPr baseColWidth="10" defaultColWidth="8.83203125" defaultRowHeight="15" outlineLevelCol="1" x14ac:dyDescent="0.2"/>
  <cols>
    <col min="1" max="1" width="22.5" bestFit="1" customWidth="1"/>
    <col min="2" max="2" width="29.6640625" bestFit="1" customWidth="1"/>
    <col min="3" max="3" width="24" bestFit="1" customWidth="1"/>
    <col min="4" max="4" width="22.33203125" bestFit="1" customWidth="1"/>
    <col min="5" max="5" width="33.83203125" bestFit="1" customWidth="1"/>
    <col min="6" max="6" width="33.83203125" customWidth="1"/>
    <col min="7" max="7" width="22.33203125" hidden="1" customWidth="1" outlineLevel="1"/>
    <col min="8" max="8" width="31.33203125" hidden="1" customWidth="1" outlineLevel="1"/>
    <col min="9" max="9" width="17.5" hidden="1" customWidth="1" outlineLevel="1"/>
    <col min="10" max="10" width="15.83203125" bestFit="1" customWidth="1" collapsed="1"/>
  </cols>
  <sheetData>
    <row r="1" spans="1:10" x14ac:dyDescent="0.2">
      <c r="A1" s="1" t="s">
        <v>954</v>
      </c>
      <c r="B1" s="1" t="s">
        <v>955</v>
      </c>
      <c r="C1" s="1" t="s">
        <v>74</v>
      </c>
      <c r="D1" s="1" t="s">
        <v>956</v>
      </c>
      <c r="E1" s="1" t="s">
        <v>226</v>
      </c>
      <c r="F1" s="1" t="s">
        <v>957</v>
      </c>
      <c r="G1" s="1" t="s">
        <v>958</v>
      </c>
      <c r="H1" s="1" t="s">
        <v>63</v>
      </c>
      <c r="I1" s="1" t="s">
        <v>959</v>
      </c>
      <c r="J1" s="1" t="s">
        <v>83</v>
      </c>
    </row>
    <row r="2" spans="1:10" x14ac:dyDescent="0.2">
      <c r="A2" t="s">
        <v>59</v>
      </c>
      <c r="B2" t="s">
        <v>80</v>
      </c>
      <c r="C2" t="s">
        <v>6</v>
      </c>
      <c r="D2" t="s">
        <v>79</v>
      </c>
      <c r="E2" t="s">
        <v>120</v>
      </c>
      <c r="F2" t="s">
        <v>286</v>
      </c>
      <c r="G2" t="s">
        <v>101</v>
      </c>
      <c r="H2" t="s">
        <v>351</v>
      </c>
      <c r="I2" t="s">
        <v>960</v>
      </c>
      <c r="J2" t="s">
        <v>173</v>
      </c>
    </row>
    <row r="3" spans="1:10" x14ac:dyDescent="0.2">
      <c r="A3" t="s">
        <v>51</v>
      </c>
      <c r="B3" t="s">
        <v>81</v>
      </c>
      <c r="C3" t="s">
        <v>961</v>
      </c>
      <c r="D3" t="s">
        <v>78</v>
      </c>
      <c r="E3" t="s">
        <v>121</v>
      </c>
      <c r="F3" t="s">
        <v>290</v>
      </c>
      <c r="G3" t="s">
        <v>102</v>
      </c>
      <c r="H3" t="s">
        <v>599</v>
      </c>
      <c r="I3" t="s">
        <v>962</v>
      </c>
      <c r="J3" t="s">
        <v>174</v>
      </c>
    </row>
    <row r="4" spans="1:10" x14ac:dyDescent="0.2">
      <c r="A4" t="s">
        <v>54</v>
      </c>
      <c r="B4" t="s">
        <v>82</v>
      </c>
      <c r="C4" t="s">
        <v>505</v>
      </c>
      <c r="D4" t="s">
        <v>77</v>
      </c>
      <c r="E4" t="s">
        <v>122</v>
      </c>
      <c r="F4" t="s">
        <v>294</v>
      </c>
      <c r="G4" t="s">
        <v>103</v>
      </c>
      <c r="H4" t="s">
        <v>488</v>
      </c>
      <c r="I4" t="s">
        <v>963</v>
      </c>
      <c r="J4" t="s">
        <v>175</v>
      </c>
    </row>
    <row r="5" spans="1:10" x14ac:dyDescent="0.2">
      <c r="A5" t="s">
        <v>55</v>
      </c>
      <c r="C5" t="s">
        <v>83</v>
      </c>
      <c r="D5" t="s">
        <v>964</v>
      </c>
      <c r="E5" t="s">
        <v>123</v>
      </c>
      <c r="F5" t="s">
        <v>287</v>
      </c>
      <c r="G5" t="s">
        <v>104</v>
      </c>
      <c r="H5" t="s">
        <v>347</v>
      </c>
      <c r="I5" t="s">
        <v>965</v>
      </c>
      <c r="J5" t="s">
        <v>176</v>
      </c>
    </row>
    <row r="6" spans="1:10" x14ac:dyDescent="0.2">
      <c r="A6" t="s">
        <v>52</v>
      </c>
      <c r="C6" t="s">
        <v>7</v>
      </c>
      <c r="E6" t="s">
        <v>124</v>
      </c>
      <c r="F6" t="s">
        <v>291</v>
      </c>
      <c r="G6" t="s">
        <v>966</v>
      </c>
      <c r="H6" t="s">
        <v>508</v>
      </c>
      <c r="I6" t="s">
        <v>967</v>
      </c>
      <c r="J6" t="s">
        <v>177</v>
      </c>
    </row>
    <row r="7" spans="1:10" x14ac:dyDescent="0.2">
      <c r="A7" t="s">
        <v>53</v>
      </c>
      <c r="E7" t="s">
        <v>125</v>
      </c>
      <c r="F7" t="s">
        <v>295</v>
      </c>
      <c r="G7" t="s">
        <v>100</v>
      </c>
      <c r="H7" t="s">
        <v>647</v>
      </c>
      <c r="I7" t="s">
        <v>968</v>
      </c>
      <c r="J7" t="s">
        <v>178</v>
      </c>
    </row>
    <row r="8" spans="1:10" x14ac:dyDescent="0.2">
      <c r="A8" t="s">
        <v>56</v>
      </c>
      <c r="E8" t="s">
        <v>126</v>
      </c>
      <c r="F8" t="s">
        <v>288</v>
      </c>
      <c r="H8" t="s">
        <v>352</v>
      </c>
      <c r="J8" t="s">
        <v>179</v>
      </c>
    </row>
    <row r="9" spans="1:10" x14ac:dyDescent="0.2">
      <c r="E9" t="s">
        <v>127</v>
      </c>
      <c r="F9" t="s">
        <v>292</v>
      </c>
      <c r="J9" t="s">
        <v>180</v>
      </c>
    </row>
    <row r="10" spans="1:10" x14ac:dyDescent="0.2">
      <c r="E10" t="s">
        <v>128</v>
      </c>
      <c r="F10" t="s">
        <v>296</v>
      </c>
      <c r="J10" t="s">
        <v>181</v>
      </c>
    </row>
    <row r="11" spans="1:10" x14ac:dyDescent="0.2">
      <c r="E11" t="s">
        <v>129</v>
      </c>
      <c r="F11" t="s">
        <v>289</v>
      </c>
      <c r="J11" t="s">
        <v>182</v>
      </c>
    </row>
    <row r="12" spans="1:10" x14ac:dyDescent="0.2">
      <c r="E12" t="s">
        <v>130</v>
      </c>
      <c r="F12" t="s">
        <v>293</v>
      </c>
      <c r="J12" t="s">
        <v>183</v>
      </c>
    </row>
    <row r="13" spans="1:10" x14ac:dyDescent="0.2">
      <c r="E13" t="s">
        <v>131</v>
      </c>
      <c r="F13" t="s">
        <v>297</v>
      </c>
      <c r="J13" t="s">
        <v>184</v>
      </c>
    </row>
    <row r="14" spans="1:10" x14ac:dyDescent="0.2">
      <c r="E14" t="s">
        <v>969</v>
      </c>
      <c r="J14" t="s">
        <v>185</v>
      </c>
    </row>
    <row r="15" spans="1:10" x14ac:dyDescent="0.2">
      <c r="E15" t="s">
        <v>970</v>
      </c>
      <c r="J15" t="s">
        <v>186</v>
      </c>
    </row>
    <row r="16" spans="1:10" x14ac:dyDescent="0.2">
      <c r="E16" t="s">
        <v>971</v>
      </c>
      <c r="J16" t="s">
        <v>187</v>
      </c>
    </row>
    <row r="17" spans="5:10" x14ac:dyDescent="0.2">
      <c r="E17" t="s">
        <v>71</v>
      </c>
      <c r="J17" t="s">
        <v>188</v>
      </c>
    </row>
    <row r="18" spans="5:10" x14ac:dyDescent="0.2">
      <c r="E18" t="s">
        <v>72</v>
      </c>
      <c r="J18" t="s">
        <v>189</v>
      </c>
    </row>
    <row r="19" spans="5:10" x14ac:dyDescent="0.2">
      <c r="E19" t="s">
        <v>241</v>
      </c>
      <c r="J19" t="s">
        <v>190</v>
      </c>
    </row>
    <row r="20" spans="5:10" x14ac:dyDescent="0.2">
      <c r="E20" t="s">
        <v>242</v>
      </c>
      <c r="J20" t="s">
        <v>191</v>
      </c>
    </row>
    <row r="21" spans="5:10" x14ac:dyDescent="0.2">
      <c r="E21" t="s">
        <v>243</v>
      </c>
      <c r="J21" t="s">
        <v>192</v>
      </c>
    </row>
    <row r="22" spans="5:10" x14ac:dyDescent="0.2">
      <c r="J22" t="s">
        <v>193</v>
      </c>
    </row>
    <row r="23" spans="5:10" x14ac:dyDescent="0.2">
      <c r="J23" t="s">
        <v>194</v>
      </c>
    </row>
    <row r="24" spans="5:10" x14ac:dyDescent="0.2">
      <c r="J24" t="s">
        <v>195</v>
      </c>
    </row>
    <row r="25" spans="5:10" x14ac:dyDescent="0.2">
      <c r="J25" t="s">
        <v>196</v>
      </c>
    </row>
    <row r="26" spans="5:10" x14ac:dyDescent="0.2">
      <c r="J26" t="s">
        <v>197</v>
      </c>
    </row>
    <row r="27" spans="5:10" x14ac:dyDescent="0.2">
      <c r="J27" t="s">
        <v>198</v>
      </c>
    </row>
    <row r="28" spans="5:10" x14ac:dyDescent="0.2">
      <c r="J28" t="s">
        <v>199</v>
      </c>
    </row>
    <row r="29" spans="5:10" x14ac:dyDescent="0.2">
      <c r="J29" t="s">
        <v>200</v>
      </c>
    </row>
    <row r="30" spans="5:10" x14ac:dyDescent="0.2">
      <c r="J30" t="s">
        <v>201</v>
      </c>
    </row>
    <row r="31" spans="5:10" x14ac:dyDescent="0.2">
      <c r="J31" t="s">
        <v>202</v>
      </c>
    </row>
    <row r="32" spans="5:10" x14ac:dyDescent="0.2">
      <c r="J32" t="s">
        <v>203</v>
      </c>
    </row>
    <row r="33" spans="10:10" x14ac:dyDescent="0.2">
      <c r="J33" t="s">
        <v>204</v>
      </c>
    </row>
    <row r="34" spans="10:10" x14ac:dyDescent="0.2">
      <c r="J34" t="s">
        <v>205</v>
      </c>
    </row>
    <row r="35" spans="10:10" x14ac:dyDescent="0.2">
      <c r="J35" t="s">
        <v>206</v>
      </c>
    </row>
    <row r="36" spans="10:10" x14ac:dyDescent="0.2">
      <c r="J36" t="s">
        <v>207</v>
      </c>
    </row>
    <row r="37" spans="10:10" x14ac:dyDescent="0.2">
      <c r="J37" t="s">
        <v>208</v>
      </c>
    </row>
    <row r="38" spans="10:10" x14ac:dyDescent="0.2">
      <c r="J38" t="s">
        <v>209</v>
      </c>
    </row>
    <row r="39" spans="10:10" x14ac:dyDescent="0.2">
      <c r="J39" t="s">
        <v>210</v>
      </c>
    </row>
    <row r="40" spans="10:10" x14ac:dyDescent="0.2">
      <c r="J40" t="s">
        <v>211</v>
      </c>
    </row>
    <row r="41" spans="10:10" x14ac:dyDescent="0.2">
      <c r="J41" t="s">
        <v>212</v>
      </c>
    </row>
    <row r="42" spans="10:10" x14ac:dyDescent="0.2">
      <c r="J42" t="s">
        <v>213</v>
      </c>
    </row>
    <row r="43" spans="10:10" x14ac:dyDescent="0.2">
      <c r="J43" t="s">
        <v>214</v>
      </c>
    </row>
    <row r="44" spans="10:10" x14ac:dyDescent="0.2">
      <c r="J44" t="s">
        <v>215</v>
      </c>
    </row>
    <row r="45" spans="10:10" x14ac:dyDescent="0.2">
      <c r="J45" t="s">
        <v>216</v>
      </c>
    </row>
    <row r="46" spans="10:10" x14ac:dyDescent="0.2">
      <c r="J46" t="s">
        <v>217</v>
      </c>
    </row>
    <row r="47" spans="10:10" x14ac:dyDescent="0.2">
      <c r="J47" t="s">
        <v>218</v>
      </c>
    </row>
    <row r="48" spans="10:10" x14ac:dyDescent="0.2">
      <c r="J48" t="s">
        <v>219</v>
      </c>
    </row>
    <row r="49" spans="10:10" x14ac:dyDescent="0.2">
      <c r="J49" t="s">
        <v>220</v>
      </c>
    </row>
    <row r="50" spans="10:10" x14ac:dyDescent="0.2">
      <c r="J50" t="s">
        <v>221</v>
      </c>
    </row>
    <row r="51" spans="10:10" x14ac:dyDescent="0.2">
      <c r="J51" t="s">
        <v>222</v>
      </c>
    </row>
    <row r="52" spans="10:10" x14ac:dyDescent="0.2">
      <c r="J52" t="s">
        <v>223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0348-1137-4328-9469-808857E38F84}">
  <dimension ref="A2:B16"/>
  <sheetViews>
    <sheetView workbookViewId="0">
      <selection activeCell="B8" sqref="B8"/>
    </sheetView>
  </sheetViews>
  <sheetFormatPr baseColWidth="10" defaultColWidth="8.83203125" defaultRowHeight="15" x14ac:dyDescent="0.2"/>
  <cols>
    <col min="1" max="1" width="4" customWidth="1"/>
  </cols>
  <sheetData>
    <row r="2" spans="1:2" x14ac:dyDescent="0.2">
      <c r="A2" s="1" t="s">
        <v>972</v>
      </c>
    </row>
    <row r="4" spans="1:2" x14ac:dyDescent="0.2">
      <c r="A4" s="1" t="s">
        <v>973</v>
      </c>
    </row>
    <row r="6" spans="1:2" x14ac:dyDescent="0.2">
      <c r="A6" s="1" t="s">
        <v>974</v>
      </c>
    </row>
    <row r="7" spans="1:2" x14ac:dyDescent="0.2">
      <c r="B7" t="s">
        <v>975</v>
      </c>
    </row>
    <row r="8" spans="1:2" x14ac:dyDescent="0.2">
      <c r="B8" t="s">
        <v>976</v>
      </c>
    </row>
    <row r="9" spans="1:2" x14ac:dyDescent="0.2">
      <c r="B9" t="s">
        <v>977</v>
      </c>
    </row>
    <row r="11" spans="1:2" x14ac:dyDescent="0.2">
      <c r="A11" s="1" t="s">
        <v>978</v>
      </c>
    </row>
    <row r="13" spans="1:2" x14ac:dyDescent="0.2">
      <c r="A13" s="1" t="s">
        <v>979</v>
      </c>
    </row>
    <row r="15" spans="1:2" x14ac:dyDescent="0.2">
      <c r="A15" s="1" t="s">
        <v>980</v>
      </c>
    </row>
    <row r="16" spans="1:2" x14ac:dyDescent="0.2">
      <c r="B16" t="s">
        <v>981</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4F84-0BDE-4B4D-999B-25FC826279E9}">
  <dimension ref="A1:D56"/>
  <sheetViews>
    <sheetView topLeftCell="A22" workbookViewId="0">
      <selection activeCell="B50" sqref="B50"/>
    </sheetView>
  </sheetViews>
  <sheetFormatPr baseColWidth="10" defaultColWidth="8.83203125" defaultRowHeight="15" x14ac:dyDescent="0.2"/>
  <cols>
    <col min="1" max="1" width="1.6640625" customWidth="1"/>
    <col min="2" max="2" width="51" customWidth="1"/>
    <col min="3" max="3" width="71.1640625" bestFit="1" customWidth="1"/>
    <col min="4" max="4" width="65.1640625" bestFit="1" customWidth="1"/>
  </cols>
  <sheetData>
    <row r="1" spans="1:4" ht="16" x14ac:dyDescent="0.2">
      <c r="A1" s="3" t="s">
        <v>982</v>
      </c>
      <c r="D1" s="6" t="s">
        <v>983</v>
      </c>
    </row>
    <row r="2" spans="1:4" ht="16" x14ac:dyDescent="0.2">
      <c r="A2" s="3" t="s">
        <v>984</v>
      </c>
    </row>
    <row r="3" spans="1:4" ht="16" x14ac:dyDescent="0.2">
      <c r="A3" s="4" t="s">
        <v>985</v>
      </c>
    </row>
    <row r="5" spans="1:4" x14ac:dyDescent="0.2">
      <c r="A5" s="7" t="s">
        <v>986</v>
      </c>
      <c r="B5" s="8"/>
      <c r="C5" s="8"/>
      <c r="D5" s="9"/>
    </row>
    <row r="6" spans="1:4" x14ac:dyDescent="0.2">
      <c r="A6" s="10"/>
      <c r="B6" s="5" t="s">
        <v>987</v>
      </c>
      <c r="C6" s="5" t="s">
        <v>988</v>
      </c>
      <c r="D6" s="11" t="s">
        <v>989</v>
      </c>
    </row>
    <row r="7" spans="1:4" x14ac:dyDescent="0.2">
      <c r="A7" s="14"/>
      <c r="B7" t="s">
        <v>990</v>
      </c>
      <c r="C7" t="s">
        <v>991</v>
      </c>
      <c r="D7" s="15" t="s">
        <v>992</v>
      </c>
    </row>
    <row r="8" spans="1:4" x14ac:dyDescent="0.2">
      <c r="A8" s="14"/>
      <c r="C8" t="s">
        <v>993</v>
      </c>
      <c r="D8" s="15"/>
    </row>
    <row r="9" spans="1:4" x14ac:dyDescent="0.2">
      <c r="A9" s="14"/>
      <c r="C9" t="s">
        <v>994</v>
      </c>
      <c r="D9" s="15"/>
    </row>
    <row r="10" spans="1:4" x14ac:dyDescent="0.2">
      <c r="A10" s="14"/>
      <c r="C10" t="s">
        <v>995</v>
      </c>
      <c r="D10" s="15"/>
    </row>
    <row r="11" spans="1:4" x14ac:dyDescent="0.2">
      <c r="A11" s="14"/>
      <c r="C11" t="s">
        <v>996</v>
      </c>
      <c r="D11" s="15"/>
    </row>
    <row r="12" spans="1:4" x14ac:dyDescent="0.2">
      <c r="A12" s="14"/>
      <c r="C12" t="s">
        <v>997</v>
      </c>
      <c r="D12" s="15"/>
    </row>
    <row r="13" spans="1:4" x14ac:dyDescent="0.2">
      <c r="A13" s="16"/>
      <c r="B13" s="12"/>
      <c r="C13" s="12" t="s">
        <v>998</v>
      </c>
      <c r="D13" s="17"/>
    </row>
    <row r="14" spans="1:4" x14ac:dyDescent="0.2">
      <c r="A14" s="14"/>
      <c r="B14" t="s">
        <v>999</v>
      </c>
      <c r="C14" t="s">
        <v>1000</v>
      </c>
      <c r="D14" s="15"/>
    </row>
    <row r="15" spans="1:4" x14ac:dyDescent="0.2">
      <c r="A15" s="14"/>
      <c r="C15" t="s">
        <v>1001</v>
      </c>
      <c r="D15" s="15"/>
    </row>
    <row r="16" spans="1:4" x14ac:dyDescent="0.2">
      <c r="A16" s="14"/>
      <c r="C16" t="s">
        <v>997</v>
      </c>
      <c r="D16" s="15"/>
    </row>
    <row r="17" spans="1:4" x14ac:dyDescent="0.2">
      <c r="A17" s="16"/>
      <c r="B17" s="12"/>
      <c r="C17" s="12" t="s">
        <v>998</v>
      </c>
      <c r="D17" s="17"/>
    </row>
    <row r="18" spans="1:4" x14ac:dyDescent="0.2">
      <c r="A18" s="14"/>
      <c r="B18" t="s">
        <v>1002</v>
      </c>
      <c r="C18" t="s">
        <v>1003</v>
      </c>
      <c r="D18" s="15" t="s">
        <v>1004</v>
      </c>
    </row>
    <row r="19" spans="1:4" x14ac:dyDescent="0.2">
      <c r="A19" s="14"/>
      <c r="C19" t="s">
        <v>1005</v>
      </c>
      <c r="D19" s="15"/>
    </row>
    <row r="20" spans="1:4" x14ac:dyDescent="0.2">
      <c r="A20" s="14"/>
      <c r="C20" t="s">
        <v>1006</v>
      </c>
      <c r="D20" s="15"/>
    </row>
    <row r="21" spans="1:4" x14ac:dyDescent="0.2">
      <c r="A21" s="14"/>
      <c r="C21" t="s">
        <v>1007</v>
      </c>
      <c r="D21" s="15"/>
    </row>
    <row r="22" spans="1:4" x14ac:dyDescent="0.2">
      <c r="A22" s="14"/>
      <c r="C22" t="s">
        <v>1008</v>
      </c>
      <c r="D22" s="15"/>
    </row>
    <row r="23" spans="1:4" x14ac:dyDescent="0.2">
      <c r="A23" s="14"/>
      <c r="C23" t="s">
        <v>1009</v>
      </c>
      <c r="D23" s="15"/>
    </row>
    <row r="24" spans="1:4" x14ac:dyDescent="0.2">
      <c r="A24" s="14"/>
      <c r="C24" t="s">
        <v>1010</v>
      </c>
      <c r="D24" s="18"/>
    </row>
    <row r="25" spans="1:4" x14ac:dyDescent="0.2">
      <c r="A25" s="16"/>
      <c r="B25" s="12"/>
      <c r="C25" s="12" t="s">
        <v>1011</v>
      </c>
      <c r="D25" s="17"/>
    </row>
    <row r="26" spans="1:4" x14ac:dyDescent="0.2">
      <c r="A26" s="16"/>
      <c r="B26" s="12" t="s">
        <v>1012</v>
      </c>
      <c r="C26" s="12" t="s">
        <v>1013</v>
      </c>
      <c r="D26" s="17"/>
    </row>
    <row r="27" spans="1:4" x14ac:dyDescent="0.2">
      <c r="A27" s="14"/>
      <c r="B27" t="s">
        <v>1014</v>
      </c>
      <c r="C27" t="s">
        <v>1015</v>
      </c>
      <c r="D27" s="15" t="s">
        <v>1016</v>
      </c>
    </row>
    <row r="28" spans="1:4" x14ac:dyDescent="0.2">
      <c r="A28" s="14"/>
      <c r="C28" t="s">
        <v>1017</v>
      </c>
      <c r="D28" s="18"/>
    </row>
    <row r="29" spans="1:4" x14ac:dyDescent="0.2">
      <c r="A29" s="14"/>
      <c r="C29" t="s">
        <v>1018</v>
      </c>
      <c r="D29" s="15" t="s">
        <v>1019</v>
      </c>
    </row>
    <row r="30" spans="1:4" x14ac:dyDescent="0.2">
      <c r="A30" s="14"/>
      <c r="C30" t="s">
        <v>1020</v>
      </c>
      <c r="D30" s="18"/>
    </row>
    <row r="31" spans="1:4" ht="6" customHeight="1" x14ac:dyDescent="0.2">
      <c r="A31" s="14"/>
      <c r="D31" s="18"/>
    </row>
    <row r="32" spans="1:4" x14ac:dyDescent="0.2">
      <c r="A32" s="7" t="s">
        <v>1021</v>
      </c>
      <c r="B32" s="8"/>
      <c r="C32" s="8"/>
      <c r="D32" s="9"/>
    </row>
    <row r="33" spans="1:4" x14ac:dyDescent="0.2">
      <c r="A33" s="10"/>
      <c r="B33" s="5" t="s">
        <v>1022</v>
      </c>
      <c r="C33" s="5" t="s">
        <v>1023</v>
      </c>
      <c r="D33" s="11"/>
    </row>
    <row r="34" spans="1:4" x14ac:dyDescent="0.2">
      <c r="A34" s="14"/>
      <c r="B34" t="s">
        <v>1024</v>
      </c>
      <c r="C34" t="s">
        <v>1025</v>
      </c>
      <c r="D34" s="15"/>
    </row>
    <row r="35" spans="1:4" x14ac:dyDescent="0.2">
      <c r="A35" s="14"/>
      <c r="B35" t="s">
        <v>1026</v>
      </c>
      <c r="C35" t="s">
        <v>1027</v>
      </c>
      <c r="D35" s="15"/>
    </row>
    <row r="36" spans="1:4" x14ac:dyDescent="0.2">
      <c r="A36" s="14"/>
      <c r="B36" t="s">
        <v>1028</v>
      </c>
      <c r="D36" s="15"/>
    </row>
    <row r="37" spans="1:4" x14ac:dyDescent="0.2">
      <c r="A37" s="14"/>
      <c r="D37" s="15"/>
    </row>
    <row r="38" spans="1:4" x14ac:dyDescent="0.2">
      <c r="A38" s="14"/>
      <c r="B38" t="s">
        <v>1029</v>
      </c>
      <c r="C38" t="s">
        <v>1030</v>
      </c>
      <c r="D38" s="15"/>
    </row>
    <row r="39" spans="1:4" x14ac:dyDescent="0.2">
      <c r="A39" s="14"/>
      <c r="B39" t="s">
        <v>1031</v>
      </c>
      <c r="C39" t="s">
        <v>1032</v>
      </c>
      <c r="D39" s="15"/>
    </row>
    <row r="40" spans="1:4" ht="32" x14ac:dyDescent="0.2">
      <c r="A40" s="14"/>
      <c r="B40" t="s">
        <v>1033</v>
      </c>
      <c r="C40" s="13" t="s">
        <v>1034</v>
      </c>
      <c r="D40" s="15"/>
    </row>
    <row r="41" spans="1:4" ht="32" x14ac:dyDescent="0.2">
      <c r="A41" s="14"/>
      <c r="B41" t="s">
        <v>1035</v>
      </c>
      <c r="C41" s="13" t="s">
        <v>1034</v>
      </c>
      <c r="D41" s="15"/>
    </row>
    <row r="42" spans="1:4" ht="32" x14ac:dyDescent="0.2">
      <c r="A42" s="14"/>
      <c r="B42" t="s">
        <v>1036</v>
      </c>
      <c r="C42" s="13" t="s">
        <v>1034</v>
      </c>
      <c r="D42" s="19"/>
    </row>
    <row r="43" spans="1:4" x14ac:dyDescent="0.2">
      <c r="A43" s="14"/>
      <c r="B43" t="s">
        <v>1037</v>
      </c>
      <c r="C43" t="s">
        <v>1038</v>
      </c>
      <c r="D43" s="15"/>
    </row>
    <row r="44" spans="1:4" x14ac:dyDescent="0.2">
      <c r="A44" s="14"/>
      <c r="B44" t="s">
        <v>1039</v>
      </c>
      <c r="C44" t="s">
        <v>1040</v>
      </c>
      <c r="D44" s="15"/>
    </row>
    <row r="45" spans="1:4" ht="6" customHeight="1" x14ac:dyDescent="0.2">
      <c r="A45" s="20"/>
      <c r="B45" s="21"/>
      <c r="C45" s="21"/>
      <c r="D45" s="22"/>
    </row>
    <row r="46" spans="1:4" x14ac:dyDescent="0.2">
      <c r="A46" s="7" t="s">
        <v>1041</v>
      </c>
      <c r="B46" s="8"/>
      <c r="C46" s="8"/>
      <c r="D46" s="9"/>
    </row>
    <row r="47" spans="1:4" x14ac:dyDescent="0.2">
      <c r="A47" s="10"/>
      <c r="B47" s="5"/>
      <c r="C47" s="5"/>
      <c r="D47" s="11"/>
    </row>
    <row r="48" spans="1:4" x14ac:dyDescent="0.2">
      <c r="A48" s="14"/>
      <c r="B48" t="s">
        <v>1042</v>
      </c>
      <c r="D48" s="15"/>
    </row>
    <row r="49" spans="1:4" x14ac:dyDescent="0.2">
      <c r="A49" s="14"/>
      <c r="B49" t="s">
        <v>1043</v>
      </c>
      <c r="D49" s="15"/>
    </row>
    <row r="50" spans="1:4" x14ac:dyDescent="0.2">
      <c r="A50" s="14"/>
      <c r="B50" t="s">
        <v>1044</v>
      </c>
      <c r="D50" s="15"/>
    </row>
    <row r="51" spans="1:4" x14ac:dyDescent="0.2">
      <c r="A51" s="14"/>
      <c r="B51" t="s">
        <v>1045</v>
      </c>
      <c r="C51" t="s">
        <v>1046</v>
      </c>
      <c r="D51" s="15"/>
    </row>
    <row r="52" spans="1:4" x14ac:dyDescent="0.2">
      <c r="A52" s="14"/>
      <c r="B52" t="s">
        <v>1047</v>
      </c>
      <c r="D52" s="15"/>
    </row>
    <row r="53" spans="1:4" x14ac:dyDescent="0.2">
      <c r="A53" s="14"/>
      <c r="B53" t="s">
        <v>1048</v>
      </c>
      <c r="C53" t="s">
        <v>1049</v>
      </c>
      <c r="D53" s="15"/>
    </row>
    <row r="54" spans="1:4" x14ac:dyDescent="0.2">
      <c r="A54" s="14"/>
      <c r="B54" t="s">
        <v>1050</v>
      </c>
      <c r="D54" s="15"/>
    </row>
    <row r="55" spans="1:4" x14ac:dyDescent="0.2">
      <c r="A55" s="14"/>
      <c r="B55" t="s">
        <v>1051</v>
      </c>
      <c r="D55" s="15"/>
    </row>
    <row r="56" spans="1:4" ht="6" customHeight="1" x14ac:dyDescent="0.2">
      <c r="A56" s="20"/>
      <c r="B56" s="21"/>
      <c r="C56" s="21"/>
      <c r="D56" s="22"/>
    </row>
  </sheetData>
  <sortState xmlns:xlrd2="http://schemas.microsoft.com/office/spreadsheetml/2017/richdata2" ref="B34:D44">
    <sortCondition ref="B34:B44"/>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F9B0-D744-44CE-AFBF-8DAA3753EFD6}">
  <dimension ref="A1:D44"/>
  <sheetViews>
    <sheetView view="pageBreakPreview" zoomScale="130" zoomScaleNormal="115" zoomScaleSheetLayoutView="130" workbookViewId="0">
      <selection activeCell="C37" sqref="C37"/>
    </sheetView>
  </sheetViews>
  <sheetFormatPr baseColWidth="10" defaultColWidth="8.83203125" defaultRowHeight="15" outlineLevelCol="1" x14ac:dyDescent="0.2"/>
  <cols>
    <col min="1" max="1" width="32.5" customWidth="1"/>
    <col min="2" max="2" width="22.6640625" hidden="1" customWidth="1" outlineLevel="1"/>
    <col min="3" max="3" width="48.83203125" bestFit="1" customWidth="1" collapsed="1"/>
    <col min="4" max="4" width="45.33203125" customWidth="1"/>
    <col min="5" max="5" width="19.6640625" bestFit="1" customWidth="1"/>
  </cols>
  <sheetData>
    <row r="1" spans="1:4" x14ac:dyDescent="0.2">
      <c r="A1" s="1" t="s">
        <v>982</v>
      </c>
    </row>
    <row r="2" spans="1:4" x14ac:dyDescent="0.2">
      <c r="A2" s="1" t="s">
        <v>1052</v>
      </c>
    </row>
    <row r="3" spans="1:4" x14ac:dyDescent="0.2">
      <c r="A3" s="2" t="s">
        <v>985</v>
      </c>
    </row>
    <row r="5" spans="1:4" x14ac:dyDescent="0.2">
      <c r="A5" s="23" t="s">
        <v>74</v>
      </c>
      <c r="B5" s="24" t="s">
        <v>63</v>
      </c>
      <c r="C5" s="24" t="s">
        <v>956</v>
      </c>
      <c r="D5" s="25" t="s">
        <v>1053</v>
      </c>
    </row>
    <row r="6" spans="1:4" ht="16" x14ac:dyDescent="0.2">
      <c r="A6" s="29" t="s">
        <v>961</v>
      </c>
      <c r="B6" s="26" t="s">
        <v>351</v>
      </c>
      <c r="C6" s="26" t="s">
        <v>77</v>
      </c>
      <c r="D6" s="30" t="s">
        <v>1054</v>
      </c>
    </row>
    <row r="7" spans="1:4" ht="16" x14ac:dyDescent="0.2">
      <c r="A7" s="31" t="s">
        <v>961</v>
      </c>
      <c r="B7" s="27" t="s">
        <v>351</v>
      </c>
      <c r="C7" s="27" t="s">
        <v>81</v>
      </c>
      <c r="D7" s="32" t="s">
        <v>1055</v>
      </c>
    </row>
    <row r="8" spans="1:4" ht="16" x14ac:dyDescent="0.2">
      <c r="A8" s="31" t="s">
        <v>961</v>
      </c>
      <c r="B8" s="27" t="s">
        <v>351</v>
      </c>
      <c r="C8" s="27" t="s">
        <v>79</v>
      </c>
      <c r="D8" s="32" t="s">
        <v>1056</v>
      </c>
    </row>
    <row r="9" spans="1:4" ht="16" x14ac:dyDescent="0.2">
      <c r="A9" s="31" t="s">
        <v>1057</v>
      </c>
      <c r="B9" s="27" t="s">
        <v>351</v>
      </c>
      <c r="C9" s="27" t="s">
        <v>77</v>
      </c>
      <c r="D9" s="32" t="s">
        <v>1058</v>
      </c>
    </row>
    <row r="10" spans="1:4" ht="16" x14ac:dyDescent="0.2">
      <c r="A10" s="31" t="s">
        <v>1057</v>
      </c>
      <c r="B10" s="27" t="s">
        <v>347</v>
      </c>
      <c r="C10" s="27" t="s">
        <v>81</v>
      </c>
      <c r="D10" s="32" t="s">
        <v>1059</v>
      </c>
    </row>
    <row r="11" spans="1:4" ht="16" x14ac:dyDescent="0.2">
      <c r="A11" s="31" t="s">
        <v>1057</v>
      </c>
      <c r="B11" s="27" t="s">
        <v>647</v>
      </c>
      <c r="C11" s="27" t="s">
        <v>79</v>
      </c>
      <c r="D11" s="32" t="s">
        <v>1060</v>
      </c>
    </row>
    <row r="12" spans="1:4" ht="16" x14ac:dyDescent="0.2">
      <c r="A12" s="31" t="s">
        <v>7</v>
      </c>
      <c r="B12" s="27" t="s">
        <v>351</v>
      </c>
      <c r="C12" s="27" t="s">
        <v>77</v>
      </c>
      <c r="D12" s="32" t="s">
        <v>1061</v>
      </c>
    </row>
    <row r="13" spans="1:4" ht="16" x14ac:dyDescent="0.2">
      <c r="A13" s="31" t="s">
        <v>7</v>
      </c>
      <c r="B13" s="27" t="s">
        <v>347</v>
      </c>
      <c r="C13" s="27" t="s">
        <v>81</v>
      </c>
      <c r="D13" s="32" t="s">
        <v>1062</v>
      </c>
    </row>
    <row r="14" spans="1:4" ht="16" x14ac:dyDescent="0.2">
      <c r="A14" s="31" t="s">
        <v>7</v>
      </c>
      <c r="B14" s="27" t="s">
        <v>351</v>
      </c>
      <c r="C14" s="27" t="s">
        <v>79</v>
      </c>
      <c r="D14" s="32" t="s">
        <v>1063</v>
      </c>
    </row>
    <row r="15" spans="1:4" ht="16" x14ac:dyDescent="0.2">
      <c r="A15" s="31" t="s">
        <v>76</v>
      </c>
      <c r="B15" s="27" t="s">
        <v>351</v>
      </c>
      <c r="C15" s="27" t="s">
        <v>77</v>
      </c>
      <c r="D15" s="32" t="s">
        <v>1064</v>
      </c>
    </row>
    <row r="16" spans="1:4" ht="16" x14ac:dyDescent="0.2">
      <c r="A16" s="31" t="s">
        <v>76</v>
      </c>
      <c r="B16" s="27" t="s">
        <v>347</v>
      </c>
      <c r="C16" s="27" t="s">
        <v>81</v>
      </c>
      <c r="D16" s="32" t="s">
        <v>1065</v>
      </c>
    </row>
    <row r="17" spans="1:4" ht="16" x14ac:dyDescent="0.2">
      <c r="A17" s="33" t="s">
        <v>76</v>
      </c>
      <c r="B17" s="28"/>
      <c r="C17" s="28" t="s">
        <v>79</v>
      </c>
      <c r="D17" s="34" t="s">
        <v>1066</v>
      </c>
    </row>
    <row r="18" spans="1:4" ht="16" x14ac:dyDescent="0.2">
      <c r="A18" s="31" t="s">
        <v>6</v>
      </c>
      <c r="B18" s="27" t="s">
        <v>647</v>
      </c>
      <c r="C18" s="27" t="s">
        <v>964</v>
      </c>
      <c r="D18" s="32" t="s">
        <v>1067</v>
      </c>
    </row>
    <row r="19" spans="1:4" ht="16" x14ac:dyDescent="0.2">
      <c r="A19" s="31" t="s">
        <v>1057</v>
      </c>
      <c r="B19" s="27"/>
      <c r="C19" s="27" t="s">
        <v>964</v>
      </c>
      <c r="D19" s="32" t="s">
        <v>1068</v>
      </c>
    </row>
    <row r="20" spans="1:4" ht="32" x14ac:dyDescent="0.2">
      <c r="A20" s="31" t="s">
        <v>7</v>
      </c>
      <c r="B20" s="27" t="s">
        <v>647</v>
      </c>
      <c r="C20" s="27" t="s">
        <v>964</v>
      </c>
      <c r="D20" s="32" t="s">
        <v>1069</v>
      </c>
    </row>
    <row r="21" spans="1:4" ht="16" x14ac:dyDescent="0.2">
      <c r="A21" s="35" t="s">
        <v>76</v>
      </c>
      <c r="B21" s="36"/>
      <c r="C21" s="36" t="s">
        <v>964</v>
      </c>
      <c r="D21" s="37" t="s">
        <v>1070</v>
      </c>
    </row>
    <row r="26" spans="1:4" x14ac:dyDescent="0.2">
      <c r="A26" s="23" t="s">
        <v>987</v>
      </c>
      <c r="B26" s="24" t="s">
        <v>63</v>
      </c>
      <c r="C26" s="24" t="s">
        <v>1071</v>
      </c>
      <c r="D26" s="25" t="s">
        <v>1072</v>
      </c>
    </row>
    <row r="27" spans="1:4" ht="32" x14ac:dyDescent="0.2">
      <c r="A27" s="38" t="s">
        <v>1073</v>
      </c>
      <c r="B27" s="39"/>
      <c r="C27" s="39" t="s">
        <v>1074</v>
      </c>
      <c r="D27" s="30" t="s">
        <v>992</v>
      </c>
    </row>
    <row r="28" spans="1:4" ht="16" x14ac:dyDescent="0.2">
      <c r="A28" s="40"/>
      <c r="B28" s="41"/>
      <c r="C28" s="41" t="s">
        <v>997</v>
      </c>
      <c r="D28" s="32"/>
    </row>
    <row r="29" spans="1:4" ht="16" x14ac:dyDescent="0.2">
      <c r="A29" s="40"/>
      <c r="B29" s="41"/>
      <c r="C29" s="41" t="s">
        <v>998</v>
      </c>
      <c r="D29" s="32"/>
    </row>
    <row r="30" spans="1:4" ht="16" x14ac:dyDescent="0.2">
      <c r="A30" s="40"/>
      <c r="B30" s="41"/>
      <c r="C30" s="41" t="s">
        <v>993</v>
      </c>
      <c r="D30" s="32"/>
    </row>
    <row r="31" spans="1:4" ht="16" x14ac:dyDescent="0.2">
      <c r="A31" s="40"/>
      <c r="B31" s="41"/>
      <c r="C31" s="41" t="s">
        <v>994</v>
      </c>
      <c r="D31" s="32"/>
    </row>
    <row r="32" spans="1:4" ht="16" x14ac:dyDescent="0.2">
      <c r="A32" s="42"/>
      <c r="B32" s="43"/>
      <c r="C32" s="43" t="s">
        <v>1075</v>
      </c>
      <c r="D32" s="34"/>
    </row>
    <row r="33" spans="1:4" ht="16" x14ac:dyDescent="0.2">
      <c r="A33" s="44" t="s">
        <v>1002</v>
      </c>
      <c r="B33" s="45"/>
      <c r="C33" s="45" t="s">
        <v>1003</v>
      </c>
      <c r="D33" s="46" t="s">
        <v>1004</v>
      </c>
    </row>
    <row r="34" spans="1:4" ht="16" x14ac:dyDescent="0.2">
      <c r="A34" s="40"/>
      <c r="B34" s="41"/>
      <c r="C34" s="41" t="s">
        <v>1005</v>
      </c>
      <c r="D34" s="32"/>
    </row>
    <row r="35" spans="1:4" ht="16" x14ac:dyDescent="0.2">
      <c r="A35" s="40"/>
      <c r="B35" s="41"/>
      <c r="C35" s="41" t="s">
        <v>1006</v>
      </c>
      <c r="D35" s="32"/>
    </row>
    <row r="36" spans="1:4" ht="16" x14ac:dyDescent="0.2">
      <c r="A36" s="40"/>
      <c r="B36" s="41"/>
      <c r="C36" s="41" t="s">
        <v>1007</v>
      </c>
      <c r="D36" s="32"/>
    </row>
    <row r="37" spans="1:4" ht="32" x14ac:dyDescent="0.2">
      <c r="A37" s="40"/>
      <c r="B37" s="41"/>
      <c r="C37" s="41" t="s">
        <v>1008</v>
      </c>
      <c r="D37" s="32"/>
    </row>
    <row r="38" spans="1:4" ht="16" x14ac:dyDescent="0.2">
      <c r="A38" s="40"/>
      <c r="B38" s="41"/>
      <c r="C38" s="41" t="s">
        <v>1009</v>
      </c>
      <c r="D38" s="32"/>
    </row>
    <row r="39" spans="1:4" ht="16" x14ac:dyDescent="0.2">
      <c r="A39" s="40"/>
      <c r="B39" s="41"/>
      <c r="C39" s="41" t="s">
        <v>1010</v>
      </c>
      <c r="D39" s="32"/>
    </row>
    <row r="40" spans="1:4" ht="16" x14ac:dyDescent="0.2">
      <c r="A40" s="42"/>
      <c r="B40" s="43"/>
      <c r="C40" s="43" t="s">
        <v>1011</v>
      </c>
      <c r="D40" s="34"/>
    </row>
    <row r="41" spans="1:4" ht="16" x14ac:dyDescent="0.2">
      <c r="A41" s="44" t="s">
        <v>1076</v>
      </c>
      <c r="B41" s="45"/>
      <c r="C41" s="45" t="s">
        <v>1077</v>
      </c>
      <c r="D41" s="46"/>
    </row>
    <row r="42" spans="1:4" ht="16" x14ac:dyDescent="0.2">
      <c r="A42" s="49"/>
      <c r="B42" s="50"/>
      <c r="C42" s="50" t="s">
        <v>1078</v>
      </c>
      <c r="D42" s="51"/>
    </row>
    <row r="43" spans="1:4" ht="16" x14ac:dyDescent="0.2">
      <c r="A43" s="40"/>
      <c r="B43" s="41"/>
      <c r="C43" s="41" t="s">
        <v>1079</v>
      </c>
      <c r="D43" s="32"/>
    </row>
    <row r="44" spans="1:4" ht="16" x14ac:dyDescent="0.2">
      <c r="A44" s="47"/>
      <c r="B44" s="48"/>
      <c r="C44" s="48" t="s">
        <v>1028</v>
      </c>
      <c r="D44" s="37"/>
    </row>
  </sheetData>
  <sortState xmlns:xlrd2="http://schemas.microsoft.com/office/spreadsheetml/2017/richdata2" ref="A6:D11">
    <sortCondition ref="A6:A11"/>
    <sortCondition ref="B6:B11"/>
    <sortCondition ref="C6:C11"/>
  </sortState>
  <pageMargins left="0.7" right="0.7" top="0.75" bottom="0.75" header="0.3" footer="0.3"/>
  <pageSetup scale="72"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BE53E707-1302-4727-ACCA-663179C3F2DE}">
          <x14:formula1>
            <xm:f>'Dropdown Menus'!$C$2:$C$8</xm:f>
          </x14:formula1>
          <xm:sqref>A6:A21 A118:A158</xm:sqref>
        </x14:dataValidation>
        <x14:dataValidation type="list" allowBlank="1" showInputMessage="1" showErrorMessage="1" xr:uid="{6629CF64-7399-4ABE-8C59-0E40FFC0EAB7}">
          <x14:formula1>
            <xm:f>'Dropdown Menus'!$H$2:$H$8</xm:f>
          </x14:formula1>
          <xm:sqref>B6:B21</xm:sqref>
        </x14:dataValidation>
        <x14:dataValidation type="list" allowBlank="1" showInputMessage="1" showErrorMessage="1" xr:uid="{3C16BC61-A076-43D3-8444-5D4DA15F7E48}">
          <x14:formula1>
            <xm:f>'Dropdown Menus'!$D$2:$D$6</xm:f>
          </x14:formula1>
          <xm:sqref>C6:C21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4C9F-1029-43D9-9214-994D4250845B}">
  <sheetPr>
    <tabColor theme="8" tint="0.39997558519241921"/>
  </sheetPr>
  <dimension ref="A1:C25"/>
  <sheetViews>
    <sheetView zoomScale="130" zoomScaleNormal="130" zoomScaleSheetLayoutView="145" workbookViewId="0">
      <selection activeCell="C22" sqref="C22"/>
    </sheetView>
  </sheetViews>
  <sheetFormatPr baseColWidth="10" defaultColWidth="9.1640625" defaultRowHeight="12" x14ac:dyDescent="0.15"/>
  <cols>
    <col min="1" max="1" width="30.1640625" style="137" bestFit="1" customWidth="1"/>
    <col min="2" max="2" width="17" style="137" bestFit="1" customWidth="1"/>
    <col min="3" max="3" width="37.1640625" style="137" bestFit="1" customWidth="1"/>
    <col min="4" max="16384" width="9.1640625" style="137"/>
  </cols>
  <sheetData>
    <row r="1" spans="1:3" x14ac:dyDescent="0.15">
      <c r="A1" s="136" t="s">
        <v>0</v>
      </c>
      <c r="C1" s="213"/>
    </row>
    <row r="2" spans="1:3" x14ac:dyDescent="0.15">
      <c r="A2" s="136" t="s">
        <v>2</v>
      </c>
    </row>
    <row r="3" spans="1:3" x14ac:dyDescent="0.15">
      <c r="A3" s="138" t="str">
        <f>INSTRUCTIONS!A3</f>
        <v>March 2022</v>
      </c>
    </row>
    <row r="4" spans="1:3" x14ac:dyDescent="0.15">
      <c r="A4" s="157" t="s">
        <v>32</v>
      </c>
    </row>
    <row r="6" spans="1:3" x14ac:dyDescent="0.15">
      <c r="A6" s="136" t="s">
        <v>33</v>
      </c>
      <c r="B6" s="239">
        <v>0.4</v>
      </c>
    </row>
    <row r="9" spans="1:3" ht="13" x14ac:dyDescent="0.15">
      <c r="A9" s="261" t="s">
        <v>34</v>
      </c>
      <c r="B9" s="262"/>
    </row>
    <row r="10" spans="1:3" x14ac:dyDescent="0.15">
      <c r="A10" s="172" t="s">
        <v>35</v>
      </c>
      <c r="B10" s="263">
        <f>'By Journalist'!J46</f>
        <v>31526619833.046753</v>
      </c>
    </row>
    <row r="11" spans="1:3" x14ac:dyDescent="0.15">
      <c r="A11" s="264" t="s">
        <v>36</v>
      </c>
      <c r="B11" s="265">
        <f>'By Journalist'!J55</f>
        <v>21017746555.364502</v>
      </c>
    </row>
    <row r="12" spans="1:3" ht="13" thickBot="1" x14ac:dyDescent="0.2">
      <c r="A12" s="266" t="s">
        <v>37</v>
      </c>
      <c r="B12" s="267">
        <f>SUM(B10:B11)</f>
        <v>52544366388.411255</v>
      </c>
    </row>
    <row r="13" spans="1:3" ht="13" thickTop="1" x14ac:dyDescent="0.15">
      <c r="A13" s="172" t="s">
        <v>38</v>
      </c>
      <c r="B13" s="268">
        <f>'By Journalist'!J28</f>
        <v>328202.5</v>
      </c>
    </row>
    <row r="14" spans="1:3" x14ac:dyDescent="0.15">
      <c r="A14" s="264" t="s">
        <v>39</v>
      </c>
      <c r="B14" s="269">
        <f>'By Journalist'!J37</f>
        <v>218801.66666666672</v>
      </c>
    </row>
    <row r="15" spans="1:3" ht="13" thickBot="1" x14ac:dyDescent="0.2">
      <c r="A15" s="266" t="s">
        <v>40</v>
      </c>
      <c r="B15" s="272">
        <f>SUM(B13:B14)</f>
        <v>547004.16666666674</v>
      </c>
    </row>
    <row r="16" spans="1:3" ht="13" thickTop="1" x14ac:dyDescent="0.15">
      <c r="A16" s="270" t="s">
        <v>41</v>
      </c>
      <c r="B16" s="271">
        <f>B6*B12</f>
        <v>21017746555.364502</v>
      </c>
    </row>
    <row r="17" spans="1:2" x14ac:dyDescent="0.15">
      <c r="A17" s="318"/>
      <c r="B17" s="204"/>
    </row>
    <row r="18" spans="1:2" ht="13" x14ac:dyDescent="0.15">
      <c r="A18" s="261" t="s">
        <v>42</v>
      </c>
      <c r="B18" s="262"/>
    </row>
    <row r="19" spans="1:2" x14ac:dyDescent="0.15">
      <c r="A19" s="172" t="s">
        <v>35</v>
      </c>
      <c r="B19" s="263">
        <f>'By Org Type - Regional National'!B37+'By Org Type - State Local'!I63</f>
        <v>23680668550.557426</v>
      </c>
    </row>
    <row r="20" spans="1:2" x14ac:dyDescent="0.15">
      <c r="A20" s="264" t="s">
        <v>36</v>
      </c>
      <c r="B20" s="265">
        <f>'By Org Type - Regional National'!C37+'By Org Type - State Local'!I83</f>
        <v>16913314924.631639</v>
      </c>
    </row>
    <row r="21" spans="1:2" ht="13" thickBot="1" x14ac:dyDescent="0.2">
      <c r="A21" s="266" t="s">
        <v>37</v>
      </c>
      <c r="B21" s="267">
        <f>SUM(B19:B20)</f>
        <v>40593983475.189064</v>
      </c>
    </row>
    <row r="22" spans="1:2" ht="13" thickTop="1" x14ac:dyDescent="0.15">
      <c r="A22" s="172" t="s">
        <v>38</v>
      </c>
      <c r="B22" s="268">
        <f>'By Org Type - Regional National'!E37+'By Org Type - State Local'!I123</f>
        <v>307466.20174192067</v>
      </c>
    </row>
    <row r="23" spans="1:2" x14ac:dyDescent="0.15">
      <c r="A23" s="264" t="s">
        <v>39</v>
      </c>
      <c r="B23" s="269">
        <f>'By Org Type - Regional National'!F37+'By Org Type - State Local'!I143</f>
        <v>205052.46782794723</v>
      </c>
    </row>
    <row r="24" spans="1:2" ht="13" thickBot="1" x14ac:dyDescent="0.2">
      <c r="A24" s="266" t="s">
        <v>40</v>
      </c>
      <c r="B24" s="272">
        <f>SUM(B22:B23)</f>
        <v>512518.6695698679</v>
      </c>
    </row>
    <row r="25" spans="1:2" ht="13" thickTop="1" x14ac:dyDescent="0.15">
      <c r="A25" s="270" t="s">
        <v>41</v>
      </c>
      <c r="B25" s="271">
        <f>B21*B6</f>
        <v>16237593390.075626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6AA8-365E-47CB-AB2D-C3D622C54F47}">
  <sheetPr>
    <tabColor theme="8" tint="0.39997558519241921"/>
  </sheetPr>
  <dimension ref="A1:K87"/>
  <sheetViews>
    <sheetView view="pageBreakPreview" zoomScale="145" zoomScaleNormal="130" zoomScaleSheetLayoutView="145" workbookViewId="0">
      <selection activeCell="C32" sqref="C32"/>
    </sheetView>
  </sheetViews>
  <sheetFormatPr baseColWidth="10" defaultColWidth="9.1640625" defaultRowHeight="12" x14ac:dyDescent="0.15"/>
  <cols>
    <col min="1" max="1" width="18" style="137" customWidth="1"/>
    <col min="2" max="5" width="14.6640625" style="137" customWidth="1"/>
    <col min="6" max="6" width="16.5" style="137" bestFit="1" customWidth="1"/>
    <col min="7" max="9" width="14.6640625" style="137" customWidth="1"/>
    <col min="10" max="10" width="13.1640625" style="137" bestFit="1" customWidth="1"/>
    <col min="11" max="16384" width="9.1640625" style="137"/>
  </cols>
  <sheetData>
    <row r="1" spans="1:10" x14ac:dyDescent="0.15">
      <c r="A1" s="136" t="s">
        <v>0</v>
      </c>
      <c r="J1" s="213"/>
    </row>
    <row r="2" spans="1:10" x14ac:dyDescent="0.15">
      <c r="A2" s="136" t="s">
        <v>2</v>
      </c>
    </row>
    <row r="3" spans="1:10" x14ac:dyDescent="0.15">
      <c r="A3" s="138" t="str">
        <f>INSTRUCTIONS!A3</f>
        <v>March 2022</v>
      </c>
    </row>
    <row r="4" spans="1:10" x14ac:dyDescent="0.15">
      <c r="A4" s="157" t="s">
        <v>43</v>
      </c>
    </row>
    <row r="5" spans="1:10" ht="13" thickBot="1" x14ac:dyDescent="0.2"/>
    <row r="6" spans="1:10" ht="14" thickBot="1" x14ac:dyDescent="0.2">
      <c r="A6" s="162" t="s">
        <v>1133</v>
      </c>
      <c r="B6" s="161">
        <f>Assumptions!B14</f>
        <v>7</v>
      </c>
    </row>
    <row r="7" spans="1:10" ht="27" thickBot="1" x14ac:dyDescent="0.2">
      <c r="A7" s="162" t="s">
        <v>44</v>
      </c>
      <c r="B7" s="161">
        <f>Assumptions!B23</f>
        <v>6</v>
      </c>
    </row>
    <row r="9" spans="1:10" x14ac:dyDescent="0.15">
      <c r="A9" s="143" t="s">
        <v>45</v>
      </c>
      <c r="B9" s="143"/>
      <c r="C9" s="143"/>
      <c r="E9" s="143" t="s">
        <v>1086</v>
      </c>
      <c r="F9" s="144"/>
      <c r="G9" s="144"/>
    </row>
    <row r="10" spans="1:10" ht="29.5" customHeight="1" thickBot="1" x14ac:dyDescent="0.2">
      <c r="A10" s="160" t="s">
        <v>46</v>
      </c>
      <c r="B10" s="160" t="s">
        <v>1131</v>
      </c>
      <c r="C10" s="160" t="s">
        <v>48</v>
      </c>
      <c r="E10" s="148" t="s">
        <v>147</v>
      </c>
      <c r="F10" s="148" t="s">
        <v>148</v>
      </c>
      <c r="G10" s="146" t="s">
        <v>149</v>
      </c>
    </row>
    <row r="11" spans="1:10" ht="13" thickBot="1" x14ac:dyDescent="0.2">
      <c r="A11" s="137" t="s">
        <v>49</v>
      </c>
      <c r="B11" s="163"/>
      <c r="C11" s="163"/>
      <c r="E11" s="137" t="s">
        <v>61</v>
      </c>
      <c r="F11" s="147" t="s">
        <v>150</v>
      </c>
      <c r="G11" s="339">
        <f>'Coverage Units by State Size'!D8</f>
        <v>0.5</v>
      </c>
    </row>
    <row r="12" spans="1:10" ht="13" thickBot="1" x14ac:dyDescent="0.2">
      <c r="A12" s="137" t="s">
        <v>50</v>
      </c>
      <c r="B12" s="163">
        <v>1</v>
      </c>
      <c r="C12" s="163"/>
      <c r="E12" s="137" t="s">
        <v>62</v>
      </c>
      <c r="F12" s="147" t="s">
        <v>151</v>
      </c>
      <c r="G12" s="339">
        <f>'Coverage Units by State Size'!D9</f>
        <v>1</v>
      </c>
    </row>
    <row r="13" spans="1:10" ht="13" thickBot="1" x14ac:dyDescent="0.2">
      <c r="A13" s="137" t="s">
        <v>51</v>
      </c>
      <c r="B13" s="164">
        <v>1</v>
      </c>
      <c r="C13" s="164"/>
      <c r="E13" s="137" t="s">
        <v>63</v>
      </c>
      <c r="F13" s="147" t="s">
        <v>152</v>
      </c>
      <c r="G13" s="339">
        <f>'Coverage Units by State Size'!D10</f>
        <v>2</v>
      </c>
    </row>
    <row r="14" spans="1:10" ht="13" thickBot="1" x14ac:dyDescent="0.2">
      <c r="A14" s="137" t="s">
        <v>52</v>
      </c>
      <c r="B14" s="164"/>
      <c r="C14" s="164"/>
      <c r="E14" s="137" t="s">
        <v>64</v>
      </c>
      <c r="F14" s="147" t="s">
        <v>153</v>
      </c>
      <c r="G14" s="339">
        <f>'Coverage Units by State Size'!D11</f>
        <v>3</v>
      </c>
    </row>
    <row r="15" spans="1:10" ht="13" thickBot="1" x14ac:dyDescent="0.2">
      <c r="A15" s="137" t="s">
        <v>53</v>
      </c>
      <c r="B15" s="164">
        <v>1</v>
      </c>
      <c r="C15" s="164"/>
      <c r="E15" s="137" t="s">
        <v>65</v>
      </c>
      <c r="F15" s="147" t="s">
        <v>154</v>
      </c>
      <c r="G15" s="339">
        <f>'Coverage Units by State Size'!D12</f>
        <v>4</v>
      </c>
    </row>
    <row r="16" spans="1:10" ht="13" thickBot="1" x14ac:dyDescent="0.2">
      <c r="A16" s="137" t="s">
        <v>54</v>
      </c>
      <c r="B16" s="165">
        <v>1</v>
      </c>
      <c r="C16" s="165"/>
      <c r="F16" s="136"/>
    </row>
    <row r="17" spans="1:11" ht="13" thickBot="1" x14ac:dyDescent="0.2">
      <c r="A17" s="137" t="s">
        <v>55</v>
      </c>
      <c r="B17" s="164">
        <v>1</v>
      </c>
      <c r="C17" s="164"/>
    </row>
    <row r="18" spans="1:11" ht="13" thickBot="1" x14ac:dyDescent="0.2">
      <c r="A18" s="137" t="s">
        <v>56</v>
      </c>
      <c r="B18" s="164">
        <v>1</v>
      </c>
      <c r="C18" s="164"/>
    </row>
    <row r="20" spans="1:11" x14ac:dyDescent="0.15">
      <c r="A20" s="143" t="s">
        <v>57</v>
      </c>
      <c r="B20" s="143"/>
      <c r="C20" s="143"/>
      <c r="D20" s="143"/>
      <c r="E20" s="143"/>
      <c r="F20" s="143"/>
      <c r="G20" s="143"/>
      <c r="H20" s="143"/>
      <c r="I20" s="143"/>
      <c r="J20" s="143"/>
    </row>
    <row r="21" spans="1:11" ht="26" x14ac:dyDescent="0.15">
      <c r="A21" s="150" t="s">
        <v>58</v>
      </c>
      <c r="B21" s="150" t="s">
        <v>59</v>
      </c>
      <c r="C21" s="150" t="s">
        <v>50</v>
      </c>
      <c r="D21" s="150" t="s">
        <v>51</v>
      </c>
      <c r="E21" s="150" t="s">
        <v>52</v>
      </c>
      <c r="F21" s="150" t="s">
        <v>53</v>
      </c>
      <c r="G21" s="150" t="s">
        <v>54</v>
      </c>
      <c r="H21" s="150" t="s">
        <v>55</v>
      </c>
      <c r="I21" s="150" t="s">
        <v>56</v>
      </c>
      <c r="J21" s="150" t="s">
        <v>60</v>
      </c>
    </row>
    <row r="22" spans="1:11" s="337" customFormat="1" x14ac:dyDescent="0.15">
      <c r="A22" s="338" t="s">
        <v>1085</v>
      </c>
      <c r="B22" s="338" t="s">
        <v>1083</v>
      </c>
      <c r="C22" s="338" t="s">
        <v>1083</v>
      </c>
      <c r="D22" s="338" t="s">
        <v>1084</v>
      </c>
      <c r="E22" s="338" t="s">
        <v>1084</v>
      </c>
      <c r="F22" s="338" t="s">
        <v>1083</v>
      </c>
      <c r="G22" s="338" t="s">
        <v>1083</v>
      </c>
      <c r="H22" s="338" t="s">
        <v>1084</v>
      </c>
      <c r="I22" s="338" t="s">
        <v>1084</v>
      </c>
      <c r="J22" s="336"/>
    </row>
    <row r="23" spans="1:11" x14ac:dyDescent="0.15">
      <c r="A23" s="137" t="s">
        <v>61</v>
      </c>
      <c r="B23" s="139">
        <f>('Coverage Units by State Size'!D16)*(($B$11*$B$6)+($C$11*$B$7))</f>
        <v>0</v>
      </c>
      <c r="C23" s="243">
        <f>'Coverage Units by State Size'!E16*(($B$12*$B$6)+($C$12*$B$7))</f>
        <v>42</v>
      </c>
      <c r="D23" s="243">
        <f>'Coverage Units by State Size'!F16*(($B$13*G11)+($C$13*$B$7*G11))</f>
        <v>368.5</v>
      </c>
      <c r="E23" s="243">
        <f>'Coverage Units by State Size'!G16*(($B$14*$B$6*G11)+($C$14*$B$7*G11))</f>
        <v>0</v>
      </c>
      <c r="F23" s="243">
        <f>'Coverage Units by State Size'!H16*(($B$15*$B$6)+($C$15*$B$7))</f>
        <v>17129</v>
      </c>
      <c r="G23" s="243">
        <f>'Coverage Units by State Size'!I16*(($B$16*$B$6)+($C$16*$B$7))</f>
        <v>7112</v>
      </c>
      <c r="H23" s="243">
        <f>'Coverage Units by State Size'!J16*(($B$17*$B$6*G11)+($C$17*$B$7*G11))</f>
        <v>609</v>
      </c>
      <c r="I23" s="243">
        <f>'Coverage Units by State Size'!K16*(($B$18*$B$6*G11)+($C$18*$B$7*G11))</f>
        <v>21</v>
      </c>
      <c r="J23" s="156">
        <f>SUM(B23:I23)</f>
        <v>25281.5</v>
      </c>
    </row>
    <row r="24" spans="1:11" x14ac:dyDescent="0.15">
      <c r="A24" s="137" t="s">
        <v>62</v>
      </c>
      <c r="B24" s="139">
        <f>('Coverage Units by State Size'!D17)*(($B$11*$B$6)+($C$11*$B$7))</f>
        <v>0</v>
      </c>
      <c r="C24" s="243">
        <f>'Coverage Units by State Size'!E17*(($B$12*$B$6)+($C$12*$B$7))</f>
        <v>546</v>
      </c>
      <c r="D24" s="243">
        <f>'Coverage Units by State Size'!F17*(($B$13*G12)+($C$13*$B$7*G12))</f>
        <v>3749</v>
      </c>
      <c r="E24" s="243">
        <f>'Coverage Units by State Size'!G17*(($B$14*$B$6*G12)+($C$14*$B$7*G12))</f>
        <v>0</v>
      </c>
      <c r="F24" s="243">
        <f>'Coverage Units by State Size'!H17*(($B$15*$B$6)+($C$15*$B$7))</f>
        <v>17479</v>
      </c>
      <c r="G24" s="243">
        <f>'Coverage Units by State Size'!I17*(($B$16*$B$6)+($C$16*$B$7))</f>
        <v>41426</v>
      </c>
      <c r="H24" s="243">
        <f>'Coverage Units by State Size'!J17*(($B$17*$B$6*G12)+($C$17*$B$7*G12))</f>
        <v>7490</v>
      </c>
      <c r="I24" s="243">
        <f>'Coverage Units by State Size'!K17*(($B$18*$B$6*G12)+($C$18*$B$7*G12))</f>
        <v>147</v>
      </c>
      <c r="J24" s="156">
        <f>SUM(B24:I24)</f>
        <v>70837</v>
      </c>
    </row>
    <row r="25" spans="1:11" x14ac:dyDescent="0.15">
      <c r="A25" s="137" t="s">
        <v>63</v>
      </c>
      <c r="B25" s="139">
        <f>('Coverage Units by State Size'!D18)*(($B$11*$B$6)+($C$11*$B$7))</f>
        <v>0</v>
      </c>
      <c r="C25" s="243">
        <f>'Coverage Units by State Size'!E18*(($B$12*$B$6)+($C$12*$B$7))</f>
        <v>903</v>
      </c>
      <c r="D25" s="243">
        <f>'Coverage Units by State Size'!F18*(($B$13*G13)+($C$13*$B$7*G13))</f>
        <v>8406</v>
      </c>
      <c r="E25" s="243">
        <f>'Coverage Units by State Size'!G18*(($B$14*$B$6*G13)+($C$14*$B$7*G13))</f>
        <v>0</v>
      </c>
      <c r="F25" s="243">
        <f>'Coverage Units by State Size'!H18*(($B$15*$B$6)+($C$15*$B$7))</f>
        <v>42679</v>
      </c>
      <c r="G25" s="243">
        <f>'Coverage Units by State Size'!I18*(($B$16*$B$6)+($C$16*$B$7))</f>
        <v>38626</v>
      </c>
      <c r="H25" s="243">
        <f>'Coverage Units by State Size'!J18*(($B$17*$B$6*G13)+($C$17*$B$7*G13))</f>
        <v>11830</v>
      </c>
      <c r="I25" s="243">
        <f>'Coverage Units by State Size'!K18*(($B$18*$B$6*G13)+($C$18*$B$7*G13))</f>
        <v>196</v>
      </c>
      <c r="J25" s="156">
        <f>SUM(B25:I25)</f>
        <v>102640</v>
      </c>
    </row>
    <row r="26" spans="1:11" x14ac:dyDescent="0.15">
      <c r="A26" s="137" t="s">
        <v>64</v>
      </c>
      <c r="B26" s="139">
        <f>('Coverage Units by State Size'!D19)*(($B$11*$B$6)+($C$11*$B$7))</f>
        <v>0</v>
      </c>
      <c r="C26" s="243">
        <f>'Coverage Units by State Size'!E19*(($B$12*$B$6)+($C$12*$B$7))</f>
        <v>553</v>
      </c>
      <c r="D26" s="243">
        <f>'Coverage Units by State Size'!F19*(($B$13*G14)+($C$13*$B$7*G14))</f>
        <v>7260</v>
      </c>
      <c r="E26" s="243">
        <f>'Coverage Units by State Size'!G19*(($B$14*$B$6*G14)+($C$14*$B$7*G14))</f>
        <v>0</v>
      </c>
      <c r="F26" s="243">
        <f>'Coverage Units by State Size'!H19*(($B$15*$B$6)+($C$15*$B$7))</f>
        <v>29981</v>
      </c>
      <c r="G26" s="243">
        <f>'Coverage Units by State Size'!I19*(($B$16*$B$6)+($C$16*$B$7))</f>
        <v>30310</v>
      </c>
      <c r="H26" s="243">
        <f>'Coverage Units by State Size'!J19*(($B$17*$B$6*G14)+($C$17*$B$7*G14))</f>
        <v>10668</v>
      </c>
      <c r="I26" s="243">
        <f>'Coverage Units by State Size'!K19*(($B$18*$B$6*G14)+($C$18*$B$7*G14))</f>
        <v>105</v>
      </c>
      <c r="J26" s="156">
        <f>SUM(B26:I26)</f>
        <v>78877</v>
      </c>
    </row>
    <row r="27" spans="1:11" x14ac:dyDescent="0.15">
      <c r="A27" s="140" t="s">
        <v>65</v>
      </c>
      <c r="B27" s="141">
        <f>('Coverage Units by State Size'!D20)*(($B$11*$B$6)+($C$11*$B$7))</f>
        <v>0</v>
      </c>
      <c r="C27" s="141">
        <f>'Coverage Units by State Size'!E20*(($B$12*$B$6)+($C$12*$B$7))</f>
        <v>1001</v>
      </c>
      <c r="D27" s="141">
        <f>'Coverage Units by State Size'!F20*(($B$13*G15)+($C$13*$B$7*G15))</f>
        <v>11808</v>
      </c>
      <c r="E27" s="141">
        <f>'Coverage Units by State Size'!G20*(($B$14*$B$6*G15)+($C$14*$B$7*G15))</f>
        <v>0</v>
      </c>
      <c r="F27" s="141">
        <f>'Coverage Units by State Size'!H20*(($B$15*$B$6)+($C$15*$B$7))</f>
        <v>6503</v>
      </c>
      <c r="G27" s="141">
        <f>'Coverage Units by State Size'!I20*(($B$16*$B$6)+($C$16*$B$7))</f>
        <v>18991</v>
      </c>
      <c r="H27" s="141">
        <f>'Coverage Units by State Size'!J20*(($B$17*$B$6*G15)+($C$17*$B$7*G15))</f>
        <v>12152</v>
      </c>
      <c r="I27" s="141">
        <f>'Coverage Units by State Size'!K20*(($B$18*$B$6*G15)+($C$18*$B$7*G15))</f>
        <v>112</v>
      </c>
      <c r="J27" s="254">
        <f>SUM(B27:I27)</f>
        <v>50567</v>
      </c>
    </row>
    <row r="28" spans="1:11" x14ac:dyDescent="0.15">
      <c r="A28" s="136" t="s">
        <v>60</v>
      </c>
      <c r="B28" s="158">
        <f>SUM(B23:B27)</f>
        <v>0</v>
      </c>
      <c r="C28" s="158">
        <f t="shared" ref="C28:J28" si="0">SUM(C23:C27)</f>
        <v>3045</v>
      </c>
      <c r="D28" s="158">
        <f t="shared" si="0"/>
        <v>31591.5</v>
      </c>
      <c r="E28" s="158">
        <f>SUM(E23:E27)</f>
        <v>0</v>
      </c>
      <c r="F28" s="158">
        <f>SUM(F23:F27)</f>
        <v>113771</v>
      </c>
      <c r="G28" s="158">
        <f t="shared" si="0"/>
        <v>136465</v>
      </c>
      <c r="H28" s="158">
        <f t="shared" si="0"/>
        <v>42749</v>
      </c>
      <c r="I28" s="158">
        <f>SUM(I23:I27)</f>
        <v>581</v>
      </c>
      <c r="J28" s="158">
        <f t="shared" si="0"/>
        <v>328202.5</v>
      </c>
    </row>
    <row r="30" spans="1:11" x14ac:dyDescent="0.15">
      <c r="A30" s="143" t="s">
        <v>66</v>
      </c>
      <c r="B30" s="143"/>
      <c r="C30" s="143"/>
      <c r="D30" s="143"/>
      <c r="E30" s="143"/>
      <c r="F30" s="143"/>
      <c r="G30" s="143"/>
      <c r="H30" s="143"/>
      <c r="I30" s="143"/>
      <c r="J30" s="143"/>
    </row>
    <row r="31" spans="1:11" ht="26" x14ac:dyDescent="0.15">
      <c r="A31" s="150" t="s">
        <v>58</v>
      </c>
      <c r="B31" s="150" t="s">
        <v>59</v>
      </c>
      <c r="C31" s="150" t="s">
        <v>50</v>
      </c>
      <c r="D31" s="150" t="s">
        <v>51</v>
      </c>
      <c r="E31" s="150" t="s">
        <v>52</v>
      </c>
      <c r="F31" s="150" t="s">
        <v>53</v>
      </c>
      <c r="G31" s="150" t="s">
        <v>54</v>
      </c>
      <c r="H31" s="150" t="s">
        <v>55</v>
      </c>
      <c r="I31" s="150" t="s">
        <v>56</v>
      </c>
      <c r="J31" s="150" t="s">
        <v>60</v>
      </c>
    </row>
    <row r="32" spans="1:11" x14ac:dyDescent="0.15">
      <c r="A32" s="137" t="s">
        <v>61</v>
      </c>
      <c r="B32" s="246">
        <f>(Assumptions!$B$33/Assumptions!$B$32)*B23</f>
        <v>0</v>
      </c>
      <c r="C32" s="246">
        <f>(Assumptions!$B$33/Assumptions!$B$32)*C23</f>
        <v>28.000000000000004</v>
      </c>
      <c r="D32" s="246">
        <f>(Assumptions!$B$33/Assumptions!$B$32)*D23</f>
        <v>245.66666666666669</v>
      </c>
      <c r="E32" s="246">
        <f>(Assumptions!$B$33/Assumptions!$B$32)*E23</f>
        <v>0</v>
      </c>
      <c r="F32" s="246">
        <f>(Assumptions!$B$33/Assumptions!$B$32)*F23</f>
        <v>11419.333333333334</v>
      </c>
      <c r="G32" s="246">
        <f>(Assumptions!$B$33/Assumptions!$B$32)*G23</f>
        <v>4741.3333333333339</v>
      </c>
      <c r="H32" s="246">
        <f>(Assumptions!$B$33/Assumptions!$B$32)*H23</f>
        <v>406.00000000000006</v>
      </c>
      <c r="I32" s="246">
        <f>(Assumptions!$B$33/Assumptions!$B$32)*I23</f>
        <v>14.000000000000002</v>
      </c>
      <c r="J32" s="156">
        <f>SUM(B32:I32)</f>
        <v>16854.333333333336</v>
      </c>
      <c r="K32" s="246"/>
    </row>
    <row r="33" spans="1:10" x14ac:dyDescent="0.15">
      <c r="A33" s="137" t="s">
        <v>62</v>
      </c>
      <c r="B33" s="246">
        <f>(Assumptions!$B$33/Assumptions!$B$32)*B24</f>
        <v>0</v>
      </c>
      <c r="C33" s="246">
        <f>(Assumptions!$B$33/Assumptions!$B$32)*C24</f>
        <v>364.00000000000006</v>
      </c>
      <c r="D33" s="246">
        <f>(Assumptions!$B$33/Assumptions!$B$32)*D24</f>
        <v>2499.3333333333335</v>
      </c>
      <c r="E33" s="246">
        <f>(Assumptions!$B$33/Assumptions!$B$32)*E24</f>
        <v>0</v>
      </c>
      <c r="F33" s="246">
        <f>(Assumptions!$B$33/Assumptions!$B$32)*F24</f>
        <v>11652.666666666668</v>
      </c>
      <c r="G33" s="246">
        <f>(Assumptions!$B$33/Assumptions!$B$32)*G24</f>
        <v>27617.333333333336</v>
      </c>
      <c r="H33" s="246">
        <f>(Assumptions!$B$33/Assumptions!$B$32)*H24</f>
        <v>4993.3333333333339</v>
      </c>
      <c r="I33" s="246">
        <f>(Assumptions!$B$33/Assumptions!$B$32)*I24</f>
        <v>98.000000000000014</v>
      </c>
      <c r="J33" s="156">
        <f>SUM(B33:I33)</f>
        <v>47224.666666666672</v>
      </c>
    </row>
    <row r="34" spans="1:10" x14ac:dyDescent="0.15">
      <c r="A34" s="137" t="s">
        <v>63</v>
      </c>
      <c r="B34" s="246">
        <f>(Assumptions!$B$33/Assumptions!$B$32)*B25</f>
        <v>0</v>
      </c>
      <c r="C34" s="246">
        <f>(Assumptions!$B$33/Assumptions!$B$32)*C25</f>
        <v>602.00000000000011</v>
      </c>
      <c r="D34" s="246">
        <f>(Assumptions!$B$33/Assumptions!$B$32)*D25</f>
        <v>5604.0000000000009</v>
      </c>
      <c r="E34" s="246">
        <f>(Assumptions!$B$33/Assumptions!$B$32)*E25</f>
        <v>0</v>
      </c>
      <c r="F34" s="246">
        <f>(Assumptions!$B$33/Assumptions!$B$32)*F25</f>
        <v>28452.666666666672</v>
      </c>
      <c r="G34" s="246">
        <f>(Assumptions!$B$33/Assumptions!$B$32)*G25</f>
        <v>25750.666666666668</v>
      </c>
      <c r="H34" s="246">
        <f>(Assumptions!$B$33/Assumptions!$B$32)*H25</f>
        <v>7886.6666666666679</v>
      </c>
      <c r="I34" s="246">
        <f>(Assumptions!$B$33/Assumptions!$B$32)*I25</f>
        <v>130.66666666666669</v>
      </c>
      <c r="J34" s="156">
        <f>SUM(B34:I34)</f>
        <v>68426.666666666686</v>
      </c>
    </row>
    <row r="35" spans="1:10" x14ac:dyDescent="0.15">
      <c r="A35" s="137" t="s">
        <v>64</v>
      </c>
      <c r="B35" s="246">
        <f>(Assumptions!$B$33/Assumptions!$B$32)*B26</f>
        <v>0</v>
      </c>
      <c r="C35" s="246">
        <f>(Assumptions!$B$33/Assumptions!$B$32)*C26</f>
        <v>368.66666666666669</v>
      </c>
      <c r="D35" s="246">
        <f>(Assumptions!$B$33/Assumptions!$B$32)*D26</f>
        <v>4840.0000000000009</v>
      </c>
      <c r="E35" s="246">
        <f>(Assumptions!$B$33/Assumptions!$B$32)*E26</f>
        <v>0</v>
      </c>
      <c r="F35" s="246">
        <f>(Assumptions!$B$33/Assumptions!$B$32)*F26</f>
        <v>19987.333333333336</v>
      </c>
      <c r="G35" s="246">
        <f>(Assumptions!$B$33/Assumptions!$B$32)*G26</f>
        <v>20206.666666666668</v>
      </c>
      <c r="H35" s="246">
        <f>(Assumptions!$B$33/Assumptions!$B$32)*H26</f>
        <v>7112.0000000000009</v>
      </c>
      <c r="I35" s="246">
        <f>(Assumptions!$B$33/Assumptions!$B$32)*I26</f>
        <v>70.000000000000014</v>
      </c>
      <c r="J35" s="156">
        <f>SUM(B35:I35)</f>
        <v>52584.666666666672</v>
      </c>
    </row>
    <row r="36" spans="1:10" x14ac:dyDescent="0.15">
      <c r="A36" s="140" t="s">
        <v>65</v>
      </c>
      <c r="B36" s="252">
        <f>(Assumptions!$B$33/Assumptions!$B$32)*B27</f>
        <v>0</v>
      </c>
      <c r="C36" s="252">
        <f>(Assumptions!$B$33/Assumptions!$B$32)*C27</f>
        <v>667.33333333333337</v>
      </c>
      <c r="D36" s="252">
        <f>(Assumptions!$B$33/Assumptions!$B$32)*D27</f>
        <v>7872.0000000000009</v>
      </c>
      <c r="E36" s="252">
        <f>(Assumptions!$B$33/Assumptions!$B$32)*E27</f>
        <v>0</v>
      </c>
      <c r="F36" s="252">
        <f>(Assumptions!$B$33/Assumptions!$B$32)*F27</f>
        <v>4335.3333333333339</v>
      </c>
      <c r="G36" s="252">
        <f>(Assumptions!$B$33/Assumptions!$B$32)*G27</f>
        <v>12660.666666666668</v>
      </c>
      <c r="H36" s="252">
        <f>(Assumptions!$B$33/Assumptions!$B$32)*H27</f>
        <v>8101.3333333333339</v>
      </c>
      <c r="I36" s="252">
        <f>(Assumptions!$B$33/Assumptions!$B$32)*I27</f>
        <v>74.666666666666671</v>
      </c>
      <c r="J36" s="254">
        <f>SUM(B36:I36)</f>
        <v>33711.333333333336</v>
      </c>
    </row>
    <row r="37" spans="1:10" x14ac:dyDescent="0.15">
      <c r="A37" s="136" t="s">
        <v>60</v>
      </c>
      <c r="B37" s="156">
        <f>SUM(B32:B36)</f>
        <v>0</v>
      </c>
      <c r="C37" s="156">
        <f t="shared" ref="C37:J37" si="1">SUM(C32:C36)</f>
        <v>2030.0000000000005</v>
      </c>
      <c r="D37" s="156">
        <f t="shared" si="1"/>
        <v>21061</v>
      </c>
      <c r="E37" s="156">
        <f>SUM(E32:E36)</f>
        <v>0</v>
      </c>
      <c r="F37" s="156">
        <f>SUM(F32:F36)</f>
        <v>75847.333333333328</v>
      </c>
      <c r="G37" s="156">
        <f t="shared" si="1"/>
        <v>90976.666666666686</v>
      </c>
      <c r="H37" s="156">
        <f t="shared" si="1"/>
        <v>28499.333333333336</v>
      </c>
      <c r="I37" s="156">
        <f t="shared" si="1"/>
        <v>387.33333333333337</v>
      </c>
      <c r="J37" s="158">
        <f t="shared" si="1"/>
        <v>218801.66666666672</v>
      </c>
    </row>
    <row r="39" spans="1:10" x14ac:dyDescent="0.15">
      <c r="A39" s="143" t="s">
        <v>67</v>
      </c>
      <c r="B39" s="143"/>
      <c r="C39" s="143"/>
      <c r="D39" s="143"/>
      <c r="E39" s="143"/>
      <c r="F39" s="143"/>
      <c r="G39" s="143"/>
      <c r="H39" s="143"/>
      <c r="I39" s="143"/>
      <c r="J39" s="143"/>
    </row>
    <row r="40" spans="1:10" ht="26" x14ac:dyDescent="0.15">
      <c r="A40" s="150" t="s">
        <v>58</v>
      </c>
      <c r="B40" s="150" t="s">
        <v>59</v>
      </c>
      <c r="C40" s="150" t="s">
        <v>50</v>
      </c>
      <c r="D40" s="150" t="s">
        <v>51</v>
      </c>
      <c r="E40" s="150" t="s">
        <v>52</v>
      </c>
      <c r="F40" s="150" t="s">
        <v>53</v>
      </c>
      <c r="G40" s="150" t="s">
        <v>54</v>
      </c>
      <c r="H40" s="150" t="s">
        <v>55</v>
      </c>
      <c r="I40" s="150" t="s">
        <v>56</v>
      </c>
      <c r="J40" s="150" t="s">
        <v>60</v>
      </c>
    </row>
    <row r="41" spans="1:10" x14ac:dyDescent="0.15">
      <c r="A41" s="137" t="s">
        <v>61</v>
      </c>
      <c r="B41" s="194">
        <f>Assumptions!$B$36*B23</f>
        <v>0</v>
      </c>
      <c r="C41" s="194">
        <f>Assumptions!$B$36*C23</f>
        <v>4034454.4389148881</v>
      </c>
      <c r="D41" s="194">
        <f>Assumptions!$B$36*D23</f>
        <v>35397534.779527053</v>
      </c>
      <c r="E41" s="194">
        <f>Assumptions!$B$36*E23</f>
        <v>0</v>
      </c>
      <c r="F41" s="194">
        <f>Assumptions!$B$36*F23</f>
        <v>1645385002.0041218</v>
      </c>
      <c r="G41" s="194">
        <f>Assumptions!$B$36*G23</f>
        <v>683167618.32292104</v>
      </c>
      <c r="H41" s="194">
        <f>Assumptions!$B$36*H23</f>
        <v>58499589.364265881</v>
      </c>
      <c r="I41" s="194">
        <f>Assumptions!$B$36*I23</f>
        <v>2017227.219457444</v>
      </c>
      <c r="J41" s="251">
        <f>SUM(B41:I41)</f>
        <v>2428501426.1292081</v>
      </c>
    </row>
    <row r="42" spans="1:10" x14ac:dyDescent="0.15">
      <c r="A42" s="137" t="s">
        <v>62</v>
      </c>
      <c r="B42" s="194">
        <f>Assumptions!$B$36*B24</f>
        <v>0</v>
      </c>
      <c r="C42" s="194">
        <f>Assumptions!$B$36*C24</f>
        <v>52447907.705893546</v>
      </c>
      <c r="D42" s="194">
        <f>Assumptions!$B$36*D24</f>
        <v>360123087.89266467</v>
      </c>
      <c r="E42" s="194">
        <f>Assumptions!$B$36*E24</f>
        <v>0</v>
      </c>
      <c r="F42" s="194">
        <f>Assumptions!$B$36*F24</f>
        <v>1679005455.661746</v>
      </c>
      <c r="G42" s="194">
        <f>Assumptions!$B$36*G24</f>
        <v>3979316894.9163847</v>
      </c>
      <c r="H42" s="194">
        <f>Assumptions!$B$36*H24</f>
        <v>719477708.27315509</v>
      </c>
      <c r="I42" s="194">
        <f>Assumptions!$B$36*I24</f>
        <v>14120590.536202108</v>
      </c>
      <c r="J42" s="251">
        <f>SUM(B42:I42)</f>
        <v>6804491644.9860468</v>
      </c>
    </row>
    <row r="43" spans="1:10" x14ac:dyDescent="0.15">
      <c r="A43" s="137" t="s">
        <v>63</v>
      </c>
      <c r="B43" s="194">
        <f>Assumptions!$B$36*B25</f>
        <v>0</v>
      </c>
      <c r="C43" s="194">
        <f>Assumptions!$B$36*C25</f>
        <v>86740770.436670095</v>
      </c>
      <c r="D43" s="194">
        <f>Assumptions!$B$36*D25</f>
        <v>807467238.4171083</v>
      </c>
      <c r="E43" s="194">
        <f>Assumptions!$B$36*E25</f>
        <v>0</v>
      </c>
      <c r="F43" s="194">
        <f>Assumptions!$B$36*F25</f>
        <v>4099678119.0106788</v>
      </c>
      <c r="G43" s="194">
        <f>Assumptions!$B$36*G25</f>
        <v>3710353265.6553922</v>
      </c>
      <c r="H43" s="194">
        <f>Assumptions!$B$36*H25</f>
        <v>1136371333.6276934</v>
      </c>
      <c r="I43" s="194">
        <f>Assumptions!$B$36*I25</f>
        <v>18827454.048269477</v>
      </c>
      <c r="J43" s="251">
        <f>SUM(B43:I43)</f>
        <v>9859438181.1958122</v>
      </c>
    </row>
    <row r="44" spans="1:10" x14ac:dyDescent="0.15">
      <c r="A44" s="137" t="s">
        <v>64</v>
      </c>
      <c r="B44" s="194">
        <f>Assumptions!$B$36*B26</f>
        <v>0</v>
      </c>
      <c r="C44" s="194">
        <f>Assumptions!$B$36*C26</f>
        <v>53120316.779046029</v>
      </c>
      <c r="D44" s="194">
        <f>Assumptions!$B$36*D26</f>
        <v>697384267.29814494</v>
      </c>
      <c r="E44" s="194">
        <f>Assumptions!$B$36*E26</f>
        <v>0</v>
      </c>
      <c r="F44" s="194">
        <f>Assumptions!$B$36*F26</f>
        <v>2879928060.3120775</v>
      </c>
      <c r="G44" s="194">
        <f>Assumptions!$B$36*G26</f>
        <v>2911531286.7502441</v>
      </c>
      <c r="H44" s="194">
        <f>Assumptions!$B$36*H26</f>
        <v>1024751427.4843816</v>
      </c>
      <c r="I44" s="194">
        <f>Assumptions!$B$36*I26</f>
        <v>10086136.097287221</v>
      </c>
      <c r="J44" s="251">
        <f>SUM(B44:I44)</f>
        <v>7576801494.7211819</v>
      </c>
    </row>
    <row r="45" spans="1:10" x14ac:dyDescent="0.15">
      <c r="A45" s="140" t="s">
        <v>65</v>
      </c>
      <c r="B45" s="253">
        <f>Assumptions!$B$36*B27</f>
        <v>0</v>
      </c>
      <c r="C45" s="253">
        <f>Assumptions!$B$36*C27</f>
        <v>96154497.460804835</v>
      </c>
      <c r="D45" s="253">
        <f>Assumptions!$B$36*D27</f>
        <v>1134258047.9692142</v>
      </c>
      <c r="E45" s="253">
        <f>Assumptions!$B$36*E27</f>
        <v>0</v>
      </c>
      <c r="F45" s="253">
        <f>Assumptions!$B$36*F27</f>
        <v>624668028.95865524</v>
      </c>
      <c r="G45" s="253">
        <f>Assumptions!$B$36*G27</f>
        <v>1824245815.462682</v>
      </c>
      <c r="H45" s="253">
        <f>Assumptions!$B$36*H27</f>
        <v>1167302150.9927077</v>
      </c>
      <c r="I45" s="253">
        <f>Assumptions!$B$36*I27</f>
        <v>10758545.170439702</v>
      </c>
      <c r="J45" s="255">
        <f>SUM(B45:I45)</f>
        <v>4857387086.0145044</v>
      </c>
    </row>
    <row r="46" spans="1:10" x14ac:dyDescent="0.15">
      <c r="A46" s="136" t="s">
        <v>60</v>
      </c>
      <c r="B46" s="204">
        <f>SUM(B41:B45)</f>
        <v>0</v>
      </c>
      <c r="C46" s="204">
        <f t="shared" ref="C46:I46" si="2">SUM(C41:C45)</f>
        <v>292497946.82132941</v>
      </c>
      <c r="D46" s="204">
        <f t="shared" si="2"/>
        <v>3034630176.3566589</v>
      </c>
      <c r="E46" s="204">
        <f>SUM(E41:E45)</f>
        <v>0</v>
      </c>
      <c r="F46" s="204">
        <f>SUM(F41:F45)</f>
        <v>10928664665.947279</v>
      </c>
      <c r="G46" s="204">
        <f t="shared" si="2"/>
        <v>13108614881.107624</v>
      </c>
      <c r="H46" s="204">
        <f t="shared" si="2"/>
        <v>4106402209.7422037</v>
      </c>
      <c r="I46" s="204">
        <f t="shared" si="2"/>
        <v>55809953.071655959</v>
      </c>
      <c r="J46" s="251">
        <f>SUM(J41:J45)</f>
        <v>31526619833.046753</v>
      </c>
    </row>
    <row r="48" spans="1:10" x14ac:dyDescent="0.15">
      <c r="A48" s="143" t="s">
        <v>68</v>
      </c>
      <c r="B48" s="143"/>
      <c r="C48" s="143"/>
      <c r="D48" s="143"/>
      <c r="E48" s="143"/>
      <c r="F48" s="143"/>
      <c r="G48" s="143"/>
      <c r="H48" s="143"/>
      <c r="I48" s="143"/>
      <c r="J48" s="143"/>
    </row>
    <row r="49" spans="1:10" ht="26" x14ac:dyDescent="0.15">
      <c r="A49" s="150" t="s">
        <v>58</v>
      </c>
      <c r="B49" s="150" t="s">
        <v>59</v>
      </c>
      <c r="C49" s="150" t="s">
        <v>50</v>
      </c>
      <c r="D49" s="150" t="s">
        <v>51</v>
      </c>
      <c r="E49" s="150" t="s">
        <v>52</v>
      </c>
      <c r="F49" s="150" t="s">
        <v>53</v>
      </c>
      <c r="G49" s="150" t="s">
        <v>54</v>
      </c>
      <c r="H49" s="150" t="s">
        <v>55</v>
      </c>
      <c r="I49" s="150" t="s">
        <v>56</v>
      </c>
      <c r="J49" s="150" t="s">
        <v>60</v>
      </c>
    </row>
    <row r="50" spans="1:10" x14ac:dyDescent="0.15">
      <c r="A50" s="137" t="s">
        <v>61</v>
      </c>
      <c r="B50" s="256">
        <f>(Assumptions!$B$33/Assumptions!$B$32)*'By Journalist'!B41</f>
        <v>0</v>
      </c>
      <c r="C50" s="256">
        <f>(Assumptions!$B$33/Assumptions!$B$32)*'By Journalist'!C41</f>
        <v>2689636.2926099258</v>
      </c>
      <c r="D50" s="256">
        <f>(Assumptions!$B$33/Assumptions!$B$32)*'By Journalist'!D41</f>
        <v>23598356.519684706</v>
      </c>
      <c r="E50" s="256">
        <f>(Assumptions!$B$33/Assumptions!$B$32)*'By Journalist'!E41</f>
        <v>0</v>
      </c>
      <c r="F50" s="256">
        <f>(Assumptions!$B$33/Assumptions!$B$32)*'By Journalist'!F41</f>
        <v>1096923334.6694148</v>
      </c>
      <c r="G50" s="256">
        <f>(Assumptions!$B$33/Assumptions!$B$32)*'By Journalist'!G41</f>
        <v>455445078.8819474</v>
      </c>
      <c r="H50" s="256">
        <f>(Assumptions!$B$33/Assumptions!$B$32)*'By Journalist'!H41</f>
        <v>38999726.242843926</v>
      </c>
      <c r="I50" s="256">
        <f>(Assumptions!$B$33/Assumptions!$B$32)*'By Journalist'!I41</f>
        <v>1344818.1463049629</v>
      </c>
      <c r="J50" s="251">
        <f>SUM(B50:I50)</f>
        <v>1619000950.7528057</v>
      </c>
    </row>
    <row r="51" spans="1:10" x14ac:dyDescent="0.15">
      <c r="A51" s="137" t="s">
        <v>62</v>
      </c>
      <c r="B51" s="256">
        <f>(Assumptions!$B$33/Assumptions!$B$32)*'By Journalist'!B42</f>
        <v>0</v>
      </c>
      <c r="C51" s="256">
        <f>(Assumptions!$B$33/Assumptions!$B$32)*'By Journalist'!C42</f>
        <v>34965271.803929038</v>
      </c>
      <c r="D51" s="256">
        <f>(Assumptions!$B$33/Assumptions!$B$32)*'By Journalist'!D42</f>
        <v>240082058.59510982</v>
      </c>
      <c r="E51" s="256">
        <f>(Assumptions!$B$33/Assumptions!$B$32)*'By Journalist'!E42</f>
        <v>0</v>
      </c>
      <c r="F51" s="256">
        <f>(Assumptions!$B$33/Assumptions!$B$32)*'By Journalist'!F42</f>
        <v>1119336970.4411643</v>
      </c>
      <c r="G51" s="256">
        <f>(Assumptions!$B$33/Assumptions!$B$32)*'By Journalist'!G42</f>
        <v>2652877929.9442568</v>
      </c>
      <c r="H51" s="256">
        <f>(Assumptions!$B$33/Assumptions!$B$32)*'By Journalist'!H42</f>
        <v>479651805.51543677</v>
      </c>
      <c r="I51" s="256">
        <f>(Assumptions!$B$33/Assumptions!$B$32)*'By Journalist'!I42</f>
        <v>9413727.0241347402</v>
      </c>
      <c r="J51" s="251">
        <f>SUM(B51:I51)</f>
        <v>4536327763.3240318</v>
      </c>
    </row>
    <row r="52" spans="1:10" x14ac:dyDescent="0.15">
      <c r="A52" s="137" t="s">
        <v>63</v>
      </c>
      <c r="B52" s="256">
        <f>(Assumptions!$B$33/Assumptions!$B$32)*'By Journalist'!B43</f>
        <v>0</v>
      </c>
      <c r="C52" s="256">
        <f>(Assumptions!$B$33/Assumptions!$B$32)*'By Journalist'!C43</f>
        <v>57827180.291113406</v>
      </c>
      <c r="D52" s="256">
        <f>(Assumptions!$B$33/Assumptions!$B$32)*'By Journalist'!D43</f>
        <v>538311492.27807224</v>
      </c>
      <c r="E52" s="256">
        <f>(Assumptions!$B$33/Assumptions!$B$32)*'By Journalist'!E43</f>
        <v>0</v>
      </c>
      <c r="F52" s="256">
        <f>(Assumptions!$B$33/Assumptions!$B$32)*'By Journalist'!F43</f>
        <v>2733118746.0071197</v>
      </c>
      <c r="G52" s="256">
        <f>(Assumptions!$B$33/Assumptions!$B$32)*'By Journalist'!G43</f>
        <v>2473568843.7702618</v>
      </c>
      <c r="H52" s="256">
        <f>(Assumptions!$B$33/Assumptions!$B$32)*'By Journalist'!H43</f>
        <v>757580889.08512902</v>
      </c>
      <c r="I52" s="256">
        <f>(Assumptions!$B$33/Assumptions!$B$32)*'By Journalist'!I43</f>
        <v>12551636.032179652</v>
      </c>
      <c r="J52" s="251">
        <f>SUM(B52:I52)</f>
        <v>6572958787.4638758</v>
      </c>
    </row>
    <row r="53" spans="1:10" x14ac:dyDescent="0.15">
      <c r="A53" s="137" t="s">
        <v>64</v>
      </c>
      <c r="B53" s="256">
        <f>(Assumptions!$B$33/Assumptions!$B$32)*'By Journalist'!B44</f>
        <v>0</v>
      </c>
      <c r="C53" s="256">
        <f>(Assumptions!$B$33/Assumptions!$B$32)*'By Journalist'!C44</f>
        <v>35413544.519364022</v>
      </c>
      <c r="D53" s="256">
        <f>(Assumptions!$B$33/Assumptions!$B$32)*'By Journalist'!D44</f>
        <v>464922844.86543</v>
      </c>
      <c r="E53" s="256">
        <f>(Assumptions!$B$33/Assumptions!$B$32)*'By Journalist'!E44</f>
        <v>0</v>
      </c>
      <c r="F53" s="256">
        <f>(Assumptions!$B$33/Assumptions!$B$32)*'By Journalist'!F44</f>
        <v>1919952040.2080519</v>
      </c>
      <c r="G53" s="256">
        <f>(Assumptions!$B$33/Assumptions!$B$32)*'By Journalist'!G44</f>
        <v>1941020857.8334963</v>
      </c>
      <c r="H53" s="256">
        <f>(Assumptions!$B$33/Assumptions!$B$32)*'By Journalist'!H44</f>
        <v>683167618.32292116</v>
      </c>
      <c r="I53" s="256">
        <f>(Assumptions!$B$33/Assumptions!$B$32)*'By Journalist'!I44</f>
        <v>6724090.7315248149</v>
      </c>
      <c r="J53" s="251">
        <f>SUM(B53:I53)</f>
        <v>5051200996.4807873</v>
      </c>
    </row>
    <row r="54" spans="1:10" x14ac:dyDescent="0.15">
      <c r="A54" s="140" t="s">
        <v>65</v>
      </c>
      <c r="B54" s="184">
        <f>(Assumptions!$B$33/Assumptions!$B$32)*'By Journalist'!B45</f>
        <v>0</v>
      </c>
      <c r="C54" s="184">
        <f>(Assumptions!$B$33/Assumptions!$B$32)*'By Journalist'!C45</f>
        <v>64102998.307203233</v>
      </c>
      <c r="D54" s="184">
        <f>(Assumptions!$B$33/Assumptions!$B$32)*'By Journalist'!D45</f>
        <v>756172031.97947621</v>
      </c>
      <c r="E54" s="184">
        <f>(Assumptions!$B$33/Assumptions!$B$32)*'By Journalist'!E45</f>
        <v>0</v>
      </c>
      <c r="F54" s="184">
        <f>(Assumptions!$B$33/Assumptions!$B$32)*'By Journalist'!F45</f>
        <v>416445352.63910353</v>
      </c>
      <c r="G54" s="184">
        <f>(Assumptions!$B$33/Assumptions!$B$32)*'By Journalist'!G45</f>
        <v>1216163876.9751215</v>
      </c>
      <c r="H54" s="184">
        <f>(Assumptions!$B$33/Assumptions!$B$32)*'By Journalist'!H45</f>
        <v>778201433.99513853</v>
      </c>
      <c r="I54" s="184">
        <f>(Assumptions!$B$33/Assumptions!$B$32)*'By Journalist'!I45</f>
        <v>7172363.4469598019</v>
      </c>
      <c r="J54" s="255">
        <f>SUM(B54:I54)</f>
        <v>3238258057.3430033</v>
      </c>
    </row>
    <row r="55" spans="1:10" x14ac:dyDescent="0.15">
      <c r="A55" s="136" t="s">
        <v>60</v>
      </c>
      <c r="B55" s="204">
        <f>SUM(B50:B54)</f>
        <v>0</v>
      </c>
      <c r="C55" s="204">
        <f t="shared" ref="C55:D55" si="3">SUM(C50:C54)</f>
        <v>194998631.21421963</v>
      </c>
      <c r="D55" s="204">
        <f t="shared" si="3"/>
        <v>2023086784.2377729</v>
      </c>
      <c r="E55" s="204">
        <f t="shared" ref="E55" si="4">SUM(E50:E54)</f>
        <v>0</v>
      </c>
      <c r="F55" s="204">
        <f t="shared" ref="F55" si="5">SUM(F50:F54)</f>
        <v>7285776443.9648542</v>
      </c>
      <c r="G55" s="204">
        <f t="shared" ref="G55" si="6">SUM(G50:G54)</f>
        <v>8739076587.4050827</v>
      </c>
      <c r="H55" s="204">
        <f t="shared" ref="H55" si="7">SUM(H50:H54)</f>
        <v>2737601473.1614695</v>
      </c>
      <c r="I55" s="204">
        <f t="shared" ref="I55" si="8">SUM(I50:I54)</f>
        <v>37206635.38110397</v>
      </c>
      <c r="J55" s="251">
        <f>SUM(J50:J54)</f>
        <v>21017746555.364502</v>
      </c>
    </row>
    <row r="58" spans="1:10" x14ac:dyDescent="0.15">
      <c r="B58" s="194"/>
    </row>
    <row r="87" spans="1:1" ht="13" thickBot="1" x14ac:dyDescent="0.2">
      <c r="A87" s="159"/>
    </row>
  </sheetData>
  <pageMargins left="0.7" right="0.7" top="0.75" bottom="0.75" header="0.3" footer="0.3"/>
  <pageSetup scale="60"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A9186C-06C3-4BFA-8DB9-8DBC3BFD52BB}">
          <x14:formula1>
            <xm:f>'Dropdown Menus'!#REF!</xm:f>
          </x14:formula1>
          <xm:sqref>D11:D18 E11:E15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0FFF-D65E-4273-90C7-BFE9E046A033}">
  <sheetPr>
    <tabColor theme="8" tint="0.39997558519241921"/>
  </sheetPr>
  <dimension ref="A1:J45"/>
  <sheetViews>
    <sheetView view="pageBreakPreview" zoomScale="145" zoomScaleNormal="130" zoomScaleSheetLayoutView="145" workbookViewId="0">
      <selection activeCell="E13" sqref="E13"/>
    </sheetView>
  </sheetViews>
  <sheetFormatPr baseColWidth="10" defaultColWidth="9.1640625" defaultRowHeight="12" x14ac:dyDescent="0.15"/>
  <cols>
    <col min="1" max="1" width="21.33203125" style="137" bestFit="1" customWidth="1"/>
    <col min="2" max="2" width="16.6640625" style="137" customWidth="1"/>
    <col min="3" max="4" width="14.6640625" style="137" customWidth="1"/>
    <col min="5" max="5" width="23.1640625" style="137" customWidth="1"/>
    <col min="6" max="6" width="10.33203125" style="137" customWidth="1"/>
    <col min="7" max="9" width="14.6640625" style="137" customWidth="1"/>
    <col min="10" max="10" width="12.33203125" style="137" bestFit="1" customWidth="1"/>
    <col min="11" max="16384" width="9.1640625" style="137"/>
  </cols>
  <sheetData>
    <row r="1" spans="1:10" x14ac:dyDescent="0.15">
      <c r="A1" s="136" t="s">
        <v>0</v>
      </c>
      <c r="J1" s="213"/>
    </row>
    <row r="2" spans="1:10" x14ac:dyDescent="0.15">
      <c r="A2" s="136" t="s">
        <v>2</v>
      </c>
    </row>
    <row r="3" spans="1:10" x14ac:dyDescent="0.15">
      <c r="A3" s="138" t="str">
        <f>INSTRUCTIONS!A3</f>
        <v>March 2022</v>
      </c>
    </row>
    <row r="4" spans="1:10" x14ac:dyDescent="0.15">
      <c r="A4" s="157" t="s">
        <v>1080</v>
      </c>
    </row>
    <row r="6" spans="1:10" ht="13" customHeight="1" x14ac:dyDescent="0.15">
      <c r="A6" s="137" t="s">
        <v>1081</v>
      </c>
      <c r="B6" s="239" t="s">
        <v>178</v>
      </c>
      <c r="E6" s="205" t="s">
        <v>1133</v>
      </c>
      <c r="F6" s="340">
        <f>Assumptions!B14</f>
        <v>7</v>
      </c>
    </row>
    <row r="7" spans="1:10" ht="13" x14ac:dyDescent="0.15">
      <c r="A7" s="137" t="s">
        <v>58</v>
      </c>
      <c r="B7" s="340" t="str">
        <f>IFERROR(VLOOKUP('State Estimate'!B6,'State Data Rollup &amp; Size Tags'!A7:M57,2,0),"")</f>
        <v>Medium</v>
      </c>
      <c r="E7" s="205" t="s">
        <v>44</v>
      </c>
      <c r="F7" s="347">
        <f>Assumptions!B23</f>
        <v>6</v>
      </c>
    </row>
    <row r="8" spans="1:10" x14ac:dyDescent="0.15">
      <c r="A8" s="137" t="s">
        <v>149</v>
      </c>
      <c r="B8" s="340">
        <f>IFERROR(VLOOKUP('State Estimate'!B7,'Coverage Units by State Size'!B8:D12,3,0),"")</f>
        <v>2</v>
      </c>
      <c r="E8" s="205"/>
      <c r="F8" s="288"/>
    </row>
    <row r="10" spans="1:10" x14ac:dyDescent="0.15">
      <c r="A10" s="181" t="s">
        <v>29</v>
      </c>
      <c r="B10" s="140"/>
    </row>
    <row r="11" spans="1:10" x14ac:dyDescent="0.15">
      <c r="A11" s="137" t="s">
        <v>1088</v>
      </c>
      <c r="B11" s="246">
        <f>IFERROR(((F20/100000)*((B20*F6)+(C20*F7))+(F21*((B21*F6)+(C21*F7)))+(F22*((B22*B8)+(C22*F7*B8)))+(F23*((B23*F6*B8)+(C23*F7*B8)))+(F24*((B24*F6)+(C24*F7)))+(F25*((B25*F6)+(C25*F7)))+(F26*((B26*F6*B8)+(C26*F7*B8)))+(F27*((B27*F6*B8)+(C27*F7*B8)))),"")</f>
        <v>76848.635680000007</v>
      </c>
    </row>
    <row r="12" spans="1:10" x14ac:dyDescent="0.15">
      <c r="A12" s="140" t="s">
        <v>1089</v>
      </c>
      <c r="B12" s="141">
        <f>IFERROR(((Assumptions!$B$33/Assumptions!$B$32)*'State Estimate'!B11),"")</f>
        <v>51232.423786666674</v>
      </c>
    </row>
    <row r="13" spans="1:10" ht="13" thickBot="1" x14ac:dyDescent="0.2">
      <c r="A13" s="358" t="s">
        <v>257</v>
      </c>
      <c r="B13" s="359">
        <f>SUM(B11:B12)</f>
        <v>128081.05946666669</v>
      </c>
    </row>
    <row r="14" spans="1:10" ht="13" thickTop="1" x14ac:dyDescent="0.15">
      <c r="A14" s="137" t="s">
        <v>35</v>
      </c>
      <c r="B14" s="173">
        <f>IFERROR((B11*Assumptions!B36),"")</f>
        <v>7381959984.3745022</v>
      </c>
    </row>
    <row r="15" spans="1:10" x14ac:dyDescent="0.15">
      <c r="A15" s="140" t="s">
        <v>36</v>
      </c>
      <c r="B15" s="253">
        <f>IFERROR(((Assumptions!B33/Assumptions!B32)*'State Estimate'!B14),"")</f>
        <v>4921306656.2496691</v>
      </c>
    </row>
    <row r="16" spans="1:10" ht="13" thickBot="1" x14ac:dyDescent="0.2">
      <c r="A16" s="358" t="s">
        <v>87</v>
      </c>
      <c r="B16" s="360">
        <f>SUM(B14:B15)</f>
        <v>12303266640.624172</v>
      </c>
    </row>
    <row r="17" spans="1:7" ht="13" thickTop="1" x14ac:dyDescent="0.15"/>
    <row r="18" spans="1:7" x14ac:dyDescent="0.15">
      <c r="A18" s="143" t="s">
        <v>1117</v>
      </c>
      <c r="B18" s="143"/>
      <c r="C18" s="143"/>
      <c r="E18" s="143" t="s">
        <v>1087</v>
      </c>
      <c r="F18" s="143"/>
      <c r="G18" s="136"/>
    </row>
    <row r="19" spans="1:7" ht="29.5" customHeight="1" thickBot="1" x14ac:dyDescent="0.2">
      <c r="A19" s="160" t="s">
        <v>46</v>
      </c>
      <c r="B19" s="160" t="s">
        <v>1131</v>
      </c>
      <c r="C19" s="160" t="s">
        <v>48</v>
      </c>
      <c r="E19" s="160" t="s">
        <v>954</v>
      </c>
      <c r="F19" s="160"/>
      <c r="G19" s="156"/>
    </row>
    <row r="20" spans="1:7" ht="14" thickBot="1" x14ac:dyDescent="0.2">
      <c r="A20" s="137" t="s">
        <v>49</v>
      </c>
      <c r="B20" s="163">
        <v>1</v>
      </c>
      <c r="C20" s="163">
        <v>1</v>
      </c>
      <c r="E20" s="341" t="s">
        <v>156</v>
      </c>
      <c r="F20" s="342">
        <f>IFERROR(VLOOKUP($B$6,'State Data Rollup &amp; Size Tags'!$A$7:$M$57,3),"")</f>
        <v>5758736</v>
      </c>
      <c r="G20" s="156"/>
    </row>
    <row r="21" spans="1:7" ht="14" thickBot="1" x14ac:dyDescent="0.2">
      <c r="A21" s="137" t="s">
        <v>50</v>
      </c>
      <c r="B21" s="163">
        <v>1</v>
      </c>
      <c r="C21" s="163">
        <v>1</v>
      </c>
      <c r="E21" s="343" t="s">
        <v>169</v>
      </c>
      <c r="F21" s="344">
        <f>IFERROR(VLOOKUP($B$6,'State Data Rollup &amp; Size Tags'!$A$7:$M$57,4),"")</f>
        <v>7</v>
      </c>
      <c r="G21" s="156"/>
    </row>
    <row r="22" spans="1:7" ht="14" thickBot="1" x14ac:dyDescent="0.2">
      <c r="A22" s="137" t="s">
        <v>51</v>
      </c>
      <c r="B22" s="164">
        <v>1</v>
      </c>
      <c r="C22" s="164">
        <v>1</v>
      </c>
      <c r="E22" s="343" t="s">
        <v>163</v>
      </c>
      <c r="F22" s="344">
        <f>IFERROR(VLOOKUP($B$6,'State Data Rollup &amp; Size Tags'!$A$7:$M$57,5),"")</f>
        <v>180</v>
      </c>
      <c r="G22" s="204"/>
    </row>
    <row r="23" spans="1:7" ht="14" thickBot="1" x14ac:dyDescent="0.2">
      <c r="A23" s="137" t="s">
        <v>52</v>
      </c>
      <c r="B23" s="164">
        <v>1</v>
      </c>
      <c r="C23" s="164">
        <v>1</v>
      </c>
      <c r="E23" s="343" t="s">
        <v>166</v>
      </c>
      <c r="F23" s="344">
        <f>IFERROR(VLOOKUP($B$6,'State Data Rollup &amp; Size Tags'!$A$7:$M$57,6),"")</f>
        <v>2628</v>
      </c>
      <c r="G23" s="204"/>
    </row>
    <row r="24" spans="1:7" ht="14" thickBot="1" x14ac:dyDescent="0.2">
      <c r="A24" s="137" t="s">
        <v>53</v>
      </c>
      <c r="B24" s="164">
        <v>1</v>
      </c>
      <c r="C24" s="164">
        <v>1</v>
      </c>
      <c r="E24" s="343" t="s">
        <v>167</v>
      </c>
      <c r="F24" s="344">
        <f>IFERROR(VLOOKUP($B$6,'State Data Rollup &amp; Size Tags'!$A$7:$M$57,7),"")</f>
        <v>0</v>
      </c>
    </row>
    <row r="25" spans="1:7" ht="14" thickBot="1" x14ac:dyDescent="0.2">
      <c r="A25" s="137" t="s">
        <v>54</v>
      </c>
      <c r="B25" s="165">
        <v>1</v>
      </c>
      <c r="C25" s="165">
        <v>1</v>
      </c>
      <c r="E25" s="343" t="s">
        <v>164</v>
      </c>
      <c r="F25" s="344">
        <f>IFERROR(VLOOKUP($B$6,'State Data Rollup &amp; Size Tags'!$A$7:$M$57,8),"")</f>
        <v>271</v>
      </c>
    </row>
    <row r="26" spans="1:7" ht="14" thickBot="1" x14ac:dyDescent="0.2">
      <c r="A26" s="137" t="s">
        <v>55</v>
      </c>
      <c r="B26" s="164">
        <v>1</v>
      </c>
      <c r="C26" s="164">
        <v>1</v>
      </c>
      <c r="E26" s="343" t="s">
        <v>165</v>
      </c>
      <c r="F26" s="344">
        <f>IFERROR(VLOOKUP($B$6,'State Data Rollup &amp; Size Tags'!$A$7:$M$57,9),"")</f>
        <v>62</v>
      </c>
    </row>
    <row r="27" spans="1:7" ht="14" thickBot="1" x14ac:dyDescent="0.2">
      <c r="A27" s="137" t="s">
        <v>56</v>
      </c>
      <c r="B27" s="164">
        <v>1</v>
      </c>
      <c r="C27" s="164">
        <v>1</v>
      </c>
      <c r="E27" s="345" t="s">
        <v>168</v>
      </c>
      <c r="F27" s="346">
        <f>IFERROR(VLOOKUP($B$6,'State Data Rollup &amp; Size Tags'!$A$7:$M$57,10),"")</f>
        <v>1</v>
      </c>
    </row>
    <row r="31" spans="1:7" x14ac:dyDescent="0.15">
      <c r="D31" s="246"/>
    </row>
    <row r="45" spans="1:1" ht="13" thickBot="1" x14ac:dyDescent="0.2">
      <c r="A45" s="159"/>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1D7D1BD8-FF40-468A-95FB-F4BC3AC2DDCE}">
          <x14:formula1>
            <xm:f>'Dropdown Menus'!$J$2:$J$53</xm:f>
          </x14:formula1>
          <xm:sqref>B6</xm:sqref>
        </x14:dataValidation>
        <x14:dataValidation type="list" allowBlank="1" showInputMessage="1" showErrorMessage="1" xr:uid="{A9873367-BBA6-49B8-97FD-187E6B9272D5}">
          <x14:formula1>
            <xm:f>'Dropdown Menus'!#REF!</xm:f>
          </x14:formula1>
          <xm:sqref>D20:D27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FA70-EC60-4AE6-9559-4F92F4BA8D73}">
  <sheetPr>
    <tabColor theme="8" tint="0.39997558519241921"/>
  </sheetPr>
  <dimension ref="A1:J42"/>
  <sheetViews>
    <sheetView view="pageBreakPreview" zoomScale="145" zoomScaleNormal="130" zoomScaleSheetLayoutView="145" workbookViewId="0">
      <selection activeCell="D25" sqref="D25"/>
    </sheetView>
  </sheetViews>
  <sheetFormatPr baseColWidth="10" defaultColWidth="9.1640625" defaultRowHeight="12" x14ac:dyDescent="0.15"/>
  <cols>
    <col min="1" max="1" width="23.6640625" style="137" customWidth="1"/>
    <col min="2" max="2" width="16.6640625" style="137" customWidth="1"/>
    <col min="3" max="4" width="14.6640625" style="137" customWidth="1"/>
    <col min="5" max="5" width="23.1640625" style="137" customWidth="1"/>
    <col min="6" max="6" width="10.33203125" style="137" customWidth="1"/>
    <col min="7" max="9" width="14.6640625" style="137" customWidth="1"/>
    <col min="10" max="10" width="12.33203125" style="137" bestFit="1" customWidth="1"/>
    <col min="11" max="16384" width="9.1640625" style="137"/>
  </cols>
  <sheetData>
    <row r="1" spans="1:10" x14ac:dyDescent="0.15">
      <c r="A1" s="136" t="s">
        <v>0</v>
      </c>
      <c r="J1" s="213"/>
    </row>
    <row r="2" spans="1:10" x14ac:dyDescent="0.15">
      <c r="A2" s="136" t="s">
        <v>2</v>
      </c>
    </row>
    <row r="3" spans="1:10" x14ac:dyDescent="0.15">
      <c r="A3" s="138" t="str">
        <f>INSTRUCTIONS!A3</f>
        <v>March 2022</v>
      </c>
    </row>
    <row r="4" spans="1:10" x14ac:dyDescent="0.15">
      <c r="A4" s="157" t="s">
        <v>1090</v>
      </c>
    </row>
    <row r="6" spans="1:10" x14ac:dyDescent="0.15">
      <c r="A6" s="181" t="s">
        <v>29</v>
      </c>
      <c r="B6" s="140"/>
    </row>
    <row r="7" spans="1:10" x14ac:dyDescent="0.15">
      <c r="A7" s="137" t="s">
        <v>1088</v>
      </c>
      <c r="B7" s="246">
        <f>IFERROR(((F17/100000)*((B17*B27)+(C17*B28))+(F18*((B18*B27)+(C18*B28)))+(F19*((B19)+(C19*B28)))+(F20*((B20*B27)+(C20*B28)))+(F21*((B21*B27)+(C21*B28)))+(F22*((B22*B27)+(C22*B28)))+(F23*((B23*B27)+(C23*B28)))+(F24*((B24*B27)+(C24*B28)))),"")</f>
        <v>5576</v>
      </c>
    </row>
    <row r="8" spans="1:10" x14ac:dyDescent="0.15">
      <c r="A8" s="140" t="s">
        <v>1089</v>
      </c>
      <c r="B8" s="141">
        <f>IFERROR(((Assumptions!$B$33/Assumptions!$B$32)*'Regional Estimate'!B7),"")</f>
        <v>3717.3333333333339</v>
      </c>
    </row>
    <row r="9" spans="1:10" x14ac:dyDescent="0.15">
      <c r="A9" s="136" t="s">
        <v>257</v>
      </c>
      <c r="B9" s="156">
        <f>SUM(B7:B8)</f>
        <v>9293.3333333333339</v>
      </c>
    </row>
    <row r="11" spans="1:10" x14ac:dyDescent="0.15">
      <c r="A11" s="137" t="s">
        <v>35</v>
      </c>
      <c r="B11" s="173">
        <f>IFERROR((B7*Assumptions!B36),"")</f>
        <v>535621855.98546231</v>
      </c>
    </row>
    <row r="12" spans="1:10" x14ac:dyDescent="0.15">
      <c r="A12" s="140" t="s">
        <v>36</v>
      </c>
      <c r="B12" s="253">
        <f>IFERROR(((Assumptions!B33/Assumptions!B32)*'Regional Estimate'!B11),"")</f>
        <v>357081237.3236416</v>
      </c>
    </row>
    <row r="13" spans="1:10" x14ac:dyDescent="0.15">
      <c r="A13" s="136" t="s">
        <v>87</v>
      </c>
      <c r="B13" s="204">
        <f>SUM(B11:B12)</f>
        <v>892703093.30910397</v>
      </c>
    </row>
    <row r="15" spans="1:10" x14ac:dyDescent="0.15">
      <c r="A15" s="143" t="s">
        <v>1117</v>
      </c>
      <c r="B15" s="143"/>
      <c r="C15" s="143"/>
      <c r="E15" s="143" t="s">
        <v>1091</v>
      </c>
      <c r="F15" s="143"/>
      <c r="G15" s="136"/>
    </row>
    <row r="16" spans="1:10" ht="29.5" customHeight="1" thickBot="1" x14ac:dyDescent="0.2">
      <c r="A16" s="160" t="s">
        <v>46</v>
      </c>
      <c r="B16" s="160" t="s">
        <v>47</v>
      </c>
      <c r="C16" s="160" t="s">
        <v>48</v>
      </c>
      <c r="E16" s="160" t="s">
        <v>954</v>
      </c>
      <c r="F16" s="160"/>
      <c r="G16" s="156"/>
    </row>
    <row r="17" spans="1:7" ht="13" x14ac:dyDescent="0.15">
      <c r="A17" s="357" t="s">
        <v>49</v>
      </c>
      <c r="B17" s="348">
        <v>1</v>
      </c>
      <c r="C17" s="349">
        <v>1</v>
      </c>
      <c r="E17" s="341" t="s">
        <v>156</v>
      </c>
      <c r="F17" s="354">
        <v>5000000</v>
      </c>
      <c r="G17" s="156"/>
    </row>
    <row r="18" spans="1:7" ht="13" x14ac:dyDescent="0.15">
      <c r="A18" s="172" t="s">
        <v>50</v>
      </c>
      <c r="B18" s="350">
        <v>1</v>
      </c>
      <c r="C18" s="351">
        <v>1</v>
      </c>
      <c r="E18" s="343" t="s">
        <v>169</v>
      </c>
      <c r="F18" s="355">
        <v>200</v>
      </c>
      <c r="G18" s="156"/>
    </row>
    <row r="19" spans="1:7" ht="13" x14ac:dyDescent="0.15">
      <c r="A19" s="172" t="s">
        <v>51</v>
      </c>
      <c r="B19" s="350">
        <v>1</v>
      </c>
      <c r="C19" s="351">
        <v>1</v>
      </c>
      <c r="E19" s="343" t="s">
        <v>163</v>
      </c>
      <c r="F19" s="355">
        <v>50</v>
      </c>
      <c r="G19" s="204"/>
    </row>
    <row r="20" spans="1:7" ht="13" x14ac:dyDescent="0.15">
      <c r="A20" s="172" t="s">
        <v>52</v>
      </c>
      <c r="B20" s="350">
        <v>1</v>
      </c>
      <c r="C20" s="351">
        <v>1</v>
      </c>
      <c r="E20" s="343" t="s">
        <v>166</v>
      </c>
      <c r="F20" s="355">
        <v>5</v>
      </c>
      <c r="G20" s="204"/>
    </row>
    <row r="21" spans="1:7" ht="13" x14ac:dyDescent="0.15">
      <c r="A21" s="172" t="s">
        <v>53</v>
      </c>
      <c r="B21" s="350">
        <v>1</v>
      </c>
      <c r="C21" s="351">
        <v>1</v>
      </c>
      <c r="E21" s="343" t="s">
        <v>167</v>
      </c>
      <c r="F21" s="355">
        <v>85</v>
      </c>
    </row>
    <row r="22" spans="1:7" ht="13" x14ac:dyDescent="0.15">
      <c r="A22" s="172" t="s">
        <v>54</v>
      </c>
      <c r="B22" s="350">
        <v>1</v>
      </c>
      <c r="C22" s="351">
        <v>1</v>
      </c>
      <c r="E22" s="343" t="s">
        <v>164</v>
      </c>
      <c r="F22" s="355">
        <v>40</v>
      </c>
    </row>
    <row r="23" spans="1:7" ht="13" x14ac:dyDescent="0.15">
      <c r="A23" s="172" t="s">
        <v>55</v>
      </c>
      <c r="B23" s="350">
        <v>1</v>
      </c>
      <c r="C23" s="351">
        <v>1</v>
      </c>
      <c r="E23" s="343" t="s">
        <v>165</v>
      </c>
      <c r="F23" s="355">
        <v>20</v>
      </c>
    </row>
    <row r="24" spans="1:7" ht="14" thickBot="1" x14ac:dyDescent="0.2">
      <c r="A24" s="264" t="s">
        <v>56</v>
      </c>
      <c r="B24" s="352">
        <v>1</v>
      </c>
      <c r="C24" s="353">
        <v>1</v>
      </c>
      <c r="E24" s="345" t="s">
        <v>168</v>
      </c>
      <c r="F24" s="356">
        <v>2</v>
      </c>
    </row>
    <row r="27" spans="1:7" ht="13" x14ac:dyDescent="0.15">
      <c r="A27" s="205" t="s">
        <v>1134</v>
      </c>
      <c r="B27" s="340">
        <f>Assumptions!B14</f>
        <v>7</v>
      </c>
    </row>
    <row r="28" spans="1:7" ht="13" x14ac:dyDescent="0.15">
      <c r="A28" s="205" t="s">
        <v>44</v>
      </c>
      <c r="B28" s="347">
        <f>Assumptions!B23</f>
        <v>6</v>
      </c>
      <c r="D28" s="246"/>
    </row>
    <row r="42" spans="1:1" ht="13" thickBot="1" x14ac:dyDescent="0.2">
      <c r="A42" s="159"/>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CDE90504-6C1C-49EC-8DE2-8DD0C5767DBB}">
          <x14:formula1>
            <xm:f>'Dropdown Menus'!#REF!</xm:f>
          </x14:formula1>
          <xm:sqref>D17:D24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68D4-F54E-4CB9-AF67-024DA34A3703}">
  <sheetPr>
    <tabColor theme="8" tint="0.39997558519241921"/>
  </sheetPr>
  <dimension ref="A1:H37"/>
  <sheetViews>
    <sheetView zoomScale="145" zoomScaleNormal="145" zoomScaleSheetLayoutView="145" workbookViewId="0">
      <selection activeCell="D14" sqref="D14"/>
    </sheetView>
  </sheetViews>
  <sheetFormatPr baseColWidth="10" defaultColWidth="9.1640625" defaultRowHeight="12" x14ac:dyDescent="0.15"/>
  <cols>
    <col min="1" max="1" width="28.1640625" style="137" bestFit="1" customWidth="1"/>
    <col min="2" max="6" width="13.6640625" style="137" customWidth="1"/>
    <col min="7" max="7" width="9.1640625" style="137"/>
    <col min="8" max="9" width="12" style="137" bestFit="1" customWidth="1"/>
    <col min="10" max="16384" width="9.1640625" style="137"/>
  </cols>
  <sheetData>
    <row r="1" spans="1:6" x14ac:dyDescent="0.15">
      <c r="A1" s="136" t="s">
        <v>0</v>
      </c>
      <c r="F1" s="213"/>
    </row>
    <row r="2" spans="1:6" x14ac:dyDescent="0.15">
      <c r="A2" s="136" t="s">
        <v>2</v>
      </c>
    </row>
    <row r="3" spans="1:6" x14ac:dyDescent="0.15">
      <c r="A3" s="138" t="str">
        <f>INSTRUCTIONS!A3</f>
        <v>March 2022</v>
      </c>
    </row>
    <row r="4" spans="1:6" x14ac:dyDescent="0.15">
      <c r="A4" s="157" t="s">
        <v>1129</v>
      </c>
    </row>
    <row r="6" spans="1:6" ht="14" thickBot="1" x14ac:dyDescent="0.2">
      <c r="A6" s="160" t="s">
        <v>69</v>
      </c>
      <c r="B6" s="160"/>
    </row>
    <row r="7" spans="1:6" ht="13" thickBot="1" x14ac:dyDescent="0.2">
      <c r="A7" s="137" t="str">
        <f>'Dropdown Menus'!E8</f>
        <v>Regional: General</v>
      </c>
      <c r="B7" s="163">
        <v>5</v>
      </c>
    </row>
    <row r="8" spans="1:6" ht="13" thickBot="1" x14ac:dyDescent="0.2">
      <c r="A8" s="137" t="str">
        <f>'Dropdown Menus'!E9</f>
        <v>Regional: Multiple Related Topics</v>
      </c>
      <c r="B8" s="164">
        <v>5</v>
      </c>
    </row>
    <row r="9" spans="1:6" ht="13" thickBot="1" x14ac:dyDescent="0.2">
      <c r="A9" s="137" t="str">
        <f>'Dropdown Menus'!E10</f>
        <v>Regional: Single-Topic</v>
      </c>
      <c r="B9" s="164">
        <v>25</v>
      </c>
      <c r="D9" s="137" t="s">
        <v>70</v>
      </c>
    </row>
    <row r="10" spans="1:6" ht="13" thickBot="1" x14ac:dyDescent="0.2">
      <c r="A10" s="137" t="str">
        <f>'Dropdown Menus'!F8</f>
        <v>Regional: Explanatory &amp; Analysis</v>
      </c>
      <c r="B10" s="165">
        <v>5</v>
      </c>
    </row>
    <row r="11" spans="1:6" ht="13" thickBot="1" x14ac:dyDescent="0.2">
      <c r="A11" s="137" t="str">
        <f>'Dropdown Menus'!F9</f>
        <v>Regional: Investigative</v>
      </c>
      <c r="B11" s="164">
        <v>5</v>
      </c>
    </row>
    <row r="12" spans="1:6" ht="13" thickBot="1" x14ac:dyDescent="0.2">
      <c r="A12" s="137" t="str">
        <f>'Dropdown Menus'!F10</f>
        <v>Regional: Current News &amp; Events</v>
      </c>
      <c r="B12" s="165">
        <v>5</v>
      </c>
    </row>
    <row r="13" spans="1:6" ht="13" thickBot="1" x14ac:dyDescent="0.2">
      <c r="A13" s="137" t="str">
        <f>'Dropdown Menus'!E11</f>
        <v>National: General</v>
      </c>
      <c r="B13" s="164">
        <v>10</v>
      </c>
    </row>
    <row r="14" spans="1:6" ht="13" thickBot="1" x14ac:dyDescent="0.2">
      <c r="A14" s="137" t="str">
        <f>'Dropdown Menus'!E12</f>
        <v>National: Multiple Related Topics</v>
      </c>
      <c r="B14" s="164">
        <v>10</v>
      </c>
    </row>
    <row r="15" spans="1:6" ht="13" thickBot="1" x14ac:dyDescent="0.2">
      <c r="A15" s="137" t="str">
        <f>'Dropdown Menus'!E13</f>
        <v>National: Single-Topic</v>
      </c>
      <c r="B15" s="166">
        <v>7</v>
      </c>
    </row>
    <row r="16" spans="1:6" ht="13" thickBot="1" x14ac:dyDescent="0.2">
      <c r="A16" s="137" t="str">
        <f>'Dropdown Menus'!F11</f>
        <v>National: Explanatory &amp; Analysis</v>
      </c>
      <c r="B16" s="166">
        <v>10</v>
      </c>
    </row>
    <row r="17" spans="1:8" ht="13" thickBot="1" x14ac:dyDescent="0.2">
      <c r="A17" s="137" t="str">
        <f>'Dropdown Menus'!F12</f>
        <v>National: Investigative</v>
      </c>
      <c r="B17" s="166">
        <v>10</v>
      </c>
    </row>
    <row r="18" spans="1:8" ht="13" thickBot="1" x14ac:dyDescent="0.2">
      <c r="A18" s="137" t="str">
        <f>'Dropdown Menus'!F13</f>
        <v>National: Current News &amp; Events</v>
      </c>
      <c r="B18" s="166">
        <v>10</v>
      </c>
    </row>
    <row r="19" spans="1:8" ht="13" thickBot="1" x14ac:dyDescent="0.2">
      <c r="A19" s="137" t="s">
        <v>71</v>
      </c>
      <c r="B19" s="166">
        <v>25</v>
      </c>
    </row>
    <row r="20" spans="1:8" ht="13" thickBot="1" x14ac:dyDescent="0.2">
      <c r="A20" s="137" t="s">
        <v>72</v>
      </c>
      <c r="B20" s="166">
        <v>50</v>
      </c>
    </row>
    <row r="22" spans="1:8" ht="26" x14ac:dyDescent="0.15">
      <c r="A22" s="150"/>
      <c r="B22" s="150" t="s">
        <v>35</v>
      </c>
      <c r="C22" s="150" t="s">
        <v>36</v>
      </c>
      <c r="D22" s="150" t="s">
        <v>37</v>
      </c>
      <c r="E22" s="150" t="s">
        <v>38</v>
      </c>
      <c r="F22" s="150" t="s">
        <v>39</v>
      </c>
    </row>
    <row r="23" spans="1:8" x14ac:dyDescent="0.15">
      <c r="A23" s="137" t="str">
        <f>A7</f>
        <v>Regional: General</v>
      </c>
      <c r="B23" s="256">
        <f>$B7*HLOOKUP($A23,'Model Org Stats'!$H$6:$CO$38,21, FALSE)</f>
        <v>8285439</v>
      </c>
      <c r="C23" s="256">
        <f>B7*HLOOKUP($A23,'Model Org Stats'!$H$6:$CO$38,22, FALSE)</f>
        <v>8335074</v>
      </c>
      <c r="D23" s="256">
        <f>SUM(B23:C23)</f>
        <v>16620513</v>
      </c>
      <c r="E23" s="243">
        <f>B23/(HLOOKUP($A23,'Model Org Stats'!$H$6:$CO$38,31, FALSE))</f>
        <v>68.05</v>
      </c>
      <c r="F23" s="243">
        <f>(Assumptions!$B$33/Assumptions!$B$32)*'By Org Type - Regional National'!E23</f>
        <v>45.366666666666667</v>
      </c>
      <c r="H23" s="203"/>
    </row>
    <row r="24" spans="1:8" x14ac:dyDescent="0.15">
      <c r="A24" s="137" t="str">
        <f>A8</f>
        <v>Regional: Multiple Related Topics</v>
      </c>
      <c r="B24" s="256">
        <f>$B8*HLOOKUP($A24,'Model Org Stats'!$H$6:$CO$38,21, FALSE)</f>
        <v>776417.5</v>
      </c>
      <c r="C24" s="256">
        <f>B8*HLOOKUP($A24,'Model Org Stats'!$H$6:$CO$38,22, FALSE)</f>
        <v>908463.75</v>
      </c>
      <c r="D24" s="256">
        <f t="shared" ref="D24:D36" si="0">SUM(B24:C24)</f>
        <v>1684881.25</v>
      </c>
      <c r="E24" s="243">
        <f>B24/(HLOOKUP($A24,'Model Org Stats'!$H$6:$CO$38,31, FALSE))</f>
        <v>30.681818181818187</v>
      </c>
      <c r="F24" s="243">
        <f>(Assumptions!$B$33/Assumptions!$B$32)*'By Org Type - Regional National'!E24</f>
        <v>20.45454545454546</v>
      </c>
    </row>
    <row r="25" spans="1:8" x14ac:dyDescent="0.15">
      <c r="A25" s="137" t="str">
        <f>A9</f>
        <v>Regional: Single-Topic</v>
      </c>
      <c r="B25" s="256">
        <f>$B9*HLOOKUP($A25,'Model Org Stats'!$H$6:$CO$38,21, FALSE)</f>
        <v>7616762.5</v>
      </c>
      <c r="C25" s="256">
        <f>B9*HLOOKUP($A25,'Model Org Stats'!$H$6:$CO$38,22, FALSE)</f>
        <v>2582446.875</v>
      </c>
      <c r="D25" s="256">
        <f t="shared" si="0"/>
        <v>10199209.375</v>
      </c>
      <c r="E25" s="243">
        <f>B25/(HLOOKUP($A25,'Model Org Stats'!$H$6:$CO$38,31, FALSE))</f>
        <v>123.21428571428572</v>
      </c>
      <c r="F25" s="243">
        <f>(Assumptions!$B$33/Assumptions!$B$32)*'By Org Type - Regional National'!E25</f>
        <v>82.142857142857153</v>
      </c>
    </row>
    <row r="26" spans="1:8" x14ac:dyDescent="0.15">
      <c r="A26" s="137" t="str">
        <f t="shared" ref="A26:A28" si="1">A10</f>
        <v>Regional: Explanatory &amp; Analysis</v>
      </c>
      <c r="B26" s="256">
        <f>$B10*HLOOKUP($A26,'Model Org Stats'!$H$6:$CO$38,21, FALSE)</f>
        <v>4903155.5</v>
      </c>
      <c r="C26" s="256">
        <f>B10*HLOOKUP($A26,'Model Org Stats'!$H$6:$CO$38,22, FALSE)</f>
        <v>3493891</v>
      </c>
      <c r="D26" s="256">
        <f t="shared" si="0"/>
        <v>8397046.5</v>
      </c>
      <c r="E26" s="243">
        <f>B26/(HLOOKUP($A26,'Model Org Stats'!$H$6:$CO$38,31, FALSE))</f>
        <v>69.312499999999986</v>
      </c>
      <c r="F26" s="243">
        <f>(Assumptions!$B$33/Assumptions!$B$32)*'By Org Type - Regional National'!E26</f>
        <v>46.208333333333329</v>
      </c>
    </row>
    <row r="27" spans="1:8" x14ac:dyDescent="0.15">
      <c r="A27" s="137" t="str">
        <f t="shared" si="1"/>
        <v>Regional: Investigative</v>
      </c>
      <c r="B27" s="256">
        <f>$B11*HLOOKUP($A27,'Model Org Stats'!$H$6:$CO$38,21, FALSE)</f>
        <v>988133.33333333326</v>
      </c>
      <c r="C27" s="256">
        <f>B11*HLOOKUP($A27,'Model Org Stats'!$H$6:$CO$38,22, FALSE)</f>
        <v>388927.5</v>
      </c>
      <c r="D27" s="256">
        <f t="shared" si="0"/>
        <v>1377060.8333333333</v>
      </c>
      <c r="E27" s="243">
        <f>B27/(HLOOKUP($A27,'Model Org Stats'!$H$6:$CO$38,31, FALSE))</f>
        <v>15.555555555555555</v>
      </c>
      <c r="F27" s="243">
        <f>(Assumptions!$B$33/Assumptions!$B$32)*'By Org Type - Regional National'!E27</f>
        <v>10.370370370370372</v>
      </c>
    </row>
    <row r="28" spans="1:8" x14ac:dyDescent="0.15">
      <c r="A28" s="137" t="str">
        <f t="shared" si="1"/>
        <v>Regional: Current News &amp; Events</v>
      </c>
      <c r="B28" s="256">
        <f>$B12*HLOOKUP($A28,'Model Org Stats'!$H$6:$CO$38,21, FALSE)</f>
        <v>973000</v>
      </c>
      <c r="C28" s="256">
        <f>B12*HLOOKUP($A28,'Model Org Stats'!$H$6:$CO$38,22, FALSE)</f>
        <v>3160504</v>
      </c>
      <c r="D28" s="256">
        <f t="shared" si="0"/>
        <v>4133504</v>
      </c>
      <c r="E28" s="243">
        <f>B28/(HLOOKUP($A28,'Model Org Stats'!$H$6:$CO$38,31, FALSE))</f>
        <v>31.25</v>
      </c>
      <c r="F28" s="243">
        <f>(Assumptions!$B$33/Assumptions!$B$32)*'By Org Type - Regional National'!E28</f>
        <v>20.833333333333336</v>
      </c>
    </row>
    <row r="29" spans="1:8" x14ac:dyDescent="0.15">
      <c r="A29" s="137" t="str">
        <f>A13</f>
        <v>National: General</v>
      </c>
      <c r="B29" s="256">
        <f>$B13*HLOOKUP($A29,'Model Org Stats'!$H$6:$CO$38,21, FALSE)</f>
        <v>63963872.5</v>
      </c>
      <c r="C29" s="256">
        <f>B13*HLOOKUP($A29,'Model Org Stats'!$H$6:$CO$38,22, FALSE)</f>
        <v>42771002.787500009</v>
      </c>
      <c r="D29" s="256">
        <f t="shared" si="0"/>
        <v>106734875.28750001</v>
      </c>
      <c r="E29" s="243">
        <f>B29/(HLOOKUP($A29,'Model Org Stats'!$H$6:$CO$38,31, FALSE))</f>
        <v>392.49999999999994</v>
      </c>
      <c r="F29" s="243">
        <f>(Assumptions!$B$33/Assumptions!$B$32)*'By Org Type - Regional National'!E29</f>
        <v>261.66666666666669</v>
      </c>
    </row>
    <row r="30" spans="1:8" x14ac:dyDescent="0.15">
      <c r="A30" s="137" t="str">
        <f>A14</f>
        <v>National: Multiple Related Topics</v>
      </c>
      <c r="B30" s="256">
        <f>$B14*HLOOKUP($A30,'Model Org Stats'!$H$6:$CO$38,21, FALSE)</f>
        <v>13006336.666666668</v>
      </c>
      <c r="C30" s="256">
        <f>B14*HLOOKUP($A30,'Model Org Stats'!$H$6:$CO$38,22, FALSE)</f>
        <v>9401242.777777778</v>
      </c>
      <c r="D30" s="256">
        <f t="shared" si="0"/>
        <v>22407579.444444448</v>
      </c>
      <c r="E30" s="243">
        <f>B30/(HLOOKUP($A30,'Model Org Stats'!$H$6:$CO$38,31, FALSE))</f>
        <v>127.9</v>
      </c>
      <c r="F30" s="243">
        <f>(Assumptions!$B$33/Assumptions!$B$32)*'By Org Type - Regional National'!E30</f>
        <v>85.26666666666668</v>
      </c>
      <c r="G30" s="244"/>
    </row>
    <row r="31" spans="1:8" x14ac:dyDescent="0.15">
      <c r="A31" s="137" t="str">
        <f>A15</f>
        <v>National: Single-Topic</v>
      </c>
      <c r="B31" s="256">
        <f>$B15*HLOOKUP($A31,'Model Org Stats'!$H$6:$CO$38,21, FALSE)</f>
        <v>9630499.9595000017</v>
      </c>
      <c r="C31" s="256">
        <f>B15*HLOOKUP($A31,'Model Org Stats'!$H$6:$CO$38,22, FALSE)</f>
        <v>5830918.7474999996</v>
      </c>
      <c r="D31" s="256">
        <f t="shared" si="0"/>
        <v>15461418.707000002</v>
      </c>
      <c r="E31" s="243">
        <f>B31/(HLOOKUP($A31,'Model Org Stats'!$H$6:$CO$38,31, FALSE))</f>
        <v>79.747500000000002</v>
      </c>
      <c r="F31" s="243">
        <f>(Assumptions!$B$33/Assumptions!$B$32)*'By Org Type - Regional National'!E31</f>
        <v>53.165000000000006</v>
      </c>
    </row>
    <row r="32" spans="1:8" x14ac:dyDescent="0.15">
      <c r="A32" s="137" t="str">
        <f t="shared" ref="A32:A34" si="2">A16</f>
        <v>National: Explanatory &amp; Analysis</v>
      </c>
      <c r="B32" s="256">
        <f>$B16*HLOOKUP($A32,'Model Org Stats'!$H$6:$CO$38,21, FALSE)</f>
        <v>10518331.813043479</v>
      </c>
      <c r="C32" s="256">
        <f>B16*HLOOKUP($A32,'Model Org Stats'!$H$6:$CO$38,22, FALSE)</f>
        <v>10233593.078260871</v>
      </c>
      <c r="D32" s="256">
        <f t="shared" si="0"/>
        <v>20751924.891304351</v>
      </c>
      <c r="E32" s="243">
        <f>B32/(HLOOKUP($A32,'Model Org Stats'!$H$6:$CO$38,31, FALSE))</f>
        <v>119.64583333333334</v>
      </c>
      <c r="F32" s="243">
        <f>(Assumptions!$B$33/Assumptions!$B$32)*'By Org Type - Regional National'!E32</f>
        <v>79.7638888888889</v>
      </c>
    </row>
    <row r="33" spans="1:6" x14ac:dyDescent="0.15">
      <c r="A33" s="137" t="str">
        <f t="shared" si="2"/>
        <v>National: Investigative</v>
      </c>
      <c r="B33" s="256">
        <f>$B17*HLOOKUP($A33,'Model Org Stats'!$H$6:$CO$38,21, FALSE)</f>
        <v>27261568</v>
      </c>
      <c r="C33" s="256">
        <f>B17*HLOOKUP($A33,'Model Org Stats'!$H$6:$CO$38,22, FALSE)</f>
        <v>21437241.333333332</v>
      </c>
      <c r="D33" s="256">
        <f t="shared" si="0"/>
        <v>48698809.333333328</v>
      </c>
      <c r="E33" s="243">
        <f>B33/(HLOOKUP($A33,'Model Org Stats'!$H$6:$CO$38,31, FALSE))</f>
        <v>170</v>
      </c>
      <c r="F33" s="243">
        <f>(Assumptions!$B$33/Assumptions!$B$32)*'By Org Type - Regional National'!E33</f>
        <v>113.33333333333334</v>
      </c>
    </row>
    <row r="34" spans="1:6" x14ac:dyDescent="0.15">
      <c r="A34" s="137" t="str">
        <f t="shared" si="2"/>
        <v>National: Current News &amp; Events</v>
      </c>
      <c r="B34" s="256">
        <f>$B18*HLOOKUP($A34,'Model Org Stats'!$H$6:$CO$38,21, FALSE)</f>
        <v>46267128.75</v>
      </c>
      <c r="C34" s="256">
        <f>B18*HLOOKUP($A34,'Model Org Stats'!$H$6:$CO$38,22, FALSE)</f>
        <v>15132101.25</v>
      </c>
      <c r="D34" s="256">
        <f t="shared" si="0"/>
        <v>61399230</v>
      </c>
      <c r="E34" s="243">
        <f>B34/(HLOOKUP($A34,'Model Org Stats'!$H$6:$CO$38,31, FALSE))</f>
        <v>298.125</v>
      </c>
      <c r="F34" s="243">
        <f>(Assumptions!$B$33/Assumptions!$B$32)*'By Org Type - Regional National'!E34</f>
        <v>198.75000000000003</v>
      </c>
    </row>
    <row r="35" spans="1:6" x14ac:dyDescent="0.15">
      <c r="A35" s="137" t="str">
        <f>A19</f>
        <v>Hub: Back Office</v>
      </c>
      <c r="B35" s="256">
        <f>$B19*HLOOKUP($A35,'Model Org Stats'!$H$6:$CO$38,21, FALSE)</f>
        <v>14220569.999999998</v>
      </c>
      <c r="C35" s="256">
        <f>B19*HLOOKUP($A35,'Model Org Stats'!$H$6:$CO$38,22, FALSE)</f>
        <v>9480380</v>
      </c>
      <c r="D35" s="256">
        <f t="shared" si="0"/>
        <v>23700950</v>
      </c>
      <c r="E35" s="334" t="str">
        <f>IFERROR(B35/(HLOOKUP($A35,'Model Org Stats'!$H$6:$CO$38,31, FALSE)),"N/A")</f>
        <v>N/A</v>
      </c>
      <c r="F35" s="243">
        <f>IFERROR(C35/(HLOOKUP($A35,'Model Org Stats'!$H$6:$CO$38,32, FALSE)),"N/A")</f>
        <v>75</v>
      </c>
    </row>
    <row r="36" spans="1:6" x14ac:dyDescent="0.15">
      <c r="A36" s="140" t="str">
        <f>A20</f>
        <v>Hub: Back Office/Shared Reporting</v>
      </c>
      <c r="B36" s="184">
        <f>$B20*HLOOKUP($A36,'Model Org Stats'!$H$6:$CO$38,21, FALSE)</f>
        <v>23976284.999999996</v>
      </c>
      <c r="C36" s="184">
        <f>B20*HLOOKUP($A36,'Model Org Stats'!$H$6:$CO$38,22, FALSE)</f>
        <v>15984190.000000002</v>
      </c>
      <c r="D36" s="184">
        <f t="shared" si="0"/>
        <v>39960475</v>
      </c>
      <c r="E36" s="141">
        <f>B36/(HLOOKUP($A36,'Model Org Stats'!$H$6:$CO$38,31, FALSE))</f>
        <v>299.99999999999994</v>
      </c>
      <c r="F36" s="141">
        <f>(Assumptions!$B$33/Assumptions!$B$32)*'By Org Type - Regional National'!E36</f>
        <v>199.99999999999997</v>
      </c>
    </row>
    <row r="37" spans="1:6" x14ac:dyDescent="0.15">
      <c r="A37" s="136" t="s">
        <v>60</v>
      </c>
      <c r="B37" s="204">
        <f>SUM(B23:B36)</f>
        <v>232387500.52254349</v>
      </c>
      <c r="C37" s="204">
        <f>SUM(C23:C36)</f>
        <v>149139977.099372</v>
      </c>
      <c r="D37" s="204">
        <f>SUM(D23:D36)</f>
        <v>381527477.62191546</v>
      </c>
      <c r="E37" s="158">
        <f>SUM(E23:E36)</f>
        <v>1825.9824927849927</v>
      </c>
      <c r="F37" s="158">
        <f>SUM(F23:F36)</f>
        <v>1292.3216618566619</v>
      </c>
    </row>
  </sheetData>
  <pageMargins left="0.7" right="0.7" top="0.75" bottom="0.75" header="0.3" footer="0.3"/>
  <pageSetup scale="83" orientation="portrait" horizontalDpi="1200" verticalDpi="1200" r:id="rId1"/>
  <ignoredErrors>
    <ignoredError sqref="E3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1BC6-CA3A-4F92-B455-DC0BCF0C7B90}">
  <sheetPr>
    <tabColor theme="8" tint="0.39997558519241921"/>
  </sheetPr>
  <dimension ref="A1:K143"/>
  <sheetViews>
    <sheetView view="pageBreakPreview" topLeftCell="B1" zoomScale="145" zoomScaleNormal="130" zoomScaleSheetLayoutView="145" workbookViewId="0">
      <selection activeCell="F6" sqref="F6"/>
    </sheetView>
  </sheetViews>
  <sheetFormatPr baseColWidth="10" defaultColWidth="9.1640625" defaultRowHeight="12" outlineLevelRow="1" outlineLevelCol="1" x14ac:dyDescent="0.15"/>
  <cols>
    <col min="1" max="1" width="20.83203125" style="137" hidden="1" customWidth="1" outlineLevel="1"/>
    <col min="2" max="2" width="9.5" style="137" customWidth="1" collapsed="1"/>
    <col min="3" max="3" width="16.5" style="137" bestFit="1" customWidth="1"/>
    <col min="4" max="11" width="13.5" style="137" customWidth="1"/>
    <col min="12" max="12" width="12" style="137" bestFit="1" customWidth="1"/>
    <col min="13" max="16384" width="9.1640625" style="137"/>
  </cols>
  <sheetData>
    <row r="1" spans="1:11" x14ac:dyDescent="0.15">
      <c r="B1" s="136" t="s">
        <v>0</v>
      </c>
      <c r="K1" s="213"/>
    </row>
    <row r="2" spans="1:11" x14ac:dyDescent="0.15">
      <c r="B2" s="136" t="s">
        <v>2</v>
      </c>
    </row>
    <row r="3" spans="1:11" x14ac:dyDescent="0.15">
      <c r="B3" s="138" t="str">
        <f>INSTRUCTIONS!A3</f>
        <v>March 2022</v>
      </c>
    </row>
    <row r="4" spans="1:11" x14ac:dyDescent="0.15">
      <c r="B4" s="157" t="s">
        <v>73</v>
      </c>
    </row>
    <row r="6" spans="1:11" x14ac:dyDescent="0.15">
      <c r="B6" s="143" t="s">
        <v>1104</v>
      </c>
      <c r="C6" s="143"/>
      <c r="D6" s="143"/>
      <c r="E6" s="143"/>
      <c r="F6" s="143"/>
      <c r="G6" s="143"/>
      <c r="H6" s="143"/>
      <c r="I6" s="143"/>
      <c r="J6" s="143"/>
      <c r="K6" s="143"/>
    </row>
    <row r="7" spans="1:11" ht="27" thickBot="1" x14ac:dyDescent="0.2">
      <c r="B7" s="150" t="s">
        <v>74</v>
      </c>
      <c r="C7" s="150" t="s">
        <v>75</v>
      </c>
      <c r="D7" s="150" t="s">
        <v>59</v>
      </c>
      <c r="E7" s="150" t="s">
        <v>50</v>
      </c>
      <c r="F7" s="150" t="s">
        <v>51</v>
      </c>
      <c r="G7" s="150" t="s">
        <v>54</v>
      </c>
      <c r="H7" s="150" t="s">
        <v>55</v>
      </c>
      <c r="I7" s="150" t="s">
        <v>52</v>
      </c>
      <c r="J7" s="150" t="s">
        <v>53</v>
      </c>
      <c r="K7" s="150" t="s">
        <v>56</v>
      </c>
    </row>
    <row r="8" spans="1:11" ht="13" thickBot="1" x14ac:dyDescent="0.2">
      <c r="A8" s="137" t="str">
        <f>'Dropdown Menus'!E14</f>
        <v>Hyper-local: General</v>
      </c>
      <c r="B8" s="328" t="s">
        <v>76</v>
      </c>
      <c r="C8" s="321" t="s">
        <v>77</v>
      </c>
      <c r="D8" s="164"/>
      <c r="E8" s="164">
        <v>1</v>
      </c>
      <c r="F8" s="164"/>
      <c r="G8" s="164"/>
      <c r="H8" s="164"/>
      <c r="I8" s="164"/>
      <c r="J8" s="164"/>
      <c r="K8" s="164"/>
    </row>
    <row r="9" spans="1:11" ht="13" thickBot="1" x14ac:dyDescent="0.2">
      <c r="A9" s="137" t="str">
        <f>'Dropdown Menus'!E2</f>
        <v>Local: General</v>
      </c>
      <c r="B9" s="329" t="s">
        <v>7</v>
      </c>
      <c r="C9" s="322" t="s">
        <v>77</v>
      </c>
      <c r="D9" s="165"/>
      <c r="E9" s="165"/>
      <c r="F9" s="165"/>
      <c r="G9" s="165"/>
      <c r="H9" s="165">
        <v>1</v>
      </c>
      <c r="I9" s="165"/>
      <c r="J9" s="165"/>
      <c r="K9" s="165"/>
    </row>
    <row r="10" spans="1:11" ht="13" thickBot="1" x14ac:dyDescent="0.2">
      <c r="A10" s="137" t="str">
        <f>'Dropdown Menus'!E3</f>
        <v>Local: Multiple Related Topics</v>
      </c>
      <c r="B10" s="330"/>
      <c r="C10" s="324" t="s">
        <v>78</v>
      </c>
      <c r="D10" s="164"/>
      <c r="E10" s="164">
        <v>1</v>
      </c>
      <c r="F10" s="164"/>
      <c r="G10" s="164">
        <v>1</v>
      </c>
      <c r="H10" s="164"/>
      <c r="I10" s="164"/>
      <c r="J10" s="164"/>
      <c r="K10" s="164"/>
    </row>
    <row r="11" spans="1:11" ht="13" thickBot="1" x14ac:dyDescent="0.2">
      <c r="A11" s="137" t="str">
        <f>'Dropdown Menus'!E4</f>
        <v>Local: Single-Topic</v>
      </c>
      <c r="B11" s="330"/>
      <c r="C11" s="324" t="s">
        <v>79</v>
      </c>
      <c r="D11" s="164"/>
      <c r="E11" s="164"/>
      <c r="F11" s="164">
        <v>1</v>
      </c>
      <c r="G11" s="164"/>
      <c r="H11" s="164"/>
      <c r="I11" s="164"/>
      <c r="J11" s="164"/>
      <c r="K11" s="164"/>
    </row>
    <row r="12" spans="1:11" ht="13" thickBot="1" x14ac:dyDescent="0.2">
      <c r="A12" s="137" t="str">
        <f>'Dropdown Menus'!F2</f>
        <v>Local: Explanatory &amp; Analysis</v>
      </c>
      <c r="B12" s="330"/>
      <c r="C12" s="324" t="s">
        <v>80</v>
      </c>
      <c r="D12" s="165"/>
      <c r="E12" s="165">
        <v>1</v>
      </c>
      <c r="F12" s="165"/>
      <c r="G12" s="165"/>
      <c r="H12" s="165"/>
      <c r="I12" s="165"/>
      <c r="J12" s="165"/>
      <c r="K12" s="165">
        <v>1</v>
      </c>
    </row>
    <row r="13" spans="1:11" ht="13" thickBot="1" x14ac:dyDescent="0.2">
      <c r="A13" s="137" t="str">
        <f>'Dropdown Menus'!F3</f>
        <v>Local: Investigative</v>
      </c>
      <c r="B13" s="330"/>
      <c r="C13" s="324" t="s">
        <v>81</v>
      </c>
      <c r="D13" s="164"/>
      <c r="E13" s="164"/>
      <c r="F13" s="164"/>
      <c r="G13" s="164"/>
      <c r="H13" s="164"/>
      <c r="I13" s="164"/>
      <c r="J13" s="164"/>
      <c r="K13" s="164">
        <v>1</v>
      </c>
    </row>
    <row r="14" spans="1:11" ht="13" thickBot="1" x14ac:dyDescent="0.2">
      <c r="A14" s="137" t="str">
        <f>'Dropdown Menus'!F4</f>
        <v>Local: Current News &amp; Events</v>
      </c>
      <c r="B14" s="331"/>
      <c r="C14" s="326" t="s">
        <v>82</v>
      </c>
      <c r="D14" s="165"/>
      <c r="E14" s="165">
        <v>1</v>
      </c>
      <c r="F14" s="165"/>
      <c r="G14" s="165">
        <v>1</v>
      </c>
      <c r="H14" s="165"/>
      <c r="I14" s="165"/>
      <c r="J14" s="165"/>
      <c r="K14" s="165"/>
    </row>
    <row r="15" spans="1:11" ht="13" thickBot="1" x14ac:dyDescent="0.2">
      <c r="A15" s="137" t="str">
        <f>'Dropdown Menus'!E5</f>
        <v>State: General</v>
      </c>
      <c r="B15" s="329" t="s">
        <v>83</v>
      </c>
      <c r="C15" s="322" t="s">
        <v>77</v>
      </c>
      <c r="D15" s="164"/>
      <c r="E15" s="164"/>
      <c r="F15" s="164"/>
      <c r="G15" s="164"/>
      <c r="H15" s="164"/>
      <c r="I15" s="164"/>
      <c r="J15" s="164"/>
      <c r="K15" s="164">
        <v>3</v>
      </c>
    </row>
    <row r="16" spans="1:11" ht="13" thickBot="1" x14ac:dyDescent="0.2">
      <c r="A16" s="137" t="str">
        <f>'Dropdown Menus'!E6</f>
        <v>State: Multiple Related Topics</v>
      </c>
      <c r="B16" s="330"/>
      <c r="C16" s="324" t="s">
        <v>78</v>
      </c>
      <c r="D16" s="164">
        <v>1</v>
      </c>
      <c r="E16" s="164">
        <v>1</v>
      </c>
      <c r="F16" s="164"/>
      <c r="G16" s="164"/>
      <c r="H16" s="164"/>
      <c r="I16" s="164"/>
      <c r="J16" s="164"/>
      <c r="K16" s="164"/>
    </row>
    <row r="17" spans="1:11" ht="13" thickBot="1" x14ac:dyDescent="0.2">
      <c r="A17" s="137" t="str">
        <f>'Dropdown Menus'!E7</f>
        <v>State: Single-Topic</v>
      </c>
      <c r="B17" s="330"/>
      <c r="C17" s="324" t="s">
        <v>79</v>
      </c>
      <c r="D17" s="166"/>
      <c r="E17" s="166"/>
      <c r="F17" s="166"/>
      <c r="G17" s="166"/>
      <c r="H17" s="166"/>
      <c r="I17" s="166"/>
      <c r="J17" s="166"/>
      <c r="K17" s="166">
        <v>1</v>
      </c>
    </row>
    <row r="18" spans="1:11" ht="13" thickBot="1" x14ac:dyDescent="0.2">
      <c r="A18" s="137" t="str">
        <f>'Dropdown Menus'!F5</f>
        <v>State: Explanatory &amp; Analysis</v>
      </c>
      <c r="B18" s="330"/>
      <c r="C18" s="324" t="s">
        <v>80</v>
      </c>
      <c r="D18" s="166"/>
      <c r="E18" s="166"/>
      <c r="F18" s="166"/>
      <c r="G18" s="166"/>
      <c r="H18" s="166"/>
      <c r="I18" s="166"/>
      <c r="J18" s="166"/>
      <c r="K18" s="166">
        <v>3</v>
      </c>
    </row>
    <row r="19" spans="1:11" ht="13" thickBot="1" x14ac:dyDescent="0.2">
      <c r="A19" s="137" t="str">
        <f>'Dropdown Menus'!F6</f>
        <v>State: Investigative</v>
      </c>
      <c r="B19" s="330"/>
      <c r="C19" s="324" t="s">
        <v>81</v>
      </c>
      <c r="D19" s="166"/>
      <c r="E19" s="166"/>
      <c r="F19" s="166"/>
      <c r="G19" s="166"/>
      <c r="H19" s="166"/>
      <c r="I19" s="166"/>
      <c r="J19" s="166"/>
      <c r="K19" s="166">
        <v>3</v>
      </c>
    </row>
    <row r="20" spans="1:11" ht="13" thickBot="1" x14ac:dyDescent="0.2">
      <c r="A20" s="137" t="str">
        <f>'Dropdown Menus'!F7</f>
        <v>State: Current News &amp; Events</v>
      </c>
      <c r="B20" s="331"/>
      <c r="C20" s="326" t="s">
        <v>82</v>
      </c>
      <c r="D20" s="166"/>
      <c r="E20" s="166"/>
      <c r="F20" s="166"/>
      <c r="G20" s="166"/>
      <c r="H20" s="166"/>
      <c r="I20" s="166"/>
      <c r="J20" s="166"/>
      <c r="K20" s="166">
        <v>3</v>
      </c>
    </row>
    <row r="21" spans="1:11" ht="13" hidden="1" outlineLevel="1" thickBot="1" x14ac:dyDescent="0.2">
      <c r="A21" s="137" t="str">
        <f>'Dropdown Menus'!E19</f>
        <v>Public Radio: Small</v>
      </c>
      <c r="B21" s="329" t="s">
        <v>84</v>
      </c>
      <c r="C21" s="322" t="s">
        <v>62</v>
      </c>
      <c r="D21" s="166"/>
      <c r="E21" s="166"/>
      <c r="F21" s="166"/>
      <c r="G21" s="166"/>
      <c r="H21" s="166"/>
      <c r="I21" s="166"/>
      <c r="J21" s="166"/>
      <c r="K21" s="166"/>
    </row>
    <row r="22" spans="1:11" ht="13" hidden="1" outlineLevel="1" thickBot="1" x14ac:dyDescent="0.2">
      <c r="A22" s="137" t="str">
        <f>'Dropdown Menus'!E20</f>
        <v>Public Radio: Medium</v>
      </c>
      <c r="B22" s="323"/>
      <c r="C22" s="324" t="s">
        <v>63</v>
      </c>
      <c r="D22" s="166"/>
      <c r="E22" s="166"/>
      <c r="F22" s="166"/>
      <c r="G22" s="166"/>
      <c r="H22" s="166"/>
      <c r="I22" s="166"/>
      <c r="J22" s="166"/>
      <c r="K22" s="166"/>
    </row>
    <row r="23" spans="1:11" ht="13" hidden="1" outlineLevel="1" thickBot="1" x14ac:dyDescent="0.2">
      <c r="A23" s="137" t="str">
        <f>'Dropdown Menus'!E21</f>
        <v>Public Radio: Large</v>
      </c>
      <c r="B23" s="325"/>
      <c r="C23" s="326" t="s">
        <v>64</v>
      </c>
      <c r="D23" s="166"/>
      <c r="E23" s="166"/>
      <c r="F23" s="166"/>
      <c r="G23" s="166"/>
      <c r="H23" s="166"/>
      <c r="I23" s="166"/>
      <c r="J23" s="166"/>
      <c r="K23" s="166"/>
    </row>
    <row r="24" spans="1:11" collapsed="1" x14ac:dyDescent="0.15"/>
    <row r="25" spans="1:11" x14ac:dyDescent="0.15">
      <c r="B25" s="143" t="s">
        <v>85</v>
      </c>
      <c r="C25" s="143"/>
      <c r="D25" s="143"/>
      <c r="E25" s="143"/>
      <c r="F25" s="143"/>
      <c r="G25" s="143"/>
      <c r="H25" s="143"/>
      <c r="I25" s="143"/>
    </row>
    <row r="26" spans="1:11" ht="13" x14ac:dyDescent="0.15">
      <c r="B26" s="150" t="s">
        <v>74</v>
      </c>
      <c r="C26" s="150" t="s">
        <v>86</v>
      </c>
      <c r="D26" s="150" t="s">
        <v>61</v>
      </c>
      <c r="E26" s="150" t="s">
        <v>62</v>
      </c>
      <c r="F26" s="150" t="s">
        <v>63</v>
      </c>
      <c r="G26" s="150" t="s">
        <v>64</v>
      </c>
      <c r="H26" s="150" t="s">
        <v>65</v>
      </c>
      <c r="I26" s="150" t="s">
        <v>60</v>
      </c>
    </row>
    <row r="27" spans="1:11" x14ac:dyDescent="0.15">
      <c r="A27" s="137" t="str">
        <f>A8</f>
        <v>Hyper-local: General</v>
      </c>
      <c r="B27" s="140" t="s">
        <v>76</v>
      </c>
      <c r="C27" s="140" t="s">
        <v>77</v>
      </c>
      <c r="D27" s="152">
        <f>((HLOOKUP($D$7,'Coverage Units by State Size'!$B$15:$K$20,2,FALSE))*$D8)+((HLOOKUP($E$7,'Coverage Units by State Size'!$B$15:$K$20,2,FALSE))*$E8)+((HLOOKUP($F$7,'Coverage Units by State Size'!$B$15:$K$20,2,FALSE))*$F8)+((HLOOKUP($G$7,'Coverage Units by State Size'!$B$15:$K$20,2,FALSE))*$G8)+((HLOOKUP($H$7,'Coverage Units by State Size'!$B$15:$K$20,2,FALSE))*$H8)+((HLOOKUP($I$7,'Coverage Units by State Size'!$B$15:$K$20,2,FALSE))*$I8)+((HLOOKUP($J$7,'Coverage Units by State Size'!$B$15:$K$20,2,FALSE))*$J8)+((HLOOKUP($K$7,'Coverage Units by State Size'!$B$15:$K$20,2,FALSE))*$K8)</f>
        <v>6</v>
      </c>
      <c r="E27" s="152">
        <f>((HLOOKUP($D$7,'Coverage Units by State Size'!$B$15:$K$20,3,FALSE))*$D8)+((HLOOKUP($E$7,'Coverage Units by State Size'!$B$15:$K$20,3,FALSE))*$E8)+((HLOOKUP($F$7,'Coverage Units by State Size'!$B$15:$K$20,3,FALSE))*$F8)+((HLOOKUP($G$7,'Coverage Units by State Size'!$B$15:$K$20,3,FALSE))*$G8)+((HLOOKUP($H$7,'Coverage Units by State Size'!$B$15:$K$20,3,FALSE))*$H8)+((HLOOKUP($I$7,'Coverage Units by State Size'!$B$15:$K$20,3,FALSE))*$I8)+((HLOOKUP($J$7,'Coverage Units by State Size'!$B$15:$K$20,3,FALSE))*$J8)+((HLOOKUP($K$7,'Coverage Units by State Size'!$B$15:$K$20,3,FALSE))*$K8)</f>
        <v>78</v>
      </c>
      <c r="F27" s="152">
        <f>((HLOOKUP($D$7,'Coverage Units by State Size'!$B$15:$K$20,4,FALSE))*$D8*'Coverage Units by State Size'!$D$10)+((HLOOKUP($E$7,'Coverage Units by State Size'!$B$15:$K$20,4,FALSE))*$E8*'Coverage Units by State Size'!$D$10)+((HLOOKUP($F$7,'Coverage Units by State Size'!$B$15:$K$20,4,FALSE))*$F8*'Coverage Units by State Size'!$D$10)+((HLOOKUP($G$7,'Coverage Units by State Size'!$B$15:$K$20,4,FALSE))*$G8*'Coverage Units by State Size'!$D$10)+((HLOOKUP($H$7,'Coverage Units by State Size'!$B$15:$K$20,4,FALSE))*$H8*'Coverage Units by State Size'!$D$10)+((HLOOKUP($I$7,'Coverage Units by State Size'!$B$15:$K$20,4,FALSE))*$I8*'Coverage Units by State Size'!$D$10)+((HLOOKUP($J$7,'Coverage Units by State Size'!$B$15:$K$20,4,FALSE))*$J8*'Coverage Units by State Size'!$D$10)+((HLOOKUP($K$7,'Coverage Units by State Size'!$B$15:$K$20,4,FALSE))*$K8*'Coverage Units by State Size'!$D$10)</f>
        <v>258</v>
      </c>
      <c r="G27" s="152">
        <f>((HLOOKUP($D$7,'Coverage Units by State Size'!$B$15:$K$20,5,FALSE))*$D8*'Coverage Units by State Size'!$D$11)+((HLOOKUP($E$7,'Coverage Units by State Size'!$B$15:$K$20,5,FALSE))*$E8*'Coverage Units by State Size'!$D$11)+((HLOOKUP($F$7,'Coverage Units by State Size'!$B$15:$K$20,5,FALSE))*$F8*'Coverage Units by State Size'!$D$11)+((HLOOKUP($G$7,'Coverage Units by State Size'!$B$15:$K$20,5,FALSE))*$G8*'Coverage Units by State Size'!$D$11)+((HLOOKUP($H$7,'Coverage Units by State Size'!$B$15:$K$20,5,FALSE))*$H8*'Coverage Units by State Size'!$D$11)+((HLOOKUP($I$7,'Coverage Units by State Size'!$B$15:$K$20,5,FALSE))*$I8*'Coverage Units by State Size'!$D$11)+((HLOOKUP($J$7,'Coverage Units by State Size'!$B$15:$K$20,5,FALSE))*$J8*'Coverage Units by State Size'!$D$11)+((HLOOKUP($K$7,'Coverage Units by State Size'!$B$15:$K$20,5,FALSE))*$K8*'Coverage Units by State Size'!$D$11)</f>
        <v>237</v>
      </c>
      <c r="H27" s="152">
        <f>((HLOOKUP($D$7,'Coverage Units by State Size'!$B$15:$K$20,6,FALSE))*$D8*'Coverage Units by State Size'!$D$12)+((HLOOKUP($E$7,'Coverage Units by State Size'!$B$15:$K$20,6,FALSE))*$E8*'Coverage Units by State Size'!$D$12)+((HLOOKUP($F$7,'Coverage Units by State Size'!$B$15:$K$20,6,FALSE))*$F8*'Coverage Units by State Size'!$D$12)+((HLOOKUP($G$7,'Coverage Units by State Size'!$B$15:$K$20,6,FALSE))*$G8*'Coverage Units by State Size'!$D$12)+((HLOOKUP($H$7,'Coverage Units by State Size'!$B$15:$K$20,6,FALSE))*$H8*'Coverage Units by State Size'!$D$12)+((HLOOKUP($I$7,'Coverage Units by State Size'!$B$15:$K$20,6,FALSE))*$I8*'Coverage Units by State Size'!$D$12)+((HLOOKUP($J$7,'Coverage Units by State Size'!$B$15:$K$20,6,FALSE))*$J8*'Coverage Units by State Size'!$D$12)+((HLOOKUP($K$7,'Coverage Units by State Size'!$B$15:$K$20,6,FALSE))*$K8*'Coverage Units by State Size'!$D$12)</f>
        <v>572</v>
      </c>
      <c r="I27" s="257">
        <f>SUM(D27:H27)</f>
        <v>1151</v>
      </c>
    </row>
    <row r="28" spans="1:11" x14ac:dyDescent="0.15">
      <c r="A28" s="137" t="str">
        <f t="shared" ref="A28:A42" si="0">A9</f>
        <v>Local: General</v>
      </c>
      <c r="B28" s="137" t="s">
        <v>7</v>
      </c>
      <c r="C28" s="137" t="s">
        <v>77</v>
      </c>
      <c r="D28" s="151">
        <f>((HLOOKUP($D$7,'Coverage Units by State Size'!$B$15:$K$20,2,FALSE))*$D9)+((HLOOKUP($E$7,'Coverage Units by State Size'!$B$15:$K$20,2,FALSE))*$E9)+((HLOOKUP($F$7,'Coverage Units by State Size'!$B$15:$K$20,2,FALSE))*$F9)+((HLOOKUP($G$7,'Coverage Units by State Size'!$B$15:$K$20,2,FALSE))*$G9)+((HLOOKUP($H$7,'Coverage Units by State Size'!$B$15:$K$20,2,FALSE))*$H9)+((HLOOKUP($I$7,'Coverage Units by State Size'!$B$15:$K$20,2,FALSE))*$I9)+((HLOOKUP($J$7,'Coverage Units by State Size'!$B$15:$K$20,2,FALSE))*$J9)+((HLOOKUP($K$7,'Coverage Units by State Size'!$B$15:$K$20,2,FALSE))*$K9)</f>
        <v>174</v>
      </c>
      <c r="E28" s="151">
        <f>((HLOOKUP($D$7,'Coverage Units by State Size'!$B$15:$K$20,3,FALSE))*$D9)+((HLOOKUP($E$7,'Coverage Units by State Size'!$B$15:$K$20,3,FALSE))*$E9)+((HLOOKUP($F$7,'Coverage Units by State Size'!$B$15:$K$20,3,FALSE))*$F9)+((HLOOKUP($G$7,'Coverage Units by State Size'!$B$15:$K$20,3,FALSE))*$G9)+((HLOOKUP($H$7,'Coverage Units by State Size'!$B$15:$K$20,3,FALSE))*$H9)+((HLOOKUP($I$7,'Coverage Units by State Size'!$B$15:$K$20,3,FALSE))*$I9)+((HLOOKUP($J$7,'Coverage Units by State Size'!$B$15:$K$20,3,FALSE))*$J9)+((HLOOKUP($K$7,'Coverage Units by State Size'!$B$15:$K$20,3,FALSE))*$K9)</f>
        <v>1070</v>
      </c>
      <c r="F28" s="327">
        <f>((HLOOKUP($D$7,'Coverage Units by State Size'!$B$15:$K$20,4,FALSE))*$D9)+((HLOOKUP($E$7,'Coverage Units by State Size'!$B$15:$K$20,4,FALSE))*$E9)+((HLOOKUP($F$7,'Coverage Units by State Size'!$B$15:$K$20,4,FALSE))*$F9)+((HLOOKUP($G$7,'Coverage Units by State Size'!$B$15:$K$20,4,FALSE))*$G9)+((HLOOKUP($H$7,'Coverage Units by State Size'!$B$15:$K$20,4,FALSE))*$H9)+((HLOOKUP($I$7,'Coverage Units by State Size'!$B$15:$K$20,4,FALSE))*$I9)+((HLOOKUP($J$7,'Coverage Units by State Size'!$B$15:$K$20,4,FALSE))*$J9)+((HLOOKUP($K$7,'Coverage Units by State Size'!$B$15:$K$20,4,FALSE))*$K9)</f>
        <v>845</v>
      </c>
      <c r="G28" s="332">
        <f>((HLOOKUP($D$7,'Coverage Units by State Size'!$B$15:$K$20,5,FALSE))*$D9)+((HLOOKUP($E$7,'Coverage Units by State Size'!$B$15:$K$20,5,FALSE))*$E9)+((HLOOKUP($F$7,'Coverage Units by State Size'!$B$15:$K$20,5,FALSE))*$F9)+((HLOOKUP($G$7,'Coverage Units by State Size'!$B$15:$K$20,5,FALSE))*$G9)+((HLOOKUP($H$7,'Coverage Units by State Size'!$B$15:$K$20,5,FALSE))*$H9)+((HLOOKUP($I$7,'Coverage Units by State Size'!$B$15:$K$20,5,FALSE))*$I9)+((HLOOKUP($J$7,'Coverage Units by State Size'!$B$15:$K$20,5,FALSE))*$J9)+((HLOOKUP($K$7,'Coverage Units by State Size'!$B$15:$K$20,5,FALSE))*$K9)</f>
        <v>508</v>
      </c>
      <c r="H28" s="327">
        <f>((HLOOKUP($D$7,'Coverage Units by State Size'!$B$15:$K$20,6,FALSE))*$D9)+((HLOOKUP($E$7,'Coverage Units by State Size'!$B$15:$K$20,6,FALSE))*$E9)+((HLOOKUP($F$7,'Coverage Units by State Size'!$B$15:$K$20,6,FALSE))*$F9)+((HLOOKUP($G$7,'Coverage Units by State Size'!$B$15:$K$20,6,FALSE))*$G9)+((HLOOKUP($H$7,'Coverage Units by State Size'!$B$15:$K$20,6,FALSE))*$H9)+((HLOOKUP($I$7,'Coverage Units by State Size'!$B$15:$K$20,6,FALSE))*$I9)+((HLOOKUP($J$7,'Coverage Units by State Size'!$B$15:$K$20,6,FALSE))*$J9)+((HLOOKUP($K$7,'Coverage Units by State Size'!$B$15:$K$20,6,FALSE))*$K9)</f>
        <v>434</v>
      </c>
      <c r="I28" s="158">
        <f>SUM(D28:H28)</f>
        <v>3031</v>
      </c>
    </row>
    <row r="29" spans="1:11" x14ac:dyDescent="0.15">
      <c r="A29" s="137" t="str">
        <f t="shared" si="0"/>
        <v>Local: Multiple Related Topics</v>
      </c>
      <c r="C29" s="137" t="s">
        <v>78</v>
      </c>
      <c r="D29" s="151">
        <f>((HLOOKUP($D$7,'Coverage Units by State Size'!$B$15:$K$20,2,FALSE))*$D10)+((HLOOKUP($E$7,'Coverage Units by State Size'!$B$15:$K$20,2,FALSE))*$E10)+((HLOOKUP($F$7,'Coverage Units by State Size'!$B$15:$K$20,2,FALSE))*$F10)+((HLOOKUP($G$7,'Coverage Units by State Size'!$B$15:$K$20,2,FALSE))*$G10)+((HLOOKUP($H$7,'Coverage Units by State Size'!$B$15:$K$20,2,FALSE))*$H10)+((HLOOKUP($I$7,'Coverage Units by State Size'!$B$15:$K$20,2,FALSE))*$I10)+((HLOOKUP($J$7,'Coverage Units by State Size'!$B$15:$K$20,2,FALSE))*$J10)+((HLOOKUP($K$7,'Coverage Units by State Size'!$B$15:$K$20,2,FALSE))*$K10)</f>
        <v>1022</v>
      </c>
      <c r="E29" s="151">
        <f>((HLOOKUP($D$7,'Coverage Units by State Size'!$B$15:$K$20,3,FALSE))*$D10)+((HLOOKUP($E$7,'Coverage Units by State Size'!$B$15:$K$20,3,FALSE))*$E10)+((HLOOKUP($F$7,'Coverage Units by State Size'!$B$15:$K$20,3,FALSE))*$F10)+((HLOOKUP($G$7,'Coverage Units by State Size'!$B$15:$K$20,3,FALSE))*$G10)+((HLOOKUP($H$7,'Coverage Units by State Size'!$B$15:$K$20,3,FALSE))*$H10)+((HLOOKUP($I$7,'Coverage Units by State Size'!$B$15:$K$20,3,FALSE))*$I10)+((HLOOKUP($J$7,'Coverage Units by State Size'!$B$15:$K$20,3,FALSE))*$J10)+((HLOOKUP($K$7,'Coverage Units by State Size'!$B$15:$K$20,3,FALSE))*$K10)</f>
        <v>5996</v>
      </c>
      <c r="F29" s="327">
        <f>((HLOOKUP($D$7,'Coverage Units by State Size'!$B$15:$K$20,4,FALSE))*$D10)+((HLOOKUP($E$7,'Coverage Units by State Size'!$B$15:$K$20,4,FALSE))*$E10)+((HLOOKUP($F$7,'Coverage Units by State Size'!$B$15:$K$20,4,FALSE))*$F10)+((HLOOKUP($G$7,'Coverage Units by State Size'!$B$15:$K$20,4,FALSE))*$G10)+((HLOOKUP($H$7,'Coverage Units by State Size'!$B$15:$K$20,4,FALSE))*$H10)+((HLOOKUP($I$7,'Coverage Units by State Size'!$B$15:$K$20,4,FALSE))*$I10)+((HLOOKUP($J$7,'Coverage Units by State Size'!$B$15:$K$20,4,FALSE))*$J10)+((HLOOKUP($K$7,'Coverage Units by State Size'!$B$15:$K$20,4,FALSE))*$K10)</f>
        <v>5647</v>
      </c>
      <c r="G29" s="327">
        <f>((HLOOKUP($D$7,'Coverage Units by State Size'!$B$15:$K$20,5,FALSE))*$D10)+((HLOOKUP($E$7,'Coverage Units by State Size'!$B$15:$K$20,5,FALSE))*$E10)+((HLOOKUP($F$7,'Coverage Units by State Size'!$B$15:$K$20,5,FALSE))*$F10)+((HLOOKUP($G$7,'Coverage Units by State Size'!$B$15:$K$20,5,FALSE))*$G10)+((HLOOKUP($H$7,'Coverage Units by State Size'!$B$15:$K$20,5,FALSE))*$H10)+((HLOOKUP($I$7,'Coverage Units by State Size'!$B$15:$K$20,5,FALSE))*$I10)+((HLOOKUP($J$7,'Coverage Units by State Size'!$B$15:$K$20,5,FALSE))*$J10)+((HLOOKUP($K$7,'Coverage Units by State Size'!$B$15:$K$20,5,FALSE))*$K10)</f>
        <v>4409</v>
      </c>
      <c r="H29" s="327">
        <f>((HLOOKUP($D$7,'Coverage Units by State Size'!$B$15:$K$20,6,FALSE))*$D10)+((HLOOKUP($E$7,'Coverage Units by State Size'!$B$15:$K$20,6,FALSE))*$E10)+((HLOOKUP($F$7,'Coverage Units by State Size'!$B$15:$K$20,6,FALSE))*$F10)+((HLOOKUP($G$7,'Coverage Units by State Size'!$B$15:$K$20,6,FALSE))*$G10)+((HLOOKUP($H$7,'Coverage Units by State Size'!$B$15:$K$20,6,FALSE))*$H10)+((HLOOKUP($I$7,'Coverage Units by State Size'!$B$15:$K$20,6,FALSE))*$I10)+((HLOOKUP($J$7,'Coverage Units by State Size'!$B$15:$K$20,6,FALSE))*$J10)+((HLOOKUP($K$7,'Coverage Units by State Size'!$B$15:$K$20,6,FALSE))*$K10)</f>
        <v>2856</v>
      </c>
      <c r="I29" s="158">
        <f t="shared" ref="I29:I42" si="1">SUM(D29:H29)</f>
        <v>19930</v>
      </c>
    </row>
    <row r="30" spans="1:11" x14ac:dyDescent="0.15">
      <c r="A30" s="137" t="str">
        <f t="shared" si="0"/>
        <v>Local: Single-Topic</v>
      </c>
      <c r="C30" s="137" t="s">
        <v>79</v>
      </c>
      <c r="D30" s="151">
        <f>((HLOOKUP($D$7,'Coverage Units by State Size'!$B$15:$K$20,2,FALSE))*$D11)+((HLOOKUP($E$7,'Coverage Units by State Size'!$B$15:$K$20,2,FALSE))*$E11)+((HLOOKUP($F$7,'Coverage Units by State Size'!$B$15:$K$20,2,FALSE))*$F11)+((HLOOKUP($G$7,'Coverage Units by State Size'!$B$15:$K$20,2,FALSE))*$G11)+((HLOOKUP($H$7,'Coverage Units by State Size'!$B$15:$K$20,2,FALSE))*$H11)+((HLOOKUP($I$7,'Coverage Units by State Size'!$B$15:$K$20,2,FALSE))*$I11)+((HLOOKUP($J$7,'Coverage Units by State Size'!$B$15:$K$20,2,FALSE))*$J11)+((HLOOKUP($K$7,'Coverage Units by State Size'!$B$15:$K$20,2,FALSE))*$K11)</f>
        <v>737</v>
      </c>
      <c r="E30" s="151">
        <f>((HLOOKUP($D$7,'Coverage Units by State Size'!$B$15:$K$20,3,FALSE))*$D11)+((HLOOKUP($E$7,'Coverage Units by State Size'!$B$15:$K$20,3,FALSE))*$E11)+((HLOOKUP($F$7,'Coverage Units by State Size'!$B$15:$K$20,3,FALSE))*$F11)+((HLOOKUP($G$7,'Coverage Units by State Size'!$B$15:$K$20,3,FALSE))*$G11)+((HLOOKUP($H$7,'Coverage Units by State Size'!$B$15:$K$20,3,FALSE))*$H11)+((HLOOKUP($I$7,'Coverage Units by State Size'!$B$15:$K$20,3,FALSE))*$I11)+((HLOOKUP($J$7,'Coverage Units by State Size'!$B$15:$K$20,3,FALSE))*$J11)+((HLOOKUP($K$7,'Coverage Units by State Size'!$B$15:$K$20,3,FALSE))*$K11)</f>
        <v>3749</v>
      </c>
      <c r="F30" s="327">
        <f>((HLOOKUP($D$7,'Coverage Units by State Size'!$B$15:$K$20,4,FALSE))*$D11)+((HLOOKUP($E$7,'Coverage Units by State Size'!$B$15:$K$20,4,FALSE))*$E11)+((HLOOKUP($F$7,'Coverage Units by State Size'!$B$15:$K$20,4,FALSE))*$F11)+((HLOOKUP($G$7,'Coverage Units by State Size'!$B$15:$K$20,4,FALSE))*$G11)+((HLOOKUP($H$7,'Coverage Units by State Size'!$B$15:$K$20,4,FALSE))*$H11)+((HLOOKUP($I$7,'Coverage Units by State Size'!$B$15:$K$20,4,FALSE))*$I11)+((HLOOKUP($J$7,'Coverage Units by State Size'!$B$15:$K$20,4,FALSE))*$J11)+((HLOOKUP($K$7,'Coverage Units by State Size'!$B$15:$K$20,4,FALSE))*$K11)</f>
        <v>4203</v>
      </c>
      <c r="G30" s="327">
        <f>((HLOOKUP($D$7,'Coverage Units by State Size'!$B$15:$K$20,5,FALSE))*$D11)+((HLOOKUP($E$7,'Coverage Units by State Size'!$B$15:$K$20,5,FALSE))*$E11)+((HLOOKUP($F$7,'Coverage Units by State Size'!$B$15:$K$20,5,FALSE))*$F11)+((HLOOKUP($G$7,'Coverage Units by State Size'!$B$15:$K$20,5,FALSE))*$G11)+((HLOOKUP($H$7,'Coverage Units by State Size'!$B$15:$K$20,5,FALSE))*$H11)+((HLOOKUP($I$7,'Coverage Units by State Size'!$B$15:$K$20,5,FALSE))*$I11)+((HLOOKUP($J$7,'Coverage Units by State Size'!$B$15:$K$20,5,FALSE))*$J11)+((HLOOKUP($K$7,'Coverage Units by State Size'!$B$15:$K$20,5,FALSE))*$K11)</f>
        <v>2420</v>
      </c>
      <c r="H30" s="327">
        <f>((HLOOKUP($D$7,'Coverage Units by State Size'!$B$15:$K$20,6,FALSE))*$D11)+((HLOOKUP($E$7,'Coverage Units by State Size'!$B$15:$K$20,6,FALSE))*$E11)+((HLOOKUP($F$7,'Coverage Units by State Size'!$B$15:$K$20,6,FALSE))*$F11)+((HLOOKUP($G$7,'Coverage Units by State Size'!$B$15:$K$20,6,FALSE))*$G11)+((HLOOKUP($H$7,'Coverage Units by State Size'!$B$15:$K$20,6,FALSE))*$H11)+((HLOOKUP($I$7,'Coverage Units by State Size'!$B$15:$K$20,6,FALSE))*$I11)+((HLOOKUP($J$7,'Coverage Units by State Size'!$B$15:$K$20,6,FALSE))*$J11)+((HLOOKUP($K$7,'Coverage Units by State Size'!$B$15:$K$20,6,FALSE))*$K11)</f>
        <v>2952</v>
      </c>
      <c r="I30" s="158">
        <f t="shared" si="1"/>
        <v>14061</v>
      </c>
    </row>
    <row r="31" spans="1:11" x14ac:dyDescent="0.15">
      <c r="A31" s="137" t="str">
        <f t="shared" si="0"/>
        <v>Local: Explanatory &amp; Analysis</v>
      </c>
      <c r="C31" s="137" t="s">
        <v>80</v>
      </c>
      <c r="D31" s="151">
        <f>((HLOOKUP($D$7,'Coverage Units by State Size'!$B$15:$K$20,2,FALSE))*$D12)+((HLOOKUP($E$7,'Coverage Units by State Size'!$B$15:$K$20,2,FALSE))*$E12)+((HLOOKUP($F$7,'Coverage Units by State Size'!$B$15:$K$20,2,FALSE))*$F12)+((HLOOKUP($G$7,'Coverage Units by State Size'!$B$15:$K$20,2,FALSE))*$G12)+((HLOOKUP($H$7,'Coverage Units by State Size'!$B$15:$K$20,2,FALSE))*$H12)+((HLOOKUP($I$7,'Coverage Units by State Size'!$B$15:$K$20,2,FALSE))*$I12)+((HLOOKUP($J$7,'Coverage Units by State Size'!$B$15:$K$20,2,FALSE))*$J12)+((HLOOKUP($K$7,'Coverage Units by State Size'!$B$15:$K$20,2,FALSE))*$K12)</f>
        <v>12</v>
      </c>
      <c r="E31" s="151">
        <f>((HLOOKUP($D$7,'Coverage Units by State Size'!$B$15:$K$20,3,FALSE))*$D12)+((HLOOKUP($E$7,'Coverage Units by State Size'!$B$15:$K$20,3,FALSE))*$E12)+((HLOOKUP($F$7,'Coverage Units by State Size'!$B$15:$K$20,3,FALSE))*$F12)+((HLOOKUP($G$7,'Coverage Units by State Size'!$B$15:$K$20,3,FALSE))*$G12)+((HLOOKUP($H$7,'Coverage Units by State Size'!$B$15:$K$20,3,FALSE))*$H12)+((HLOOKUP($I$7,'Coverage Units by State Size'!$B$15:$K$20,3,FALSE))*$I12)+((HLOOKUP($J$7,'Coverage Units by State Size'!$B$15:$K$20,3,FALSE))*$J12)+((HLOOKUP($K$7,'Coverage Units by State Size'!$B$15:$K$20,3,FALSE))*$K12)</f>
        <v>99</v>
      </c>
      <c r="F31" s="327">
        <f>((HLOOKUP($D$7,'Coverage Units by State Size'!$B$15:$K$20,4,FALSE))*$D12)+((HLOOKUP($E$7,'Coverage Units by State Size'!$B$15:$K$20,4,FALSE))*$E12)+((HLOOKUP($F$7,'Coverage Units by State Size'!$B$15:$K$20,4,FALSE))*$F12)+((HLOOKUP($G$7,'Coverage Units by State Size'!$B$15:$K$20,4,FALSE))*$G12)+((HLOOKUP($H$7,'Coverage Units by State Size'!$B$15:$K$20,4,FALSE))*$H12)+((HLOOKUP($I$7,'Coverage Units by State Size'!$B$15:$K$20,4,FALSE))*$I12)+((HLOOKUP($J$7,'Coverage Units by State Size'!$B$15:$K$20,4,FALSE))*$J12)+((HLOOKUP($K$7,'Coverage Units by State Size'!$B$15:$K$20,4,FALSE))*$K12)</f>
        <v>143</v>
      </c>
      <c r="G31" s="327">
        <f>((HLOOKUP($D$7,'Coverage Units by State Size'!$B$15:$K$20,5,FALSE))*$D12)+((HLOOKUP($E$7,'Coverage Units by State Size'!$B$15:$K$20,5,FALSE))*$E12)+((HLOOKUP($F$7,'Coverage Units by State Size'!$B$15:$K$20,5,FALSE))*$F12)+((HLOOKUP($G$7,'Coverage Units by State Size'!$B$15:$K$20,5,FALSE))*$G12)+((HLOOKUP($H$7,'Coverage Units by State Size'!$B$15:$K$20,5,FALSE))*$H12)+((HLOOKUP($I$7,'Coverage Units by State Size'!$B$15:$K$20,5,FALSE))*$I12)+((HLOOKUP($J$7,'Coverage Units by State Size'!$B$15:$K$20,5,FALSE))*$J12)+((HLOOKUP($K$7,'Coverage Units by State Size'!$B$15:$K$20,5,FALSE))*$K12)</f>
        <v>84</v>
      </c>
      <c r="H31" s="327">
        <f>((HLOOKUP($D$7,'Coverage Units by State Size'!$B$15:$K$20,6,FALSE))*$D12)+((HLOOKUP($E$7,'Coverage Units by State Size'!$B$15:$K$20,6,FALSE))*$E12)+((HLOOKUP($F$7,'Coverage Units by State Size'!$B$15:$K$20,6,FALSE))*$F12)+((HLOOKUP($G$7,'Coverage Units by State Size'!$B$15:$K$20,6,FALSE))*$G12)+((HLOOKUP($H$7,'Coverage Units by State Size'!$B$15:$K$20,6,FALSE))*$H12)+((HLOOKUP($I$7,'Coverage Units by State Size'!$B$15:$K$20,6,FALSE))*$I12)+((HLOOKUP($J$7,'Coverage Units by State Size'!$B$15:$K$20,6,FALSE))*$J12)+((HLOOKUP($K$7,'Coverage Units by State Size'!$B$15:$K$20,6,FALSE))*$K12)</f>
        <v>147</v>
      </c>
      <c r="I31" s="158">
        <f t="shared" si="1"/>
        <v>485</v>
      </c>
    </row>
    <row r="32" spans="1:11" x14ac:dyDescent="0.15">
      <c r="A32" s="137" t="str">
        <f t="shared" si="0"/>
        <v>Local: Investigative</v>
      </c>
      <c r="C32" s="137" t="s">
        <v>81</v>
      </c>
      <c r="D32" s="151">
        <f>((HLOOKUP($D$7,'Coverage Units by State Size'!$B$15:$K$20,2,FALSE))*$D13)+((HLOOKUP($E$7,'Coverage Units by State Size'!$B$15:$K$20,2,FALSE))*$E13)+((HLOOKUP($F$7,'Coverage Units by State Size'!$B$15:$K$20,2,FALSE))*$F13)+((HLOOKUP($G$7,'Coverage Units by State Size'!$B$15:$K$20,2,FALSE))*$G13)+((HLOOKUP($H$7,'Coverage Units by State Size'!$B$15:$K$20,2,FALSE))*$H13)+((HLOOKUP($I$7,'Coverage Units by State Size'!$B$15:$K$20,2,FALSE))*$I13)+((HLOOKUP($J$7,'Coverage Units by State Size'!$B$15:$K$20,2,FALSE))*$J13)+((HLOOKUP($K$7,'Coverage Units by State Size'!$B$15:$K$20,2,FALSE))*$K13)</f>
        <v>6</v>
      </c>
      <c r="E32" s="151">
        <f>((HLOOKUP($D$7,'Coverage Units by State Size'!$B$15:$K$20,3,FALSE))*$D13)+((HLOOKUP($E$7,'Coverage Units by State Size'!$B$15:$K$20,3,FALSE))*$E13)+((HLOOKUP($F$7,'Coverage Units by State Size'!$B$15:$K$20,3,FALSE))*$F13)+((HLOOKUP($G$7,'Coverage Units by State Size'!$B$15:$K$20,3,FALSE))*$G13)+((HLOOKUP($H$7,'Coverage Units by State Size'!$B$15:$K$20,3,FALSE))*$H13)+((HLOOKUP($I$7,'Coverage Units by State Size'!$B$15:$K$20,3,FALSE))*$I13)+((HLOOKUP($J$7,'Coverage Units by State Size'!$B$15:$K$20,3,FALSE))*$J13)+((HLOOKUP($K$7,'Coverage Units by State Size'!$B$15:$K$20,3,FALSE))*$K13)</f>
        <v>21</v>
      </c>
      <c r="F32" s="327">
        <f>((HLOOKUP($D$7,'Coverage Units by State Size'!$B$15:$K$20,4,FALSE))*$D13)+((HLOOKUP($E$7,'Coverage Units by State Size'!$B$15:$K$20,4,FALSE))*$E13)+((HLOOKUP($F$7,'Coverage Units by State Size'!$B$15:$K$20,4,FALSE))*$F13)+((HLOOKUP($G$7,'Coverage Units by State Size'!$B$15:$K$20,4,FALSE))*$G13)+((HLOOKUP($H$7,'Coverage Units by State Size'!$B$15:$K$20,4,FALSE))*$H13)+((HLOOKUP($I$7,'Coverage Units by State Size'!$B$15:$K$20,4,FALSE))*$I13)+((HLOOKUP($J$7,'Coverage Units by State Size'!$B$15:$K$20,4,FALSE))*$J13)+((HLOOKUP($K$7,'Coverage Units by State Size'!$B$15:$K$20,4,FALSE))*$K13)</f>
        <v>14</v>
      </c>
      <c r="G32" s="327">
        <f>((HLOOKUP($D$7,'Coverage Units by State Size'!$B$15:$K$20,5,FALSE))*$D13)+((HLOOKUP($E$7,'Coverage Units by State Size'!$B$15:$K$20,5,FALSE))*$E13)+((HLOOKUP($F$7,'Coverage Units by State Size'!$B$15:$K$20,5,FALSE))*$F13)+((HLOOKUP($G$7,'Coverage Units by State Size'!$B$15:$K$20,5,FALSE))*$G13)+((HLOOKUP($H$7,'Coverage Units by State Size'!$B$15:$K$20,5,FALSE))*$H13)+((HLOOKUP($I$7,'Coverage Units by State Size'!$B$15:$K$20,5,FALSE))*$I13)+((HLOOKUP($J$7,'Coverage Units by State Size'!$B$15:$K$20,5,FALSE))*$J13)+((HLOOKUP($K$7,'Coverage Units by State Size'!$B$15:$K$20,5,FALSE))*$K13)</f>
        <v>5</v>
      </c>
      <c r="H32" s="327">
        <f>((HLOOKUP($D$7,'Coverage Units by State Size'!$B$15:$K$20,6,FALSE))*$D13)+((HLOOKUP($E$7,'Coverage Units by State Size'!$B$15:$K$20,6,FALSE))*$E13)+((HLOOKUP($F$7,'Coverage Units by State Size'!$B$15:$K$20,6,FALSE))*$F13)+((HLOOKUP($G$7,'Coverage Units by State Size'!$B$15:$K$20,6,FALSE))*$G13)+((HLOOKUP($H$7,'Coverage Units by State Size'!$B$15:$K$20,6,FALSE))*$H13)+((HLOOKUP($I$7,'Coverage Units by State Size'!$B$15:$K$20,6,FALSE))*$I13)+((HLOOKUP($J$7,'Coverage Units by State Size'!$B$15:$K$20,6,FALSE))*$J13)+((HLOOKUP($K$7,'Coverage Units by State Size'!$B$15:$K$20,6,FALSE))*$K13)</f>
        <v>4</v>
      </c>
      <c r="I32" s="158">
        <f t="shared" si="1"/>
        <v>50</v>
      </c>
    </row>
    <row r="33" spans="1:11" x14ac:dyDescent="0.15">
      <c r="A33" s="137" t="str">
        <f t="shared" si="0"/>
        <v>Local: Current News &amp; Events</v>
      </c>
      <c r="B33" s="140"/>
      <c r="C33" s="140" t="s">
        <v>82</v>
      </c>
      <c r="D33" s="152">
        <f>((HLOOKUP($D$7,'Coverage Units by State Size'!$B$15:$K$20,2,FALSE))*$D14)+((HLOOKUP($E$7,'Coverage Units by State Size'!$B$15:$K$20,2,FALSE))*$E14)+((HLOOKUP($F$7,'Coverage Units by State Size'!$B$15:$K$20,2,FALSE))*$F14)+((HLOOKUP($G$7,'Coverage Units by State Size'!$B$15:$K$20,2,FALSE))*$G14)+((HLOOKUP($H$7,'Coverage Units by State Size'!$B$15:$K$20,2,FALSE))*$H14)+((HLOOKUP($I$7,'Coverage Units by State Size'!$B$15:$K$20,2,FALSE))*$I14)+((HLOOKUP($J$7,'Coverage Units by State Size'!$B$15:$K$20,2,FALSE))*$J14)+((HLOOKUP($K$7,'Coverage Units by State Size'!$B$15:$K$20,2,FALSE))*$K14)</f>
        <v>1022</v>
      </c>
      <c r="E33" s="152">
        <f>((HLOOKUP($D$7,'Coverage Units by State Size'!$B$15:$K$20,3,FALSE))*$D14)+((HLOOKUP($E$7,'Coverage Units by State Size'!$B$15:$K$20,3,FALSE))*$E14)+((HLOOKUP($F$7,'Coverage Units by State Size'!$B$15:$K$20,3,FALSE))*$F14)+((HLOOKUP($G$7,'Coverage Units by State Size'!$B$15:$K$20,3,FALSE))*$G14)+((HLOOKUP($H$7,'Coverage Units by State Size'!$B$15:$K$20,3,FALSE))*$H14)+((HLOOKUP($I$7,'Coverage Units by State Size'!$B$15:$K$20,3,FALSE))*$I14)+((HLOOKUP($J$7,'Coverage Units by State Size'!$B$15:$K$20,3,FALSE))*$J14)+((HLOOKUP($K$7,'Coverage Units by State Size'!$B$15:$K$20,3,FALSE))*$K14)</f>
        <v>5996</v>
      </c>
      <c r="F33" s="152">
        <f>((HLOOKUP($D$7,'Coverage Units by State Size'!$B$15:$K$20,4,FALSE))*$D14)+((HLOOKUP($E$7,'Coverage Units by State Size'!$B$15:$K$20,4,FALSE))*$E14)+((HLOOKUP($F$7,'Coverage Units by State Size'!$B$15:$K$20,4,FALSE))*$F14)+((HLOOKUP($G$7,'Coverage Units by State Size'!$B$15:$K$20,4,FALSE))*$G14)+((HLOOKUP($H$7,'Coverage Units by State Size'!$B$15:$K$20,4,FALSE))*$H14)+((HLOOKUP($I$7,'Coverage Units by State Size'!$B$15:$K$20,4,FALSE))*$I14)+((HLOOKUP($J$7,'Coverage Units by State Size'!$B$15:$K$20,4,FALSE))*$J14)+((HLOOKUP($K$7,'Coverage Units by State Size'!$B$15:$K$20,4,FALSE))*$K14)</f>
        <v>5647</v>
      </c>
      <c r="G33" s="152">
        <f>((HLOOKUP($D$7,'Coverage Units by State Size'!$B$15:$K$20,5,FALSE))*$D14)+((HLOOKUP($E$7,'Coverage Units by State Size'!$B$15:$K$20,5,FALSE))*$E14)+((HLOOKUP($F$7,'Coverage Units by State Size'!$B$15:$K$20,5,FALSE))*$F14)+((HLOOKUP($G$7,'Coverage Units by State Size'!$B$15:$K$20,5,FALSE))*$G14)+((HLOOKUP($H$7,'Coverage Units by State Size'!$B$15:$K$20,5,FALSE))*$H14)+((HLOOKUP($I$7,'Coverage Units by State Size'!$B$15:$K$20,5,FALSE))*$I14)+((HLOOKUP($J$7,'Coverage Units by State Size'!$B$15:$K$20,5,FALSE))*$J14)+((HLOOKUP($K$7,'Coverage Units by State Size'!$B$15:$K$20,5,FALSE))*$K14)</f>
        <v>4409</v>
      </c>
      <c r="H33" s="152">
        <f>((HLOOKUP($D$7,'Coverage Units by State Size'!$B$15:$K$20,6,FALSE))*$D14)+((HLOOKUP($E$7,'Coverage Units by State Size'!$B$15:$K$20,6,FALSE))*$E14)+((HLOOKUP($F$7,'Coverage Units by State Size'!$B$15:$K$20,6,FALSE))*$F14)+((HLOOKUP($G$7,'Coverage Units by State Size'!$B$15:$K$20,6,FALSE))*$G14)+((HLOOKUP($H$7,'Coverage Units by State Size'!$B$15:$K$20,6,FALSE))*$H14)+((HLOOKUP($I$7,'Coverage Units by State Size'!$B$15:$K$20,6,FALSE))*$I14)+((HLOOKUP($J$7,'Coverage Units by State Size'!$B$15:$K$20,6,FALSE))*$J14)+((HLOOKUP($K$7,'Coverage Units by State Size'!$B$15:$K$20,6,FALSE))*$K14)</f>
        <v>2856</v>
      </c>
      <c r="I33" s="257">
        <f t="shared" si="1"/>
        <v>19930</v>
      </c>
    </row>
    <row r="34" spans="1:11" x14ac:dyDescent="0.15">
      <c r="A34" s="137" t="str">
        <f t="shared" si="0"/>
        <v>State: General</v>
      </c>
      <c r="B34" s="137" t="s">
        <v>83</v>
      </c>
      <c r="C34" s="137" t="s">
        <v>77</v>
      </c>
      <c r="D34" s="332">
        <f>((HLOOKUP($D$7,'Coverage Units by State Size'!$B$15:$K$20,2,FALSE))*$D15)+((HLOOKUP($E$7,'Coverage Units by State Size'!$B$15:$K$20,2,FALSE))*$E15)+((HLOOKUP($F$7,'Coverage Units by State Size'!$B$15:$K$20,2,FALSE))*$F15)+((HLOOKUP($G$7,'Coverage Units by State Size'!$B$15:$K$20,2,FALSE))*$G15)+((HLOOKUP($H$7,'Coverage Units by State Size'!$B$15:$K$20,2,FALSE))*$H15)+((HLOOKUP($I$7,'Coverage Units by State Size'!$B$15:$K$20,2,FALSE))*$I15)+((HLOOKUP($J$7,'Coverage Units by State Size'!$B$15:$K$20,2,FALSE))*$J15)+((HLOOKUP($K$7,'Coverage Units by State Size'!$B$15:$K$20,2,FALSE))*$K15)</f>
        <v>18</v>
      </c>
      <c r="E34" s="151">
        <f>((HLOOKUP($D$7,'Coverage Units by State Size'!$B$15:$K$20,3,FALSE))*$D15)+((HLOOKUP($E$7,'Coverage Units by State Size'!$B$15:$K$20,3,FALSE))*$E15)+((HLOOKUP($F$7,'Coverage Units by State Size'!$B$15:$K$20,3,FALSE))*$F15)+((HLOOKUP($G$7,'Coverage Units by State Size'!$B$15:$K$20,3,FALSE))*$G15)+((HLOOKUP($H$7,'Coverage Units by State Size'!$B$15:$K$20,3,FALSE))*$H15)+((HLOOKUP($I$7,'Coverage Units by State Size'!$B$15:$K$20,3,FALSE))*$I15)+((HLOOKUP($J$7,'Coverage Units by State Size'!$B$15:$K$20,3,FALSE))*$J15)+((HLOOKUP($K$7,'Coverage Units by State Size'!$B$15:$K$20,3,FALSE))*$K15)</f>
        <v>63</v>
      </c>
      <c r="F34" s="332">
        <f>((HLOOKUP($D$7,'Coverage Units by State Size'!$B$15:$K$20,4,FALSE))*$D15)+((HLOOKUP($E$7,'Coverage Units by State Size'!$B$15:$K$20,4,FALSE))*$E15)+((HLOOKUP($F$7,'Coverage Units by State Size'!$B$15:$K$20,4,FALSE))*$F15)+((HLOOKUP($G$7,'Coverage Units by State Size'!$B$15:$K$20,4,FALSE))*$G15)+((HLOOKUP($H$7,'Coverage Units by State Size'!$B$15:$K$20,4,FALSE))*$H15)+((HLOOKUP($I$7,'Coverage Units by State Size'!$B$15:$K$20,4,FALSE))*$I15)+((HLOOKUP($J$7,'Coverage Units by State Size'!$B$15:$K$20,4,FALSE))*$J15)+((HLOOKUP($K$7,'Coverage Units by State Size'!$B$15:$K$20,4,FALSE))*$K15)</f>
        <v>42</v>
      </c>
      <c r="G34" s="151">
        <f>((HLOOKUP($D$7,'Coverage Units by State Size'!$B$15:$K$20,5,FALSE))*$D15)+((HLOOKUP($E$7,'Coverage Units by State Size'!$B$15:$K$20,5,FALSE))*$E15)+((HLOOKUP($F$7,'Coverage Units by State Size'!$B$15:$K$20,5,FALSE))*$F15)+((HLOOKUP($G$7,'Coverage Units by State Size'!$B$15:$K$20,5,FALSE))*$G15)+((HLOOKUP($H$7,'Coverage Units by State Size'!$B$15:$K$20,5,FALSE))*$H15)+((HLOOKUP($I$7,'Coverage Units by State Size'!$B$15:$K$20,5,FALSE))*$I15)+((HLOOKUP($J$7,'Coverage Units by State Size'!$B$15:$K$20,5,FALSE))*$J15)+((HLOOKUP($K$7,'Coverage Units by State Size'!$B$15:$K$20,5,FALSE))*$K15)</f>
        <v>15</v>
      </c>
      <c r="H34" s="327">
        <f>((HLOOKUP($D$7,'Coverage Units by State Size'!$B$15:$K$20,6,FALSE))*$D15)+((HLOOKUP($E$7,'Coverage Units by State Size'!$B$15:$K$20,6,FALSE))*$E15)+((HLOOKUP($F$7,'Coverage Units by State Size'!$B$15:$K$20,6,FALSE))*$F15)+((HLOOKUP($G$7,'Coverage Units by State Size'!$B$15:$K$20,6,FALSE))*$G15)+((HLOOKUP($H$7,'Coverage Units by State Size'!$B$15:$K$20,6,FALSE))*$H15)+((HLOOKUP($I$7,'Coverage Units by State Size'!$B$15:$K$20,6,FALSE))*$I15)+((HLOOKUP($J$7,'Coverage Units by State Size'!$B$15:$K$20,6,FALSE))*$J15)+((HLOOKUP($K$7,'Coverage Units by State Size'!$B$15:$K$20,6,FALSE))*$K15)</f>
        <v>12</v>
      </c>
      <c r="I34" s="158">
        <f t="shared" si="1"/>
        <v>150</v>
      </c>
    </row>
    <row r="35" spans="1:11" x14ac:dyDescent="0.15">
      <c r="A35" s="137" t="str">
        <f t="shared" si="0"/>
        <v>State: Multiple Related Topics</v>
      </c>
      <c r="C35" s="137" t="s">
        <v>78</v>
      </c>
      <c r="D35" s="327">
        <f>((HLOOKUP($D$7,'Coverage Units by State Size'!$B$15:$K$20,2,FALSE))*$D16)+((HLOOKUP($E$7,'Coverage Units by State Size'!$B$15:$K$20,2,FALSE))*$E16)+((HLOOKUP($F$7,'Coverage Units by State Size'!$B$15:$K$20,2,FALSE))*$F16)+((HLOOKUP($G$7,'Coverage Units by State Size'!$B$15:$K$20,2,FALSE))*$G16)+((HLOOKUP($H$7,'Coverage Units by State Size'!$B$15:$K$20,2,FALSE))*$H16)+((HLOOKUP($I$7,'Coverage Units by State Size'!$B$15:$K$20,2,FALSE))*$I16)+((HLOOKUP($J$7,'Coverage Units by State Size'!$B$15:$K$20,2,FALSE))*$J16)+((HLOOKUP($K$7,'Coverage Units by State Size'!$B$15:$K$20,2,FALSE))*$K16)</f>
        <v>58.605269999999997</v>
      </c>
      <c r="E35" s="151">
        <f>((HLOOKUP($D$7,'Coverage Units by State Size'!$B$15:$K$20,3,FALSE))*$D16)+((HLOOKUP($E$7,'Coverage Units by State Size'!$B$15:$K$20,3,FALSE))*$E16)+((HLOOKUP($F$7,'Coverage Units by State Size'!$B$15:$K$20,3,FALSE))*$F16)+((HLOOKUP($G$7,'Coverage Units by State Size'!$B$15:$K$20,3,FALSE))*$G16)+((HLOOKUP($H$7,'Coverage Units by State Size'!$B$15:$K$20,3,FALSE))*$H16)+((HLOOKUP($I$7,'Coverage Units by State Size'!$B$15:$K$20,3,FALSE))*$I16)+((HLOOKUP($J$7,'Coverage Units by State Size'!$B$15:$K$20,3,FALSE))*$J16)+((HLOOKUP($K$7,'Coverage Units by State Size'!$B$15:$K$20,3,FALSE))*$K16)</f>
        <v>657.66480999999999</v>
      </c>
      <c r="F35" s="327">
        <f>((HLOOKUP($D$7,'Coverage Units by State Size'!$B$15:$K$20,4,FALSE))*$D16)+((HLOOKUP($E$7,'Coverage Units by State Size'!$B$15:$K$20,4,FALSE))*$E16)+((HLOOKUP($F$7,'Coverage Units by State Size'!$B$15:$K$20,4,FALSE))*$F16)+((HLOOKUP($G$7,'Coverage Units by State Size'!$B$15:$K$20,4,FALSE))*$G16)+((HLOOKUP($H$7,'Coverage Units by State Size'!$B$15:$K$20,4,FALSE))*$H16)+((HLOOKUP($I$7,'Coverage Units by State Size'!$B$15:$K$20,4,FALSE))*$I16)+((HLOOKUP($J$7,'Coverage Units by State Size'!$B$15:$K$20,4,FALSE))*$J16)+((HLOOKUP($K$7,'Coverage Units by State Size'!$B$15:$K$20,4,FALSE))*$K16)</f>
        <v>1102.0469600000001</v>
      </c>
      <c r="G35" s="151">
        <f>((HLOOKUP($D$7,'Coverage Units by State Size'!$B$15:$K$20,5,FALSE))*$D16)+((HLOOKUP($E$7,'Coverage Units by State Size'!$B$15:$K$20,5,FALSE))*$E16)+((HLOOKUP($F$7,'Coverage Units by State Size'!$B$15:$K$20,5,FALSE))*$F16)+((HLOOKUP($G$7,'Coverage Units by State Size'!$B$15:$K$20,5,FALSE))*$G16)+((HLOOKUP($H$7,'Coverage Units by State Size'!$B$15:$K$20,5,FALSE))*$H16)+((HLOOKUP($I$7,'Coverage Units by State Size'!$B$15:$K$20,5,FALSE))*$I16)+((HLOOKUP($J$7,'Coverage Units by State Size'!$B$15:$K$20,5,FALSE))*$J16)+((HLOOKUP($K$7,'Coverage Units by State Size'!$B$15:$K$20,5,FALSE))*$K16)</f>
        <v>661.68416999999999</v>
      </c>
      <c r="H35" s="327">
        <f>((HLOOKUP($D$7,'Coverage Units by State Size'!$B$15:$K$20,6,FALSE))*$D16)+((HLOOKUP($E$7,'Coverage Units by State Size'!$B$15:$K$20,6,FALSE))*$E16)+((HLOOKUP($F$7,'Coverage Units by State Size'!$B$15:$K$20,6,FALSE))*$F16)+((HLOOKUP($G$7,'Coverage Units by State Size'!$B$15:$K$20,6,FALSE))*$G16)+((HLOOKUP($H$7,'Coverage Units by State Size'!$B$15:$K$20,6,FALSE))*$H16)+((HLOOKUP($I$7,'Coverage Units by State Size'!$B$15:$K$20,6,FALSE))*$I16)+((HLOOKUP($J$7,'Coverage Units by State Size'!$B$15:$K$20,6,FALSE))*$J16)+((HLOOKUP($K$7,'Coverage Units by State Size'!$B$15:$K$20,6,FALSE))*$K16)</f>
        <v>1237.39402</v>
      </c>
      <c r="I35" s="158">
        <f t="shared" si="1"/>
        <v>3717.3952300000001</v>
      </c>
    </row>
    <row r="36" spans="1:11" x14ac:dyDescent="0.15">
      <c r="A36" s="137" t="str">
        <f t="shared" si="0"/>
        <v>State: Single-Topic</v>
      </c>
      <c r="C36" s="137" t="s">
        <v>79</v>
      </c>
      <c r="D36" s="327">
        <f>((HLOOKUP($D$7,'Coverage Units by State Size'!$B$15:$K$20,2,FALSE))*$D17)+((HLOOKUP($E$7,'Coverage Units by State Size'!$B$15:$K$20,2,FALSE))*$E17)+((HLOOKUP($F$7,'Coverage Units by State Size'!$B$15:$K$20,2,FALSE))*$F17)+((HLOOKUP($G$7,'Coverage Units by State Size'!$B$15:$K$20,2,FALSE))*$G17)+((HLOOKUP($H$7,'Coverage Units by State Size'!$B$15:$K$20,2,FALSE))*$H17)+((HLOOKUP($I$7,'Coverage Units by State Size'!$B$15:$K$20,2,FALSE))*$I17)+((HLOOKUP($J$7,'Coverage Units by State Size'!$B$15:$K$20,2,FALSE))*$J17)+((HLOOKUP($K$7,'Coverage Units by State Size'!$B$15:$K$20,2,FALSE))*$K17)</f>
        <v>6</v>
      </c>
      <c r="E36" s="151">
        <f>((HLOOKUP($D$7,'Coverage Units by State Size'!$B$15:$K$20,3,FALSE))*$D17)+((HLOOKUP($E$7,'Coverage Units by State Size'!$B$15:$K$20,3,FALSE))*$E17)+((HLOOKUP($F$7,'Coverage Units by State Size'!$B$15:$K$20,3,FALSE))*$F17)+((HLOOKUP($G$7,'Coverage Units by State Size'!$B$15:$K$20,3,FALSE))*$G17)+((HLOOKUP($H$7,'Coverage Units by State Size'!$B$15:$K$20,3,FALSE))*$H17)+((HLOOKUP($I$7,'Coverage Units by State Size'!$B$15:$K$20,3,FALSE))*$I17)+((HLOOKUP($J$7,'Coverage Units by State Size'!$B$15:$K$20,3,FALSE))*$J17)+((HLOOKUP($K$7,'Coverage Units by State Size'!$B$15:$K$20,3,FALSE))*$K17)</f>
        <v>21</v>
      </c>
      <c r="F36" s="327">
        <f>((HLOOKUP($D$7,'Coverage Units by State Size'!$B$15:$K$20,4,FALSE))*$D17)+((HLOOKUP($E$7,'Coverage Units by State Size'!$B$15:$K$20,4,FALSE))*$E17)+((HLOOKUP($F$7,'Coverage Units by State Size'!$B$15:$K$20,4,FALSE))*$F17)+((HLOOKUP($G$7,'Coverage Units by State Size'!$B$15:$K$20,4,FALSE))*$G17)+((HLOOKUP($H$7,'Coverage Units by State Size'!$B$15:$K$20,4,FALSE))*$H17)+((HLOOKUP($I$7,'Coverage Units by State Size'!$B$15:$K$20,4,FALSE))*$I17)+((HLOOKUP($J$7,'Coverage Units by State Size'!$B$15:$K$20,4,FALSE))*$J17)+((HLOOKUP($K$7,'Coverage Units by State Size'!$B$15:$K$20,4,FALSE))*$K17)</f>
        <v>14</v>
      </c>
      <c r="G36" s="151">
        <f>((HLOOKUP($D$7,'Coverage Units by State Size'!$B$15:$K$20,5,FALSE))*$D17)+((HLOOKUP($E$7,'Coverage Units by State Size'!$B$15:$K$20,5,FALSE))*$E17)+((HLOOKUP($F$7,'Coverage Units by State Size'!$B$15:$K$20,5,FALSE))*$F17)+((HLOOKUP($G$7,'Coverage Units by State Size'!$B$15:$K$20,5,FALSE))*$G17)+((HLOOKUP($H$7,'Coverage Units by State Size'!$B$15:$K$20,5,FALSE))*$H17)+((HLOOKUP($I$7,'Coverage Units by State Size'!$B$15:$K$20,5,FALSE))*$I17)+((HLOOKUP($J$7,'Coverage Units by State Size'!$B$15:$K$20,5,FALSE))*$J17)+((HLOOKUP($K$7,'Coverage Units by State Size'!$B$15:$K$20,5,FALSE))*$K17)</f>
        <v>5</v>
      </c>
      <c r="H36" s="327">
        <f>((HLOOKUP($D$7,'Coverage Units by State Size'!$B$15:$K$20,6,FALSE))*$D17)+((HLOOKUP($E$7,'Coverage Units by State Size'!$B$15:$K$20,6,FALSE))*$E17)+((HLOOKUP($F$7,'Coverage Units by State Size'!$B$15:$K$20,6,FALSE))*$F17)+((HLOOKUP($G$7,'Coverage Units by State Size'!$B$15:$K$20,6,FALSE))*$G17)+((HLOOKUP($H$7,'Coverage Units by State Size'!$B$15:$K$20,6,FALSE))*$H17)+((HLOOKUP($I$7,'Coverage Units by State Size'!$B$15:$K$20,6,FALSE))*$I17)+((HLOOKUP($J$7,'Coverage Units by State Size'!$B$15:$K$20,6,FALSE))*$J17)+((HLOOKUP($K$7,'Coverage Units by State Size'!$B$15:$K$20,6,FALSE))*$K17)</f>
        <v>4</v>
      </c>
      <c r="I36" s="317">
        <f t="shared" si="1"/>
        <v>50</v>
      </c>
    </row>
    <row r="37" spans="1:11" x14ac:dyDescent="0.15">
      <c r="A37" s="137" t="str">
        <f t="shared" si="0"/>
        <v>State: Explanatory &amp; Analysis</v>
      </c>
      <c r="C37" s="137" t="s">
        <v>80</v>
      </c>
      <c r="D37" s="327">
        <f>((HLOOKUP($D$7,'Coverage Units by State Size'!$B$15:$K$20,2,FALSE))*$D18)+((HLOOKUP($E$7,'Coverage Units by State Size'!$B$15:$K$20,2,FALSE))*$E18)+((HLOOKUP($F$7,'Coverage Units by State Size'!$B$15:$K$20,2,FALSE))*$F18)+((HLOOKUP($G$7,'Coverage Units by State Size'!$B$15:$K$20,2,FALSE))*$G18)+((HLOOKUP($H$7,'Coverage Units by State Size'!$B$15:$K$20,2,FALSE))*$H18)+((HLOOKUP($I$7,'Coverage Units by State Size'!$B$15:$K$20,2,FALSE))*$I18)+((HLOOKUP($J$7,'Coverage Units by State Size'!$B$15:$K$20,2,FALSE))*$J18)+((HLOOKUP($K$7,'Coverage Units by State Size'!$B$15:$K$20,2,FALSE))*$K18)</f>
        <v>18</v>
      </c>
      <c r="E37" s="151">
        <f>((HLOOKUP($D$7,'Coverage Units by State Size'!$B$15:$K$20,3,FALSE))*$D18)+((HLOOKUP($E$7,'Coverage Units by State Size'!$B$15:$K$20,3,FALSE))*$E18)+((HLOOKUP($F$7,'Coverage Units by State Size'!$B$15:$K$20,3,FALSE))*$F18)+((HLOOKUP($G$7,'Coverage Units by State Size'!$B$15:$K$20,3,FALSE))*$G18)+((HLOOKUP($H$7,'Coverage Units by State Size'!$B$15:$K$20,3,FALSE))*$H18)+((HLOOKUP($I$7,'Coverage Units by State Size'!$B$15:$K$20,3,FALSE))*$I18)+((HLOOKUP($J$7,'Coverage Units by State Size'!$B$15:$K$20,3,FALSE))*$J18)+((HLOOKUP($K$7,'Coverage Units by State Size'!$B$15:$K$20,3,FALSE))*$K18)</f>
        <v>63</v>
      </c>
      <c r="F37" s="327">
        <f>((HLOOKUP($D$7,'Coverage Units by State Size'!$B$15:$K$20,4,FALSE))*$D18)+((HLOOKUP($E$7,'Coverage Units by State Size'!$B$15:$K$20,4,FALSE))*$E18)+((HLOOKUP($F$7,'Coverage Units by State Size'!$B$15:$K$20,4,FALSE))*$F18)+((HLOOKUP($G$7,'Coverage Units by State Size'!$B$15:$K$20,4,FALSE))*$G18)+((HLOOKUP($H$7,'Coverage Units by State Size'!$B$15:$K$20,4,FALSE))*$H18)+((HLOOKUP($I$7,'Coverage Units by State Size'!$B$15:$K$20,4,FALSE))*$I18)+((HLOOKUP($J$7,'Coverage Units by State Size'!$B$15:$K$20,4,FALSE))*$J18)+((HLOOKUP($K$7,'Coverage Units by State Size'!$B$15:$K$20,4,FALSE))*$K18)</f>
        <v>42</v>
      </c>
      <c r="G37" s="151">
        <f>((HLOOKUP($D$7,'Coverage Units by State Size'!$B$15:$K$20,5,FALSE))*$D18)+((HLOOKUP($E$7,'Coverage Units by State Size'!$B$15:$K$20,5,FALSE))*$E18)+((HLOOKUP($F$7,'Coverage Units by State Size'!$B$15:$K$20,5,FALSE))*$F18)+((HLOOKUP($G$7,'Coverage Units by State Size'!$B$15:$K$20,5,FALSE))*$G18)+((HLOOKUP($H$7,'Coverage Units by State Size'!$B$15:$K$20,5,FALSE))*$H18)+((HLOOKUP($I$7,'Coverage Units by State Size'!$B$15:$K$20,5,FALSE))*$I18)+((HLOOKUP($J$7,'Coverage Units by State Size'!$B$15:$K$20,5,FALSE))*$J18)+((HLOOKUP($K$7,'Coverage Units by State Size'!$B$15:$K$20,5,FALSE))*$K18)</f>
        <v>15</v>
      </c>
      <c r="H37" s="327">
        <f>((HLOOKUP($D$7,'Coverage Units by State Size'!$B$15:$K$20,6,FALSE))*$D18)+((HLOOKUP($E$7,'Coverage Units by State Size'!$B$15:$K$20,6,FALSE))*$E18)+((HLOOKUP($F$7,'Coverage Units by State Size'!$B$15:$K$20,6,FALSE))*$F18)+((HLOOKUP($G$7,'Coverage Units by State Size'!$B$15:$K$20,6,FALSE))*$G18)+((HLOOKUP($H$7,'Coverage Units by State Size'!$B$15:$K$20,6,FALSE))*$H18)+((HLOOKUP($I$7,'Coverage Units by State Size'!$B$15:$K$20,6,FALSE))*$I18)+((HLOOKUP($J$7,'Coverage Units by State Size'!$B$15:$K$20,6,FALSE))*$J18)+((HLOOKUP($K$7,'Coverage Units by State Size'!$B$15:$K$20,6,FALSE))*$K18)</f>
        <v>12</v>
      </c>
      <c r="I37" s="317">
        <f t="shared" si="1"/>
        <v>150</v>
      </c>
    </row>
    <row r="38" spans="1:11" x14ac:dyDescent="0.15">
      <c r="A38" s="137" t="str">
        <f t="shared" si="0"/>
        <v>State: Investigative</v>
      </c>
      <c r="C38" s="137" t="s">
        <v>81</v>
      </c>
      <c r="D38" s="327">
        <f>((HLOOKUP($D$7,'Coverage Units by State Size'!$B$15:$K$20,2,FALSE))*$D19)+((HLOOKUP($E$7,'Coverage Units by State Size'!$B$15:$K$20,2,FALSE))*$E19)+((HLOOKUP($F$7,'Coverage Units by State Size'!$B$15:$K$20,2,FALSE))*$F19)+((HLOOKUP($G$7,'Coverage Units by State Size'!$B$15:$K$20,2,FALSE))*$G19)+((HLOOKUP($H$7,'Coverage Units by State Size'!$B$15:$K$20,2,FALSE))*$H19)+((HLOOKUP($I$7,'Coverage Units by State Size'!$B$15:$K$20,2,FALSE))*$I19)+((HLOOKUP($J$7,'Coverage Units by State Size'!$B$15:$K$20,2,FALSE))*$J19)+((HLOOKUP($K$7,'Coverage Units by State Size'!$B$15:$K$20,2,FALSE))*$K19)</f>
        <v>18</v>
      </c>
      <c r="E38" s="151">
        <f>((HLOOKUP($D$7,'Coverage Units by State Size'!$B$15:$K$20,3,FALSE))*$D19)+((HLOOKUP($E$7,'Coverage Units by State Size'!$B$15:$K$20,3,FALSE))*$E19)+((HLOOKUP($F$7,'Coverage Units by State Size'!$B$15:$K$20,3,FALSE))*$F19)+((HLOOKUP($G$7,'Coverage Units by State Size'!$B$15:$K$20,3,FALSE))*$G19)+((HLOOKUP($H$7,'Coverage Units by State Size'!$B$15:$K$20,3,FALSE))*$H19)+((HLOOKUP($I$7,'Coverage Units by State Size'!$B$15:$K$20,3,FALSE))*$I19)+((HLOOKUP($J$7,'Coverage Units by State Size'!$B$15:$K$20,3,FALSE))*$J19)+((HLOOKUP($K$7,'Coverage Units by State Size'!$B$15:$K$20,3,FALSE))*$K19)</f>
        <v>63</v>
      </c>
      <c r="F38" s="327">
        <f>((HLOOKUP($D$7,'Coverage Units by State Size'!$B$15:$K$20,4,FALSE))*$D19)+((HLOOKUP($E$7,'Coverage Units by State Size'!$B$15:$K$20,4,FALSE))*$E19)+((HLOOKUP($F$7,'Coverage Units by State Size'!$B$15:$K$20,4,FALSE))*$F19)+((HLOOKUP($G$7,'Coverage Units by State Size'!$B$15:$K$20,4,FALSE))*$G19)+((HLOOKUP($H$7,'Coverage Units by State Size'!$B$15:$K$20,4,FALSE))*$H19)+((HLOOKUP($I$7,'Coverage Units by State Size'!$B$15:$K$20,4,FALSE))*$I19)+((HLOOKUP($J$7,'Coverage Units by State Size'!$B$15:$K$20,4,FALSE))*$J19)+((HLOOKUP($K$7,'Coverage Units by State Size'!$B$15:$K$20,4,FALSE))*$K19)</f>
        <v>42</v>
      </c>
      <c r="G38" s="151">
        <f>((HLOOKUP($D$7,'Coverage Units by State Size'!$B$15:$K$20,5,FALSE))*$D19)+((HLOOKUP($E$7,'Coverage Units by State Size'!$B$15:$K$20,5,FALSE))*$E19)+((HLOOKUP($F$7,'Coverage Units by State Size'!$B$15:$K$20,5,FALSE))*$F19)+((HLOOKUP($G$7,'Coverage Units by State Size'!$B$15:$K$20,5,FALSE))*$G19)+((HLOOKUP($H$7,'Coverage Units by State Size'!$B$15:$K$20,5,FALSE))*$H19)+((HLOOKUP($I$7,'Coverage Units by State Size'!$B$15:$K$20,5,FALSE))*$I19)+((HLOOKUP($J$7,'Coverage Units by State Size'!$B$15:$K$20,5,FALSE))*$J19)+((HLOOKUP($K$7,'Coverage Units by State Size'!$B$15:$K$20,5,FALSE))*$K19)</f>
        <v>15</v>
      </c>
      <c r="H38" s="327">
        <f>((HLOOKUP($D$7,'Coverage Units by State Size'!$B$15:$K$20,6,FALSE))*$D19)+((HLOOKUP($E$7,'Coverage Units by State Size'!$B$15:$K$20,6,FALSE))*$E19)+((HLOOKUP($F$7,'Coverage Units by State Size'!$B$15:$K$20,6,FALSE))*$F19)+((HLOOKUP($G$7,'Coverage Units by State Size'!$B$15:$K$20,6,FALSE))*$G19)+((HLOOKUP($H$7,'Coverage Units by State Size'!$B$15:$K$20,6,FALSE))*$H19)+((HLOOKUP($I$7,'Coverage Units by State Size'!$B$15:$K$20,6,FALSE))*$I19)+((HLOOKUP($J$7,'Coverage Units by State Size'!$B$15:$K$20,6,FALSE))*$J19)+((HLOOKUP($K$7,'Coverage Units by State Size'!$B$15:$K$20,6,FALSE))*$K19)</f>
        <v>12</v>
      </c>
      <c r="I38" s="317">
        <f t="shared" si="1"/>
        <v>150</v>
      </c>
    </row>
    <row r="39" spans="1:11" x14ac:dyDescent="0.15">
      <c r="A39" s="137" t="str">
        <f t="shared" si="0"/>
        <v>State: Current News &amp; Events</v>
      </c>
      <c r="B39" s="140"/>
      <c r="C39" s="140" t="s">
        <v>82</v>
      </c>
      <c r="D39" s="152">
        <f>((HLOOKUP($D$7,'Coverage Units by State Size'!$B$15:$K$20,2,FALSE))*$D20)+((HLOOKUP($E$7,'Coverage Units by State Size'!$B$15:$K$20,2,FALSE))*$E20)+((HLOOKUP($F$7,'Coverage Units by State Size'!$B$15:$K$20,2,FALSE))*$F20)+((HLOOKUP($G$7,'Coverage Units by State Size'!$B$15:$K$20,2,FALSE))*$G20)+((HLOOKUP($H$7,'Coverage Units by State Size'!$B$15:$K$20,2,FALSE))*$H20)+((HLOOKUP($I$7,'Coverage Units by State Size'!$B$15:$K$20,2,FALSE))*$I20)+((HLOOKUP($J$7,'Coverage Units by State Size'!$B$15:$K$20,2,FALSE))*$J20)+((HLOOKUP($K$7,'Coverage Units by State Size'!$B$15:$K$20,2,FALSE))*$K20)</f>
        <v>18</v>
      </c>
      <c r="E39" s="152">
        <f>((HLOOKUP($D$7,'Coverage Units by State Size'!$B$15:$K$20,3,FALSE))*$D20)+((HLOOKUP($E$7,'Coverage Units by State Size'!$B$15:$K$20,3,FALSE))*$E20)+((HLOOKUP($F$7,'Coverage Units by State Size'!$B$15:$K$20,3,FALSE))*$F20)+((HLOOKUP($G$7,'Coverage Units by State Size'!$B$15:$K$20,3,FALSE))*$G20)+((HLOOKUP($H$7,'Coverage Units by State Size'!$B$15:$K$20,3,FALSE))*$H20)+((HLOOKUP($I$7,'Coverage Units by State Size'!$B$15:$K$20,3,FALSE))*$I20)+((HLOOKUP($J$7,'Coverage Units by State Size'!$B$15:$K$20,3,FALSE))*$J20)+((HLOOKUP($K$7,'Coverage Units by State Size'!$B$15:$K$20,3,FALSE))*$K20)</f>
        <v>63</v>
      </c>
      <c r="F39" s="152">
        <f>((HLOOKUP($D$7,'Coverage Units by State Size'!$B$15:$K$20,4,FALSE))*$D20)+((HLOOKUP($E$7,'Coverage Units by State Size'!$B$15:$K$20,4,FALSE))*$E20)+((HLOOKUP($F$7,'Coverage Units by State Size'!$B$15:$K$20,4,FALSE))*$F20)+((HLOOKUP($G$7,'Coverage Units by State Size'!$B$15:$K$20,4,FALSE))*$G20)+((HLOOKUP($H$7,'Coverage Units by State Size'!$B$15:$K$20,4,FALSE))*$H20)+((HLOOKUP($I$7,'Coverage Units by State Size'!$B$15:$K$20,4,FALSE))*$I20)+((HLOOKUP($J$7,'Coverage Units by State Size'!$B$15:$K$20,4,FALSE))*$J20)+((HLOOKUP($K$7,'Coverage Units by State Size'!$B$15:$K$20,4,FALSE))*$K20)</f>
        <v>42</v>
      </c>
      <c r="G39" s="151">
        <f>((HLOOKUP($D$7,'Coverage Units by State Size'!$B$15:$K$20,5,FALSE))*$D20)+((HLOOKUP($E$7,'Coverage Units by State Size'!$B$15:$K$20,5,FALSE))*$E20)+((HLOOKUP($F$7,'Coverage Units by State Size'!$B$15:$K$20,5,FALSE))*$F20)+((HLOOKUP($G$7,'Coverage Units by State Size'!$B$15:$K$20,5,FALSE))*$G20)+((HLOOKUP($H$7,'Coverage Units by State Size'!$B$15:$K$20,5,FALSE))*$H20)+((HLOOKUP($I$7,'Coverage Units by State Size'!$B$15:$K$20,5,FALSE))*$I20)+((HLOOKUP($J$7,'Coverage Units by State Size'!$B$15:$K$20,5,FALSE))*$J20)+((HLOOKUP($K$7,'Coverage Units by State Size'!$B$15:$K$20,5,FALSE))*$K20)</f>
        <v>15</v>
      </c>
      <c r="H39" s="327">
        <f>((HLOOKUP($D$7,'Coverage Units by State Size'!$B$15:$K$20,6,FALSE))*$D20)+((HLOOKUP($E$7,'Coverage Units by State Size'!$B$15:$K$20,6,FALSE))*$E20)+((HLOOKUP($F$7,'Coverage Units by State Size'!$B$15:$K$20,6,FALSE))*$F20)+((HLOOKUP($G$7,'Coverage Units by State Size'!$B$15:$K$20,6,FALSE))*$G20)+((HLOOKUP($H$7,'Coverage Units by State Size'!$B$15:$K$20,6,FALSE))*$H20)+((HLOOKUP($I$7,'Coverage Units by State Size'!$B$15:$K$20,6,FALSE))*$I20)+((HLOOKUP($J$7,'Coverage Units by State Size'!$B$15:$K$20,6,FALSE))*$J20)+((HLOOKUP($K$7,'Coverage Units by State Size'!$B$15:$K$20,6,FALSE))*$K20)</f>
        <v>12</v>
      </c>
      <c r="I39" s="257">
        <f t="shared" si="1"/>
        <v>150</v>
      </c>
    </row>
    <row r="40" spans="1:11" hidden="1" outlineLevel="1" x14ac:dyDescent="0.15">
      <c r="A40" s="137" t="str">
        <f t="shared" si="0"/>
        <v>Public Radio: Small</v>
      </c>
      <c r="B40" s="137" t="s">
        <v>84</v>
      </c>
      <c r="C40" s="137" t="s">
        <v>62</v>
      </c>
      <c r="D40" s="151">
        <f>((HLOOKUP($D$7,'Coverage Units by State Size'!$B$15:$K$20,2,FALSE))*$D21)+((HLOOKUP($E$7,'Coverage Units by State Size'!$B$15:$K$20,2,FALSE))*$E21)+((HLOOKUP($F$7,'Coverage Units by State Size'!$B$15:$K$20,2,FALSE))*$F21)+((HLOOKUP($G$7,'Coverage Units by State Size'!$B$15:$K$20,2,FALSE))*$G21)+((HLOOKUP($H$7,'Coverage Units by State Size'!$B$15:$K$20,2,FALSE))*$H21)+((HLOOKUP($I$7,'Coverage Units by State Size'!$B$15:$K$20,2,FALSE))*$I21)+((HLOOKUP($J$7,'Coverage Units by State Size'!$B$15:$K$20,2,FALSE))*$J21)+((HLOOKUP($K$7,'Coverage Units by State Size'!$B$15:$K$20,2,FALSE))*$K21)</f>
        <v>0</v>
      </c>
      <c r="E40" s="327">
        <f>((HLOOKUP($D$7,'Coverage Units by State Size'!$B$15:$K$20,3,FALSE))*$D21)+((HLOOKUP($E$7,'Coverage Units by State Size'!$B$15:$K$20,3,FALSE))*$E21)+((HLOOKUP($F$7,'Coverage Units by State Size'!$B$15:$K$20,3,FALSE))*$F21)+((HLOOKUP($G$7,'Coverage Units by State Size'!$B$15:$K$20,3,FALSE))*$G21)+((HLOOKUP($H$7,'Coverage Units by State Size'!$B$15:$K$20,3,FALSE))*$H21)+((HLOOKUP($I$7,'Coverage Units by State Size'!$B$15:$K$20,3,FALSE))*$I21)+((HLOOKUP($J$7,'Coverage Units by State Size'!$B$15:$K$20,3,FALSE))*$J21)+((HLOOKUP($K$7,'Coverage Units by State Size'!$B$15:$K$20,3,FALSE))*$K21)</f>
        <v>0</v>
      </c>
      <c r="F40" s="327">
        <f>((HLOOKUP($D$7,'Coverage Units by State Size'!$B$15:$K$20,4,FALSE))*$D21)+((HLOOKUP($E$7,'Coverage Units by State Size'!$B$15:$K$20,4,FALSE))*$E21)+((HLOOKUP($F$7,'Coverage Units by State Size'!$B$15:$K$20,4,FALSE))*$F21)+((HLOOKUP($G$7,'Coverage Units by State Size'!$B$15:$K$20,4,FALSE))*$G21)+((HLOOKUP($H$7,'Coverage Units by State Size'!$B$15:$K$20,4,FALSE))*$H21)+((HLOOKUP($I$7,'Coverage Units by State Size'!$B$15:$K$20,4,FALSE))*$I21)+((HLOOKUP($J$7,'Coverage Units by State Size'!$B$15:$K$20,4,FALSE))*$J21)+((HLOOKUP($K$7,'Coverage Units by State Size'!$B$15:$K$20,4,FALSE))*$K21)</f>
        <v>0</v>
      </c>
      <c r="G40" s="332">
        <f>((HLOOKUP($D$7,'Coverage Units by State Size'!$B$15:$K$20,5,FALSE))*$D21)+((HLOOKUP($E$7,'Coverage Units by State Size'!$B$15:$K$20,5,FALSE))*$E21)+((HLOOKUP($F$7,'Coverage Units by State Size'!$B$15:$K$20,5,FALSE))*$F21)+((HLOOKUP($G$7,'Coverage Units by State Size'!$B$15:$K$20,5,FALSE))*$G21)+((HLOOKUP($H$7,'Coverage Units by State Size'!$B$15:$K$20,5,FALSE))*$H21)+((HLOOKUP($I$7,'Coverage Units by State Size'!$B$15:$K$20,5,FALSE))*$I21)+((HLOOKUP($J$7,'Coverage Units by State Size'!$B$15:$K$20,5,FALSE))*$J21)+((HLOOKUP($K$7,'Coverage Units by State Size'!$B$15:$K$20,5,FALSE))*$K21)</f>
        <v>0</v>
      </c>
      <c r="H40" s="332">
        <f>((HLOOKUP($D$7,'Coverage Units by State Size'!$B$15:$K$20,6,FALSE))*$D21)+((HLOOKUP($E$7,'Coverage Units by State Size'!$B$15:$K$20,6,FALSE))*$E21)+((HLOOKUP($F$7,'Coverage Units by State Size'!$B$15:$K$20,6,FALSE))*$F21)+((HLOOKUP($G$7,'Coverage Units by State Size'!$B$15:$K$20,6,FALSE))*$G21)+((HLOOKUP($H$7,'Coverage Units by State Size'!$B$15:$K$20,6,FALSE))*$H21)+((HLOOKUP($I$7,'Coverage Units by State Size'!$B$15:$K$20,6,FALSE))*$I21)+((HLOOKUP($J$7,'Coverage Units by State Size'!$B$15:$K$20,6,FALSE))*$J21)+((HLOOKUP($K$7,'Coverage Units by State Size'!$B$15:$K$20,6,FALSE))*$K21)</f>
        <v>0</v>
      </c>
      <c r="I40" s="317">
        <f t="shared" si="1"/>
        <v>0</v>
      </c>
    </row>
    <row r="41" spans="1:11" hidden="1" outlineLevel="1" x14ac:dyDescent="0.15">
      <c r="A41" s="137" t="str">
        <f t="shared" si="0"/>
        <v>Public Radio: Medium</v>
      </c>
      <c r="C41" s="137" t="s">
        <v>63</v>
      </c>
      <c r="D41" s="151">
        <f>((HLOOKUP($D$7,'Coverage Units by State Size'!$B$15:$K$20,2,FALSE))*$D22)+((HLOOKUP($E$7,'Coverage Units by State Size'!$B$15:$K$20,2,FALSE))*$E22)+((HLOOKUP($F$7,'Coverage Units by State Size'!$B$15:$K$20,2,FALSE))*$F22)+((HLOOKUP($G$7,'Coverage Units by State Size'!$B$15:$K$20,2,FALSE))*$G22)+((HLOOKUP($H$7,'Coverage Units by State Size'!$B$15:$K$20,2,FALSE))*$H22)+((HLOOKUP($I$7,'Coverage Units by State Size'!$B$15:$K$20,2,FALSE))*$I22)+((HLOOKUP($J$7,'Coverage Units by State Size'!$B$15:$K$20,2,FALSE))*$J22)+((HLOOKUP($K$7,'Coverage Units by State Size'!$B$15:$K$20,2,FALSE))*$K22)</f>
        <v>0</v>
      </c>
      <c r="E41" s="327">
        <f>((HLOOKUP($D$7,'Coverage Units by State Size'!$B$15:$K$20,3,FALSE))*$D22)+((HLOOKUP($E$7,'Coverage Units by State Size'!$B$15:$K$20,3,FALSE))*$E22)+((HLOOKUP($F$7,'Coverage Units by State Size'!$B$15:$K$20,3,FALSE))*$F22)+((HLOOKUP($G$7,'Coverage Units by State Size'!$B$15:$K$20,3,FALSE))*$G22)+((HLOOKUP($H$7,'Coverage Units by State Size'!$B$15:$K$20,3,FALSE))*$H22)+((HLOOKUP($I$7,'Coverage Units by State Size'!$B$15:$K$20,3,FALSE))*$I22)+((HLOOKUP($J$7,'Coverage Units by State Size'!$B$15:$K$20,3,FALSE))*$J22)+((HLOOKUP($K$7,'Coverage Units by State Size'!$B$15:$K$20,3,FALSE))*$K22)</f>
        <v>0</v>
      </c>
      <c r="F41" s="327">
        <f>((HLOOKUP($D$7,'Coverage Units by State Size'!$B$15:$K$20,4,FALSE))*$D22)+((HLOOKUP($E$7,'Coverage Units by State Size'!$B$15:$K$20,4,FALSE))*$E22)+((HLOOKUP($F$7,'Coverage Units by State Size'!$B$15:$K$20,4,FALSE))*$F22)+((HLOOKUP($G$7,'Coverage Units by State Size'!$B$15:$K$20,4,FALSE))*$G22)+((HLOOKUP($H$7,'Coverage Units by State Size'!$B$15:$K$20,4,FALSE))*$H22)+((HLOOKUP($I$7,'Coverage Units by State Size'!$B$15:$K$20,4,FALSE))*$I22)+((HLOOKUP($J$7,'Coverage Units by State Size'!$B$15:$K$20,4,FALSE))*$J22)+((HLOOKUP($K$7,'Coverage Units by State Size'!$B$15:$K$20,4,FALSE))*$K22)</f>
        <v>0</v>
      </c>
      <c r="G41" s="327">
        <f>((HLOOKUP($D$7,'Coverage Units by State Size'!$B$15:$K$20,5,FALSE))*$D22)+((HLOOKUP($E$7,'Coverage Units by State Size'!$B$15:$K$20,5,FALSE))*$E22)+((HLOOKUP($F$7,'Coverage Units by State Size'!$B$15:$K$20,5,FALSE))*$F22)+((HLOOKUP($G$7,'Coverage Units by State Size'!$B$15:$K$20,5,FALSE))*$G22)+((HLOOKUP($H$7,'Coverage Units by State Size'!$B$15:$K$20,5,FALSE))*$H22)+((HLOOKUP($I$7,'Coverage Units by State Size'!$B$15:$K$20,5,FALSE))*$I22)+((HLOOKUP($J$7,'Coverage Units by State Size'!$B$15:$K$20,5,FALSE))*$J22)+((HLOOKUP($K$7,'Coverage Units by State Size'!$B$15:$K$20,5,FALSE))*$K22)</f>
        <v>0</v>
      </c>
      <c r="H41" s="327">
        <f>((HLOOKUP($D$7,'Coverage Units by State Size'!$B$15:$K$20,6,FALSE))*$D22)+((HLOOKUP($E$7,'Coverage Units by State Size'!$B$15:$K$20,6,FALSE))*$E22)+((HLOOKUP($F$7,'Coverage Units by State Size'!$B$15:$K$20,6,FALSE))*$F22)+((HLOOKUP($G$7,'Coverage Units by State Size'!$B$15:$K$20,6,FALSE))*$G22)+((HLOOKUP($H$7,'Coverage Units by State Size'!$B$15:$K$20,6,FALSE))*$H22)+((HLOOKUP($I$7,'Coverage Units by State Size'!$B$15:$K$20,6,FALSE))*$I22)+((HLOOKUP($J$7,'Coverage Units by State Size'!$B$15:$K$20,6,FALSE))*$J22)+((HLOOKUP($K$7,'Coverage Units by State Size'!$B$15:$K$20,6,FALSE))*$K22)</f>
        <v>0</v>
      </c>
      <c r="I41" s="317">
        <f t="shared" si="1"/>
        <v>0</v>
      </c>
    </row>
    <row r="42" spans="1:11" hidden="1" outlineLevel="1" x14ac:dyDescent="0.15">
      <c r="A42" s="137" t="str">
        <f t="shared" si="0"/>
        <v>Public Radio: Large</v>
      </c>
      <c r="B42" s="140"/>
      <c r="C42" s="140" t="s">
        <v>64</v>
      </c>
      <c r="D42" s="152">
        <f>((HLOOKUP($D$7,'Coverage Units by State Size'!$B$15:$K$20,2,FALSE))*$D23)+((HLOOKUP($E$7,'Coverage Units by State Size'!$B$15:$K$20,2,FALSE))*$E23)+((HLOOKUP($F$7,'Coverage Units by State Size'!$B$15:$K$20,2,FALSE))*$F23)+((HLOOKUP($G$7,'Coverage Units by State Size'!$B$15:$K$20,2,FALSE))*$G23)+((HLOOKUP($H$7,'Coverage Units by State Size'!$B$15:$K$20,2,FALSE))*$H23)+((HLOOKUP($I$7,'Coverage Units by State Size'!$B$15:$K$20,2,FALSE))*$I23)+((HLOOKUP($J$7,'Coverage Units by State Size'!$B$15:$K$20,2,FALSE))*$J23)+((HLOOKUP($K$7,'Coverage Units by State Size'!$B$15:$K$20,2,FALSE))*$K23)</f>
        <v>0</v>
      </c>
      <c r="E42" s="152">
        <f>((HLOOKUP($D$7,'Coverage Units by State Size'!$B$15:$K$20,3,FALSE))*$D23)+((HLOOKUP($E$7,'Coverage Units by State Size'!$B$15:$K$20,3,FALSE))*$E23)+((HLOOKUP($F$7,'Coverage Units by State Size'!$B$15:$K$20,3,FALSE))*$F23)+((HLOOKUP($G$7,'Coverage Units by State Size'!$B$15:$K$20,3,FALSE))*$G23)+((HLOOKUP($H$7,'Coverage Units by State Size'!$B$15:$K$20,3,FALSE))*$H23)+((HLOOKUP($I$7,'Coverage Units by State Size'!$B$15:$K$20,3,FALSE))*$I23)+((HLOOKUP($J$7,'Coverage Units by State Size'!$B$15:$K$20,3,FALSE))*$J23)+((HLOOKUP($K$7,'Coverage Units by State Size'!$B$15:$K$20,3,FALSE))*$K23)</f>
        <v>0</v>
      </c>
      <c r="F42" s="152">
        <f>((HLOOKUP($D$7,'Coverage Units by State Size'!$B$15:$K$20,4,FALSE))*$D23)+((HLOOKUP($E$7,'Coverage Units by State Size'!$B$15:$K$20,4,FALSE))*$E23)+((HLOOKUP($F$7,'Coverage Units by State Size'!$B$15:$K$20,4,FALSE))*$F23)+((HLOOKUP($G$7,'Coverage Units by State Size'!$B$15:$K$20,4,FALSE))*$G23)+((HLOOKUP($H$7,'Coverage Units by State Size'!$B$15:$K$20,4,FALSE))*$H23)+((HLOOKUP($I$7,'Coverage Units by State Size'!$B$15:$K$20,4,FALSE))*$I23)+((HLOOKUP($J$7,'Coverage Units by State Size'!$B$15:$K$20,4,FALSE))*$J23)+((HLOOKUP($K$7,'Coverage Units by State Size'!$B$15:$K$20,4,FALSE))*$K23)</f>
        <v>0</v>
      </c>
      <c r="G42" s="152">
        <f>((HLOOKUP($D$7,'Coverage Units by State Size'!$B$15:$K$20,5,FALSE))*$D23)+((HLOOKUP($E$7,'Coverage Units by State Size'!$B$15:$K$20,5,FALSE))*$E23)+((HLOOKUP($F$7,'Coverage Units by State Size'!$B$15:$K$20,5,FALSE))*$F23)+((HLOOKUP($G$7,'Coverage Units by State Size'!$B$15:$K$20,5,FALSE))*$G23)+((HLOOKUP($H$7,'Coverage Units by State Size'!$B$15:$K$20,5,FALSE))*$H23)+((HLOOKUP($I$7,'Coverage Units by State Size'!$B$15:$K$20,5,FALSE))*$I23)+((HLOOKUP($J$7,'Coverage Units by State Size'!$B$15:$K$20,5,FALSE))*$J23)+((HLOOKUP($K$7,'Coverage Units by State Size'!$B$15:$K$20,5,FALSE))*$K23)</f>
        <v>0</v>
      </c>
      <c r="H42" s="152">
        <f>((HLOOKUP($D$7,'Coverage Units by State Size'!$B$15:$K$20,6,FALSE))*$D23)+((HLOOKUP($E$7,'Coverage Units by State Size'!$B$15:$K$20,6,FALSE))*$E23)+((HLOOKUP($F$7,'Coverage Units by State Size'!$B$15:$K$20,6,FALSE))*$F23)+((HLOOKUP($G$7,'Coverage Units by State Size'!$B$15:$K$20,6,FALSE))*$G23)+((HLOOKUP($H$7,'Coverage Units by State Size'!$B$15:$K$20,6,FALSE))*$H23)+((HLOOKUP($I$7,'Coverage Units by State Size'!$B$15:$K$20,6,FALSE))*$I23)+((HLOOKUP($J$7,'Coverage Units by State Size'!$B$15:$K$20,6,FALSE))*$J23)+((HLOOKUP($K$7,'Coverage Units by State Size'!$B$15:$K$20,6,FALSE))*$K23)</f>
        <v>0</v>
      </c>
      <c r="I42" s="257">
        <f t="shared" si="1"/>
        <v>0</v>
      </c>
    </row>
    <row r="43" spans="1:11" collapsed="1" x14ac:dyDescent="0.15">
      <c r="C43" s="136" t="s">
        <v>60</v>
      </c>
      <c r="D43" s="258">
        <f t="shared" ref="D43:I43" si="2">SUM(D27:D39)</f>
        <v>3115.60527</v>
      </c>
      <c r="E43" s="258">
        <f t="shared" si="2"/>
        <v>17939.664809999998</v>
      </c>
      <c r="F43" s="258">
        <f t="shared" si="2"/>
        <v>18041.04696</v>
      </c>
      <c r="G43" s="258">
        <f t="shared" si="2"/>
        <v>12798.68417</v>
      </c>
      <c r="H43" s="258">
        <f t="shared" si="2"/>
        <v>11110.39402</v>
      </c>
      <c r="I43" s="258">
        <f t="shared" si="2"/>
        <v>63005.395230000002</v>
      </c>
    </row>
    <row r="45" spans="1:11" x14ac:dyDescent="0.15">
      <c r="B45" s="143" t="s">
        <v>67</v>
      </c>
      <c r="C45" s="143"/>
      <c r="D45" s="143"/>
      <c r="E45" s="143"/>
      <c r="F45" s="143"/>
      <c r="G45" s="143"/>
      <c r="H45" s="143"/>
      <c r="I45" s="143"/>
    </row>
    <row r="46" spans="1:11" ht="13" x14ac:dyDescent="0.15">
      <c r="B46" s="150" t="s">
        <v>74</v>
      </c>
      <c r="C46" s="150" t="s">
        <v>86</v>
      </c>
      <c r="D46" s="150" t="s">
        <v>61</v>
      </c>
      <c r="E46" s="150" t="s">
        <v>62</v>
      </c>
      <c r="F46" s="150" t="s">
        <v>63</v>
      </c>
      <c r="G46" s="150" t="s">
        <v>64</v>
      </c>
      <c r="H46" s="150" t="s">
        <v>65</v>
      </c>
      <c r="I46" s="150" t="s">
        <v>60</v>
      </c>
    </row>
    <row r="47" spans="1:11" x14ac:dyDescent="0.15">
      <c r="A47" s="137" t="str">
        <f>A27</f>
        <v>Hyper-local: General</v>
      </c>
      <c r="B47" s="140" t="s">
        <v>76</v>
      </c>
      <c r="C47" s="140" t="s">
        <v>77</v>
      </c>
      <c r="D47" s="333">
        <f>D27*HLOOKUP($A47,'Model Org Stats'!$E$6:$CO$38,21, FALSE)</f>
        <v>227520</v>
      </c>
      <c r="E47" s="333">
        <f>E27*HLOOKUP($A47,'Model Org Stats'!$E$6:$CO$38,21, FALSE)</f>
        <v>2957760</v>
      </c>
      <c r="F47" s="333">
        <f>F27*HLOOKUP($A47,'Model Org Stats'!$E$6:$CO$38,21, FALSE)</f>
        <v>9783360</v>
      </c>
      <c r="G47" s="333">
        <f>G27*HLOOKUP($A47,'Model Org Stats'!$E$6:$CO$38,21, FALSE)</f>
        <v>8987040</v>
      </c>
      <c r="H47" s="333">
        <f>H27*HLOOKUP($A47,'Model Org Stats'!$E$6:$CO$38,21, FALSE)</f>
        <v>21690240</v>
      </c>
      <c r="I47" s="255">
        <f>SUM(D47:H47)</f>
        <v>43645920</v>
      </c>
    </row>
    <row r="48" spans="1:11" x14ac:dyDescent="0.15">
      <c r="A48" s="137" t="str">
        <f t="shared" ref="A48:A62" si="3">A28</f>
        <v>Local: General</v>
      </c>
      <c r="B48" s="137" t="s">
        <v>7</v>
      </c>
      <c r="C48" s="137" t="s">
        <v>77</v>
      </c>
      <c r="D48" s="250">
        <f>D28*HLOOKUP($A48,'Model Org Stats'!$E$6:$CO$38,21, FALSE)</f>
        <v>67461590.152941182</v>
      </c>
      <c r="E48" s="250">
        <f>E28*HLOOKUP($A48,'Model Org Stats'!$E$6:$CO$38,21, FALSE)</f>
        <v>414850008.41176468</v>
      </c>
      <c r="F48" s="250">
        <f>F28*HLOOKUP($A48,'Model Org Stats'!$E$6:$CO$38,21, FALSE)</f>
        <v>327615193.55882353</v>
      </c>
      <c r="G48" s="250">
        <f>G28*HLOOKUP($A48,'Model Org Stats'!$E$6:$CO$38,21, FALSE)</f>
        <v>196956826.42352942</v>
      </c>
      <c r="H48" s="250">
        <f>H28*HLOOKUP($A48,'Model Org Stats'!$E$6:$CO$38,21, FALSE)</f>
        <v>168266265.09411764</v>
      </c>
      <c r="I48" s="251">
        <f>SUM(D48:H48)</f>
        <v>1175149883.6411765</v>
      </c>
      <c r="J48" s="203"/>
      <c r="K48" s="203"/>
    </row>
    <row r="49" spans="1:9" x14ac:dyDescent="0.15">
      <c r="A49" s="137" t="str">
        <f t="shared" si="3"/>
        <v>Local: Multiple Related Topics</v>
      </c>
      <c r="C49" s="137" t="s">
        <v>78</v>
      </c>
      <c r="D49" s="250">
        <f>D29*HLOOKUP($A49,'Model Org Stats'!$E$6:$CO$38,21, FALSE)</f>
        <v>286207582.37333333</v>
      </c>
      <c r="E49" s="250">
        <f>E29*HLOOKUP($A49,'Model Org Stats'!$E$6:$CO$38,21, FALSE)</f>
        <v>1679159162.3390477</v>
      </c>
      <c r="F49" s="250">
        <f>F29*HLOOKUP($A49,'Model Org Stats'!$E$6:$CO$38,21, FALSE)</f>
        <v>1581422913.5638096</v>
      </c>
      <c r="G49" s="250">
        <f>G29*HLOOKUP($A49,'Model Org Stats'!$E$6:$CO$38,21, FALSE)</f>
        <v>1234725274.6419048</v>
      </c>
      <c r="H49" s="250">
        <f>H29*HLOOKUP($A49,'Model Org Stats'!$E$6:$CO$38,21, FALSE)</f>
        <v>799812969.92000008</v>
      </c>
      <c r="I49" s="251">
        <f t="shared" ref="I49:I53" si="4">SUM(D49:H49)</f>
        <v>5581327902.8380957</v>
      </c>
    </row>
    <row r="50" spans="1:9" x14ac:dyDescent="0.15">
      <c r="A50" s="137" t="str">
        <f t="shared" si="3"/>
        <v>Local: Single-Topic</v>
      </c>
      <c r="C50" s="137" t="s">
        <v>79</v>
      </c>
      <c r="D50" s="250">
        <f>D30*HLOOKUP($A50,'Model Org Stats'!$E$6:$CO$38,21, FALSE)</f>
        <v>144125509</v>
      </c>
      <c r="E50" s="250">
        <f>E30*HLOOKUP($A50,'Model Org Stats'!$E$6:$CO$38,21, FALSE)</f>
        <v>733143193</v>
      </c>
      <c r="F50" s="250">
        <f>F30*HLOOKUP($A50,'Model Org Stats'!$E$6:$CO$38,21, FALSE)</f>
        <v>821926071</v>
      </c>
      <c r="G50" s="250">
        <f>G30*HLOOKUP($A50,'Model Org Stats'!$E$6:$CO$38,21, FALSE)</f>
        <v>473247940</v>
      </c>
      <c r="H50" s="250">
        <f>H30*HLOOKUP($A50,'Model Org Stats'!$E$6:$CO$38,21, FALSE)</f>
        <v>577284264</v>
      </c>
      <c r="I50" s="251">
        <f t="shared" si="4"/>
        <v>2749726977</v>
      </c>
    </row>
    <row r="51" spans="1:9" x14ac:dyDescent="0.15">
      <c r="A51" s="137" t="str">
        <f t="shared" si="3"/>
        <v>Local: Explanatory &amp; Analysis</v>
      </c>
      <c r="C51" s="137" t="s">
        <v>80</v>
      </c>
      <c r="D51" s="250">
        <f>D31*HLOOKUP($A51,'Model Org Stats'!$E$6:$CO$38,21, FALSE)</f>
        <v>2300672.5750000002</v>
      </c>
      <c r="E51" s="250">
        <f>E31*HLOOKUP($A51,'Model Org Stats'!$E$6:$CO$38,21, FALSE)</f>
        <v>18980548.743750002</v>
      </c>
      <c r="F51" s="250">
        <f>F31*HLOOKUP($A51,'Model Org Stats'!$E$6:$CO$38,21, FALSE)</f>
        <v>27416348.185416669</v>
      </c>
      <c r="G51" s="250">
        <f>G31*HLOOKUP($A51,'Model Org Stats'!$E$6:$CO$38,21, FALSE)</f>
        <v>16104708.025000002</v>
      </c>
      <c r="H51" s="250">
        <f>H31*HLOOKUP($A51,'Model Org Stats'!$E$6:$CO$38,21, FALSE)</f>
        <v>28183239.043750003</v>
      </c>
      <c r="I51" s="251">
        <f t="shared" si="4"/>
        <v>92985516.572916672</v>
      </c>
    </row>
    <row r="52" spans="1:9" x14ac:dyDescent="0.15">
      <c r="A52" s="137" t="str">
        <f t="shared" si="3"/>
        <v>Local: Investigative</v>
      </c>
      <c r="C52" s="137" t="s">
        <v>81</v>
      </c>
      <c r="D52" s="250">
        <f>D32*HLOOKUP($A52,'Model Org Stats'!$E$6:$CO$38,21, FALSE)</f>
        <v>1583434.3909090909</v>
      </c>
      <c r="E52" s="250">
        <f>E32*HLOOKUP($A52,'Model Org Stats'!$E$6:$CO$38,21, FALSE)</f>
        <v>5542020.3681818182</v>
      </c>
      <c r="F52" s="250">
        <f>F32*HLOOKUP($A52,'Model Org Stats'!$E$6:$CO$38,21, FALSE)</f>
        <v>3694680.2454545451</v>
      </c>
      <c r="G52" s="250">
        <f>G32*HLOOKUP($A52,'Model Org Stats'!$E$6:$CO$38,21, FALSE)</f>
        <v>1319528.6590909092</v>
      </c>
      <c r="H52" s="250">
        <f>H32*HLOOKUP($A52,'Model Org Stats'!$E$6:$CO$38,21, FALSE)</f>
        <v>1055622.9272727272</v>
      </c>
      <c r="I52" s="251">
        <f t="shared" si="4"/>
        <v>13195286.590909092</v>
      </c>
    </row>
    <row r="53" spans="1:9" x14ac:dyDescent="0.15">
      <c r="A53" s="137" t="str">
        <f t="shared" si="3"/>
        <v>Local: Current News &amp; Events</v>
      </c>
      <c r="B53" s="140"/>
      <c r="C53" s="140" t="s">
        <v>82</v>
      </c>
      <c r="D53" s="333">
        <f>D33*HLOOKUP($A53,'Model Org Stats'!$E$6:$CO$38,21, FALSE)</f>
        <v>524422474.36687493</v>
      </c>
      <c r="E53" s="333">
        <f>E33*HLOOKUP($A53,'Model Org Stats'!$E$6:$CO$38,21, FALSE)</f>
        <v>3076748685.2287498</v>
      </c>
      <c r="F53" s="333">
        <f>F33*HLOOKUP($A53,'Model Org Stats'!$E$6:$CO$38,21, FALSE)</f>
        <v>2897665080.9684372</v>
      </c>
      <c r="G53" s="333">
        <f>G33*HLOOKUP($A53,'Model Org Stats'!$E$6:$CO$38,21, FALSE)</f>
        <v>2262405762.7040625</v>
      </c>
      <c r="H53" s="333">
        <f>H33*HLOOKUP($A53,'Model Org Stats'!$E$6:$CO$38,21, FALSE)</f>
        <v>1465509380.4224999</v>
      </c>
      <c r="I53" s="255">
        <f t="shared" si="4"/>
        <v>10226751383.690624</v>
      </c>
    </row>
    <row r="54" spans="1:9" x14ac:dyDescent="0.15">
      <c r="A54" s="137" t="str">
        <f t="shared" si="3"/>
        <v>State: General</v>
      </c>
      <c r="B54" s="137" t="s">
        <v>83</v>
      </c>
      <c r="C54" s="137" t="s">
        <v>77</v>
      </c>
      <c r="D54" s="250">
        <f>D34*HLOOKUP($A54,'Model Org Stats'!$E$6:$CO$38,21, FALSE)</f>
        <v>12506676.404999999</v>
      </c>
      <c r="E54" s="250">
        <f>E34*HLOOKUP($A54,'Model Org Stats'!$E$6:$CO$38,21, FALSE)</f>
        <v>43773367.417499997</v>
      </c>
      <c r="F54" s="250">
        <f>F34*HLOOKUP($A54,'Model Org Stats'!$E$6:$CO$38,21, FALSE)</f>
        <v>29182244.945</v>
      </c>
      <c r="G54" s="250">
        <f>G34*HLOOKUP($A54,'Model Org Stats'!$E$6:$CO$38,21, FALSE)</f>
        <v>10422230.3375</v>
      </c>
      <c r="H54" s="250">
        <f>H34*HLOOKUP($A54,'Model Org Stats'!$E$6:$CO$38,21, FALSE)</f>
        <v>8337784.2699999996</v>
      </c>
      <c r="I54" s="310">
        <f>SUM(D54:H54)</f>
        <v>104222303.375</v>
      </c>
    </row>
    <row r="55" spans="1:9" x14ac:dyDescent="0.15">
      <c r="A55" s="137" t="str">
        <f t="shared" si="3"/>
        <v>State: Multiple Related Topics</v>
      </c>
      <c r="C55" s="137" t="s">
        <v>78</v>
      </c>
      <c r="D55" s="250">
        <f>D35*HLOOKUP($A55,'Model Org Stats'!$E$6:$CO$38,21, FALSE)</f>
        <v>48945225.674476601</v>
      </c>
      <c r="E55" s="250">
        <f>E35*HLOOKUP($A55,'Model Org Stats'!$E$6:$CO$38,21, FALSE)</f>
        <v>549260374.42727888</v>
      </c>
      <c r="F55" s="250">
        <f>F35*HLOOKUP($A55,'Model Org Stats'!$E$6:$CO$38,21, FALSE)</f>
        <v>920393970.73114574</v>
      </c>
      <c r="G55" s="250">
        <f>G35*HLOOKUP($A55,'Model Org Stats'!$E$6:$CO$38,21, FALSE)</f>
        <v>552617213.87647808</v>
      </c>
      <c r="H55" s="250">
        <f>H35*HLOOKUP($A55,'Model Org Stats'!$E$6:$CO$38,21, FALSE)</f>
        <v>1033431456.8834478</v>
      </c>
      <c r="I55" s="310">
        <f t="shared" ref="I55:I62" si="5">SUM(D55:H55)</f>
        <v>3104648241.5928268</v>
      </c>
    </row>
    <row r="56" spans="1:9" x14ac:dyDescent="0.15">
      <c r="A56" s="137" t="str">
        <f t="shared" si="3"/>
        <v>State: Single-Topic</v>
      </c>
      <c r="C56" s="137" t="s">
        <v>79</v>
      </c>
      <c r="D56" s="250">
        <f>D36*HLOOKUP($A56,'Model Org Stats'!$E$6:$CO$38,21, FALSE)</f>
        <v>3397980.75</v>
      </c>
      <c r="E56" s="250">
        <f>E36*HLOOKUP($A56,'Model Org Stats'!$E$6:$CO$38,21, FALSE)</f>
        <v>11892932.625</v>
      </c>
      <c r="F56" s="250">
        <f>F36*HLOOKUP($A56,'Model Org Stats'!$E$6:$CO$38,21, FALSE)</f>
        <v>7928621.75</v>
      </c>
      <c r="G56" s="250">
        <f>G36*HLOOKUP($A56,'Model Org Stats'!$E$6:$CO$38,21, FALSE)</f>
        <v>2831650.625</v>
      </c>
      <c r="H56" s="250">
        <f>H36*HLOOKUP($A56,'Model Org Stats'!$E$6:$CO$38,21, FALSE)</f>
        <v>2265320.5</v>
      </c>
      <c r="I56" s="310">
        <f t="shared" si="5"/>
        <v>28316506.25</v>
      </c>
    </row>
    <row r="57" spans="1:9" x14ac:dyDescent="0.15">
      <c r="A57" s="137" t="str">
        <f t="shared" si="3"/>
        <v>State: Explanatory &amp; Analysis</v>
      </c>
      <c r="C57" s="137" t="s">
        <v>80</v>
      </c>
      <c r="D57" s="250">
        <f>D37*HLOOKUP($A57,'Model Org Stats'!$E$6:$CO$38,21, FALSE)</f>
        <v>13177671.76</v>
      </c>
      <c r="E57" s="250">
        <f>E37*HLOOKUP($A57,'Model Org Stats'!$E$6:$CO$38,21, FALSE)</f>
        <v>46121851.160000004</v>
      </c>
      <c r="F57" s="250">
        <f>F37*HLOOKUP($A57,'Model Org Stats'!$E$6:$CO$38,21, FALSE)</f>
        <v>30747900.773333333</v>
      </c>
      <c r="G57" s="250">
        <f>G37*HLOOKUP($A57,'Model Org Stats'!$E$6:$CO$38,21, FALSE)</f>
        <v>10981393.133333333</v>
      </c>
      <c r="H57" s="250">
        <f>H37*HLOOKUP($A57,'Model Org Stats'!$E$6:$CO$38,21, FALSE)</f>
        <v>8785114.5066666678</v>
      </c>
      <c r="I57" s="310">
        <f t="shared" si="5"/>
        <v>109813931.33333331</v>
      </c>
    </row>
    <row r="58" spans="1:9" x14ac:dyDescent="0.15">
      <c r="A58" s="137" t="str">
        <f t="shared" si="3"/>
        <v>State: Investigative</v>
      </c>
      <c r="C58" s="137" t="s">
        <v>81</v>
      </c>
      <c r="D58" s="250">
        <f>D38*HLOOKUP($A58,'Model Org Stats'!$E$6:$CO$38,21, FALSE)</f>
        <v>17329617.243000001</v>
      </c>
      <c r="E58" s="250">
        <f>E38*HLOOKUP($A58,'Model Org Stats'!$E$6:$CO$38,21, FALSE)</f>
        <v>60653660.350500003</v>
      </c>
      <c r="F58" s="250">
        <f>F38*HLOOKUP($A58,'Model Org Stats'!$E$6:$CO$38,21, FALSE)</f>
        <v>40435773.567000002</v>
      </c>
      <c r="G58" s="250">
        <f>G38*HLOOKUP($A58,'Model Org Stats'!$E$6:$CO$38,21, FALSE)</f>
        <v>14441347.702500001</v>
      </c>
      <c r="H58" s="250">
        <f>H38*HLOOKUP($A58,'Model Org Stats'!$E$6:$CO$38,21, FALSE)</f>
        <v>11553078.162</v>
      </c>
      <c r="I58" s="310">
        <f t="shared" si="5"/>
        <v>144413477.02500001</v>
      </c>
    </row>
    <row r="59" spans="1:9" x14ac:dyDescent="0.15">
      <c r="A59" s="137" t="str">
        <f t="shared" si="3"/>
        <v>State: Current News &amp; Events</v>
      </c>
      <c r="B59" s="140"/>
      <c r="C59" s="140" t="s">
        <v>82</v>
      </c>
      <c r="D59" s="333">
        <f>D39*HLOOKUP($A59,'Model Org Stats'!$E$6:$CO$38,21, FALSE)</f>
        <v>8890046.415000001</v>
      </c>
      <c r="E59" s="333">
        <f>E39*HLOOKUP($A59,'Model Org Stats'!$E$6:$CO$38,21, FALSE)</f>
        <v>31115162.452500001</v>
      </c>
      <c r="F59" s="333">
        <f>F39*HLOOKUP($A59,'Model Org Stats'!$E$6:$CO$38,21, FALSE)</f>
        <v>20743441.635000002</v>
      </c>
      <c r="G59" s="333">
        <f>G39*HLOOKUP($A59,'Model Org Stats'!$E$6:$CO$38,21, FALSE)</f>
        <v>7408372.0125000002</v>
      </c>
      <c r="H59" s="333">
        <f>H39*HLOOKUP($A59,'Model Org Stats'!$E$6:$CO$38,21, FALSE)</f>
        <v>5926697.6100000003</v>
      </c>
      <c r="I59" s="255">
        <f t="shared" si="5"/>
        <v>74083720.125</v>
      </c>
    </row>
    <row r="60" spans="1:9" hidden="1" outlineLevel="1" x14ac:dyDescent="0.15">
      <c r="A60" s="137" t="str">
        <f t="shared" si="3"/>
        <v>Public Radio: Small</v>
      </c>
      <c r="B60" s="137" t="s">
        <v>84</v>
      </c>
      <c r="C60" s="137" t="s">
        <v>62</v>
      </c>
      <c r="D60" s="250">
        <f>D40*HLOOKUP($A60,'Model Org Stats'!$E$6:$CO$38,21, FALSE)</f>
        <v>0</v>
      </c>
      <c r="E60" s="250">
        <f>E40*HLOOKUP($A60,'Model Org Stats'!$E$6:$CO$38,21, FALSE)</f>
        <v>0</v>
      </c>
      <c r="F60" s="250">
        <f>F40*HLOOKUP($A60,'Model Org Stats'!$E$6:$CO$38,21, FALSE)</f>
        <v>0</v>
      </c>
      <c r="G60" s="250">
        <f>G40*HLOOKUP($A60,'Model Org Stats'!$E$6:$CO$38,21, FALSE)</f>
        <v>0</v>
      </c>
      <c r="H60" s="250">
        <f>H40*HLOOKUP($A60,'Model Org Stats'!$E$6:$CO$38,21, FALSE)</f>
        <v>0</v>
      </c>
      <c r="I60" s="310">
        <f t="shared" si="5"/>
        <v>0</v>
      </c>
    </row>
    <row r="61" spans="1:9" hidden="1" outlineLevel="1" x14ac:dyDescent="0.15">
      <c r="A61" s="137" t="str">
        <f>A41</f>
        <v>Public Radio: Medium</v>
      </c>
      <c r="C61" s="137" t="s">
        <v>63</v>
      </c>
      <c r="D61" s="250">
        <f>D41*HLOOKUP($A61,'Model Org Stats'!$E$6:$CO$38,21, FALSE)</f>
        <v>0</v>
      </c>
      <c r="E61" s="250">
        <f>E41*HLOOKUP($A61,'Model Org Stats'!$E$6:$CO$38,21, FALSE)</f>
        <v>0</v>
      </c>
      <c r="F61" s="250">
        <f>F41*HLOOKUP($A61,'Model Org Stats'!$E$6:$CO$38,21, FALSE)</f>
        <v>0</v>
      </c>
      <c r="G61" s="250">
        <f>G41*HLOOKUP($A61,'Model Org Stats'!$E$6:$CO$38,21, FALSE)</f>
        <v>0</v>
      </c>
      <c r="H61" s="250">
        <f>H41*HLOOKUP($A61,'Model Org Stats'!$E$6:$CO$38,21, FALSE)</f>
        <v>0</v>
      </c>
      <c r="I61" s="310">
        <f t="shared" si="5"/>
        <v>0</v>
      </c>
    </row>
    <row r="62" spans="1:9" hidden="1" outlineLevel="1" x14ac:dyDescent="0.15">
      <c r="A62" s="137" t="str">
        <f t="shared" si="3"/>
        <v>Public Radio: Large</v>
      </c>
      <c r="B62" s="140"/>
      <c r="C62" s="140" t="s">
        <v>64</v>
      </c>
      <c r="D62" s="333">
        <f>D42*HLOOKUP($A62,'Model Org Stats'!$E$6:$CO$38,21, FALSE)</f>
        <v>0</v>
      </c>
      <c r="E62" s="333">
        <f>E42*HLOOKUP($A62,'Model Org Stats'!$E$6:$CO$38,21, FALSE)</f>
        <v>0</v>
      </c>
      <c r="F62" s="333">
        <f>F42*HLOOKUP($A62,'Model Org Stats'!$E$6:$CO$38,21, FALSE)</f>
        <v>0</v>
      </c>
      <c r="G62" s="333">
        <f>G42*HLOOKUP($A62,'Model Org Stats'!$E$6:$CO$38,21, FALSE)</f>
        <v>0</v>
      </c>
      <c r="H62" s="333">
        <f>H42*HLOOKUP($A62,'Model Org Stats'!$E$6:$CO$38,21, FALSE)</f>
        <v>0</v>
      </c>
      <c r="I62" s="255">
        <f t="shared" si="5"/>
        <v>0</v>
      </c>
    </row>
    <row r="63" spans="1:9" s="173" customFormat="1" collapsed="1" x14ac:dyDescent="0.15">
      <c r="C63" s="251" t="s">
        <v>60</v>
      </c>
      <c r="D63" s="212">
        <f>SUM(D47:D62)</f>
        <v>1130576001.106535</v>
      </c>
      <c r="E63" s="212">
        <f t="shared" ref="E63:H63" si="6">SUM(E47:E62)</f>
        <v>6674198726.524272</v>
      </c>
      <c r="F63" s="212">
        <f t="shared" si="6"/>
        <v>6718955600.9234209</v>
      </c>
      <c r="G63" s="212">
        <f t="shared" si="6"/>
        <v>4792449288.1408987</v>
      </c>
      <c r="H63" s="212">
        <f t="shared" si="6"/>
        <v>4132101433.3397551</v>
      </c>
      <c r="I63" s="212">
        <f>SUM(I47:I62)</f>
        <v>23448281050.034882</v>
      </c>
    </row>
    <row r="65" spans="1:9" x14ac:dyDescent="0.15">
      <c r="B65" s="143" t="s">
        <v>68</v>
      </c>
      <c r="C65" s="143"/>
      <c r="D65" s="143"/>
      <c r="E65" s="143"/>
      <c r="F65" s="143"/>
      <c r="G65" s="143"/>
      <c r="H65" s="143"/>
      <c r="I65" s="143"/>
    </row>
    <row r="66" spans="1:9" ht="13" x14ac:dyDescent="0.15">
      <c r="B66" s="150" t="s">
        <v>74</v>
      </c>
      <c r="C66" s="150" t="s">
        <v>86</v>
      </c>
      <c r="D66" s="150" t="s">
        <v>61</v>
      </c>
      <c r="E66" s="150" t="s">
        <v>62</v>
      </c>
      <c r="F66" s="150" t="s">
        <v>63</v>
      </c>
      <c r="G66" s="150" t="s">
        <v>64</v>
      </c>
      <c r="H66" s="150" t="s">
        <v>65</v>
      </c>
      <c r="I66" s="150" t="s">
        <v>60</v>
      </c>
    </row>
    <row r="67" spans="1:9" x14ac:dyDescent="0.15">
      <c r="A67" s="137" t="str">
        <f t="shared" ref="A67:A82" si="7">A47</f>
        <v>Hyper-local: General</v>
      </c>
      <c r="B67" s="140" t="s">
        <v>76</v>
      </c>
      <c r="C67" s="140" t="s">
        <v>77</v>
      </c>
      <c r="D67" s="184">
        <f>D27*HLOOKUP($A67,'Model Org Stats'!$E$6:$CO$38,22, FALSE)</f>
        <v>151680</v>
      </c>
      <c r="E67" s="184">
        <f>E27*HLOOKUP($A67,'Model Org Stats'!$E$6:$CO$38,22, FALSE)</f>
        <v>1971840</v>
      </c>
      <c r="F67" s="184">
        <f>F27*HLOOKUP($A67,'Model Org Stats'!$E$6:$CO$38,22, FALSE)</f>
        <v>6522240</v>
      </c>
      <c r="G67" s="184">
        <f>G27*HLOOKUP($A67,'Model Org Stats'!$E$6:$CO$38,22, FALSE)</f>
        <v>5991360</v>
      </c>
      <c r="H67" s="184">
        <f>H27*HLOOKUP($A67,'Model Org Stats'!$E$6:$CO$38,22, FALSE)</f>
        <v>14460160</v>
      </c>
      <c r="I67" s="255">
        <f>SUM(D67:H67)</f>
        <v>29097280</v>
      </c>
    </row>
    <row r="68" spans="1:9" x14ac:dyDescent="0.15">
      <c r="A68" s="137" t="str">
        <f t="shared" si="7"/>
        <v>Local: General</v>
      </c>
      <c r="B68" s="137" t="s">
        <v>7</v>
      </c>
      <c r="C68" s="137" t="s">
        <v>77</v>
      </c>
      <c r="D68" s="173">
        <f>D28*HLOOKUP($A68,'Model Org Stats'!$E$6:$CO$38,22, FALSE)</f>
        <v>43714763.628235295</v>
      </c>
      <c r="E68" s="173">
        <f>E28*HLOOKUP($A68,'Model Org Stats'!$E$6:$CO$38,22, FALSE)</f>
        <v>268820672.88627452</v>
      </c>
      <c r="F68" s="173">
        <f>F28*HLOOKUP($A68,'Model Org Stats'!$E$6:$CO$38,22, FALSE)</f>
        <v>212292961.29803923</v>
      </c>
      <c r="G68" s="173">
        <f>G28*HLOOKUP($A68,'Model Org Stats'!$E$6:$CO$38,22, FALSE)</f>
        <v>127627011.05254902</v>
      </c>
      <c r="H68" s="173">
        <f>H28*HLOOKUP($A68,'Model Org Stats'!$E$6:$CO$38,22, FALSE)</f>
        <v>109035674.79686275</v>
      </c>
      <c r="I68" s="251">
        <f>SUM(D68:H68)</f>
        <v>761491083.66196072</v>
      </c>
    </row>
    <row r="69" spans="1:9" x14ac:dyDescent="0.15">
      <c r="A69" s="137" t="str">
        <f t="shared" si="7"/>
        <v>Local: Multiple Related Topics</v>
      </c>
      <c r="C69" s="137" t="s">
        <v>78</v>
      </c>
      <c r="D69" s="173">
        <f>D29*HLOOKUP($A69,'Model Org Stats'!$E$6:$CO$38,22, FALSE)</f>
        <v>199551237.3133333</v>
      </c>
      <c r="E69" s="173">
        <f>E29*HLOOKUP($A69,'Model Org Stats'!$E$6:$CO$38,22, FALSE)</f>
        <v>1170752660.4019046</v>
      </c>
      <c r="F69" s="173">
        <f>F29*HLOOKUP($A69,'Model Org Stats'!$E$6:$CO$38,22, FALSE)</f>
        <v>1102608451.1823809</v>
      </c>
      <c r="G69" s="173">
        <f>G29*HLOOKUP($A69,'Model Org Stats'!$E$6:$CO$38,22, FALSE)</f>
        <v>860882001.28619039</v>
      </c>
      <c r="H69" s="173">
        <f>H29*HLOOKUP($A69,'Model Org Stats'!$E$6:$CO$38,22, FALSE)</f>
        <v>557650033.03999996</v>
      </c>
      <c r="I69" s="251">
        <f t="shared" ref="I69:I73" si="8">SUM(D69:H69)</f>
        <v>3891444383.2238092</v>
      </c>
    </row>
    <row r="70" spans="1:9" x14ac:dyDescent="0.15">
      <c r="A70" s="137" t="str">
        <f t="shared" si="7"/>
        <v>Local: Single-Topic</v>
      </c>
      <c r="C70" s="137" t="s">
        <v>79</v>
      </c>
      <c r="D70" s="173">
        <f>D30*HLOOKUP($A70,'Model Org Stats'!$E$6:$CO$38,22, FALSE)</f>
        <v>110665051.84166667</v>
      </c>
      <c r="E70" s="173">
        <f>E30*HLOOKUP($A70,'Model Org Stats'!$E$6:$CO$38,22, FALSE)</f>
        <v>562935250.14166665</v>
      </c>
      <c r="F70" s="173">
        <f>F30*HLOOKUP($A70,'Model Org Stats'!$E$6:$CO$38,22, FALSE)</f>
        <v>631106123.32500005</v>
      </c>
      <c r="G70" s="173">
        <f>G30*HLOOKUP($A70,'Model Org Stats'!$E$6:$CO$38,22, FALSE)</f>
        <v>363377782.16666669</v>
      </c>
      <c r="H70" s="173">
        <f>H30*HLOOKUP($A70,'Model Org Stats'!$E$6:$CO$38,22, FALSE)</f>
        <v>443260831.80000001</v>
      </c>
      <c r="I70" s="251">
        <f t="shared" si="8"/>
        <v>2111345039.2750001</v>
      </c>
    </row>
    <row r="71" spans="1:9" x14ac:dyDescent="0.15">
      <c r="A71" s="137" t="str">
        <f t="shared" si="7"/>
        <v>Local: Explanatory &amp; Analysis</v>
      </c>
      <c r="C71" s="137" t="s">
        <v>80</v>
      </c>
      <c r="D71" s="173">
        <f>D31*HLOOKUP($A71,'Model Org Stats'!$E$6:$CO$38,22, FALSE)</f>
        <v>1508654.7699999998</v>
      </c>
      <c r="E71" s="173">
        <f>E31*HLOOKUP($A71,'Model Org Stats'!$E$6:$CO$38,22, FALSE)</f>
        <v>12446401.852499999</v>
      </c>
      <c r="F71" s="173">
        <f>F31*HLOOKUP($A71,'Model Org Stats'!$E$6:$CO$38,22, FALSE)</f>
        <v>17978136.009166665</v>
      </c>
      <c r="G71" s="173">
        <f>G31*HLOOKUP($A71,'Model Org Stats'!$E$6:$CO$38,22, FALSE)</f>
        <v>10560583.389999999</v>
      </c>
      <c r="H71" s="173">
        <f>H31*HLOOKUP($A71,'Model Org Stats'!$E$6:$CO$38,22, FALSE)</f>
        <v>18481020.932499997</v>
      </c>
      <c r="I71" s="251">
        <f t="shared" si="8"/>
        <v>60974796.954166658</v>
      </c>
    </row>
    <row r="72" spans="1:9" x14ac:dyDescent="0.15">
      <c r="A72" s="137" t="str">
        <f t="shared" si="7"/>
        <v>Local: Investigative</v>
      </c>
      <c r="C72" s="137" t="s">
        <v>81</v>
      </c>
      <c r="D72" s="173">
        <f>D32*HLOOKUP($A72,'Model Org Stats'!$E$6:$CO$38,22, FALSE)</f>
        <v>742633.9390909092</v>
      </c>
      <c r="E72" s="173">
        <f>E32*HLOOKUP($A72,'Model Org Stats'!$E$6:$CO$38,22, FALSE)</f>
        <v>2599218.7868181821</v>
      </c>
      <c r="F72" s="173">
        <f>F32*HLOOKUP($A72,'Model Org Stats'!$E$6:$CO$38,22, FALSE)</f>
        <v>1732812.5245454547</v>
      </c>
      <c r="G72" s="173">
        <f>G32*HLOOKUP($A72,'Model Org Stats'!$E$6:$CO$38,22, FALSE)</f>
        <v>618861.61590909096</v>
      </c>
      <c r="H72" s="173">
        <f>H32*HLOOKUP($A72,'Model Org Stats'!$E$6:$CO$38,22, FALSE)</f>
        <v>495089.29272727278</v>
      </c>
      <c r="I72" s="251">
        <f t="shared" si="8"/>
        <v>6188616.1590909101</v>
      </c>
    </row>
    <row r="73" spans="1:9" x14ac:dyDescent="0.15">
      <c r="A73" s="137" t="str">
        <f t="shared" si="7"/>
        <v>Local: Current News &amp; Events</v>
      </c>
      <c r="B73" s="140"/>
      <c r="C73" s="140" t="s">
        <v>82</v>
      </c>
      <c r="D73" s="184">
        <f>D33*HLOOKUP($A73,'Model Org Stats'!$E$6:$CO$38,22, FALSE)</f>
        <v>385611837.20937502</v>
      </c>
      <c r="E73" s="184">
        <f>E33*HLOOKUP($A73,'Model Org Stats'!$E$6:$CO$38,22, FALSE)</f>
        <v>2262356727.8937502</v>
      </c>
      <c r="F73" s="184">
        <f>F33*HLOOKUP($A73,'Model Org Stats'!$E$6:$CO$38,22, FALSE)</f>
        <v>2130675190.5296879</v>
      </c>
      <c r="G73" s="184">
        <f>G33*HLOOKUP($A73,'Model Org Stats'!$E$6:$CO$38,22, FALSE)</f>
        <v>1663564178.3328128</v>
      </c>
      <c r="H73" s="184">
        <f>H33*HLOOKUP($A73,'Model Org Stats'!$E$6:$CO$38,22, FALSE)</f>
        <v>1077600202.6125002</v>
      </c>
      <c r="I73" s="255">
        <f t="shared" si="8"/>
        <v>7519808136.578126</v>
      </c>
    </row>
    <row r="74" spans="1:9" x14ac:dyDescent="0.15">
      <c r="A74" s="137" t="str">
        <f t="shared" si="7"/>
        <v>State: General</v>
      </c>
      <c r="B74" s="137" t="s">
        <v>83</v>
      </c>
      <c r="C74" s="137" t="s">
        <v>77</v>
      </c>
      <c r="D74" s="173">
        <f>D34*HLOOKUP($A74,'Model Org Stats'!$E$6:$CO$38,22, FALSE)</f>
        <v>7109012.5919999992</v>
      </c>
      <c r="E74" s="173">
        <f>E34*HLOOKUP($A74,'Model Org Stats'!$E$6:$CO$38,22, FALSE)</f>
        <v>24881544.071999997</v>
      </c>
      <c r="F74" s="173">
        <f>F34*HLOOKUP($A74,'Model Org Stats'!$E$6:$CO$38,22, FALSE)</f>
        <v>16587696.047999999</v>
      </c>
      <c r="G74" s="173">
        <f>G34*HLOOKUP($A74,'Model Org Stats'!$E$6:$CO$38,22, FALSE)</f>
        <v>5924177.1599999992</v>
      </c>
      <c r="H74" s="173">
        <f>H34*HLOOKUP($A74,'Model Org Stats'!$E$6:$CO$38,22, FALSE)</f>
        <v>4739341.7280000001</v>
      </c>
      <c r="I74" s="310">
        <f t="shared" ref="I74:I82" si="9">SUM(D74:H74)</f>
        <v>59241771.599999994</v>
      </c>
    </row>
    <row r="75" spans="1:9" x14ac:dyDescent="0.15">
      <c r="A75" s="137" t="str">
        <f t="shared" si="7"/>
        <v>State: Multiple Related Topics</v>
      </c>
      <c r="C75" s="137" t="s">
        <v>78</v>
      </c>
      <c r="D75" s="173">
        <f>D35*HLOOKUP($A75,'Model Org Stats'!$E$6:$CO$38,22, FALSE)</f>
        <v>33331269.068016246</v>
      </c>
      <c r="E75" s="173">
        <f>E35*HLOOKUP($A75,'Model Org Stats'!$E$6:$CO$38,22, FALSE)</f>
        <v>374041493.85670918</v>
      </c>
      <c r="F75" s="173">
        <f>F35*HLOOKUP($A75,'Model Org Stats'!$E$6:$CO$38,22, FALSE)</f>
        <v>626780215.31765556</v>
      </c>
      <c r="G75" s="173">
        <f>G35*HLOOKUP($A75,'Model Org Stats'!$E$6:$CO$38,22, FALSE)</f>
        <v>376327472.05698401</v>
      </c>
      <c r="H75" s="173">
        <f>H35*HLOOKUP($A75,'Model Org Stats'!$E$6:$CO$38,22, FALSE)</f>
        <v>703757751.20179939</v>
      </c>
      <c r="I75" s="310">
        <f t="shared" si="9"/>
        <v>2114238201.5011644</v>
      </c>
    </row>
    <row r="76" spans="1:9" x14ac:dyDescent="0.15">
      <c r="A76" s="137" t="str">
        <f t="shared" si="7"/>
        <v>State: Single-Topic</v>
      </c>
      <c r="C76" s="137" t="s">
        <v>79</v>
      </c>
      <c r="D76" s="173">
        <f>D36*HLOOKUP($A76,'Model Org Stats'!$E$6:$CO$38,22, FALSE)</f>
        <v>1203357</v>
      </c>
      <c r="E76" s="173">
        <f>E36*HLOOKUP($A76,'Model Org Stats'!$E$6:$CO$38,22, FALSE)</f>
        <v>4211749.5</v>
      </c>
      <c r="F76" s="173">
        <f>F36*HLOOKUP($A76,'Model Org Stats'!$E$6:$CO$38,22, FALSE)</f>
        <v>2807833</v>
      </c>
      <c r="G76" s="173">
        <f>G36*HLOOKUP($A76,'Model Org Stats'!$E$6:$CO$38,22, FALSE)</f>
        <v>1002797.5</v>
      </c>
      <c r="H76" s="173">
        <f>H36*HLOOKUP($A76,'Model Org Stats'!$E$6:$CO$38,22, FALSE)</f>
        <v>802238</v>
      </c>
      <c r="I76" s="310">
        <f t="shared" si="9"/>
        <v>10027975</v>
      </c>
    </row>
    <row r="77" spans="1:9" x14ac:dyDescent="0.15">
      <c r="A77" s="137" t="str">
        <f t="shared" si="7"/>
        <v>State: Explanatory &amp; Analysis</v>
      </c>
      <c r="C77" s="137" t="s">
        <v>80</v>
      </c>
      <c r="D77" s="173">
        <f>D37*HLOOKUP($A77,'Model Org Stats'!$E$6:$CO$38,22, FALSE)</f>
        <v>10417332.789473685</v>
      </c>
      <c r="E77" s="173">
        <f>E37*HLOOKUP($A77,'Model Org Stats'!$E$6:$CO$38,22, FALSE)</f>
        <v>36460664.763157897</v>
      </c>
      <c r="F77" s="173">
        <f>F37*HLOOKUP($A77,'Model Org Stats'!$E$6:$CO$38,22, FALSE)</f>
        <v>24307109.842105266</v>
      </c>
      <c r="G77" s="173">
        <f>G37*HLOOKUP($A77,'Model Org Stats'!$E$6:$CO$38,22, FALSE)</f>
        <v>8681110.657894738</v>
      </c>
      <c r="H77" s="173">
        <f>H37*HLOOKUP($A77,'Model Org Stats'!$E$6:$CO$38,22, FALSE)</f>
        <v>6944888.5263157897</v>
      </c>
      <c r="I77" s="310">
        <f t="shared" si="9"/>
        <v>86811106.57894738</v>
      </c>
    </row>
    <row r="78" spans="1:9" x14ac:dyDescent="0.15">
      <c r="A78" s="137" t="str">
        <f t="shared" si="7"/>
        <v>State: Investigative</v>
      </c>
      <c r="C78" s="137" t="s">
        <v>81</v>
      </c>
      <c r="D78" s="173">
        <f>D38*HLOOKUP($A78,'Model Org Stats'!$E$6:$CO$38,22, FALSE)</f>
        <v>6501272.9850000003</v>
      </c>
      <c r="E78" s="173">
        <f>E38*HLOOKUP($A78,'Model Org Stats'!$E$6:$CO$38,22, FALSE)</f>
        <v>22754455.447500002</v>
      </c>
      <c r="F78" s="173">
        <f>F38*HLOOKUP($A78,'Model Org Stats'!$E$6:$CO$38,22, FALSE)</f>
        <v>15169636.965</v>
      </c>
      <c r="G78" s="173">
        <f>G38*HLOOKUP($A78,'Model Org Stats'!$E$6:$CO$38,22, FALSE)</f>
        <v>5417727.4875000007</v>
      </c>
      <c r="H78" s="173">
        <f>H38*HLOOKUP($A78,'Model Org Stats'!$E$6:$CO$38,22, FALSE)</f>
        <v>4334181.99</v>
      </c>
      <c r="I78" s="310">
        <f t="shared" si="9"/>
        <v>54177274.875000007</v>
      </c>
    </row>
    <row r="79" spans="1:9" x14ac:dyDescent="0.15">
      <c r="A79" s="137" t="str">
        <f t="shared" si="7"/>
        <v>State: Current News &amp; Events</v>
      </c>
      <c r="B79" s="140"/>
      <c r="C79" s="140" t="s">
        <v>82</v>
      </c>
      <c r="D79" s="184">
        <f>D39*HLOOKUP($A79,'Model Org Stats'!$E$6:$CO$38,22, FALSE)</f>
        <v>7119513.8549999995</v>
      </c>
      <c r="E79" s="184">
        <f>E39*HLOOKUP($A79,'Model Org Stats'!$E$6:$CO$38,22, FALSE)</f>
        <v>24918298.4925</v>
      </c>
      <c r="F79" s="184">
        <f>F39*HLOOKUP($A79,'Model Org Stats'!$E$6:$CO$38,22, FALSE)</f>
        <v>16612198.994999999</v>
      </c>
      <c r="G79" s="184">
        <f>G39*HLOOKUP($A79,'Model Org Stats'!$E$6:$CO$38,22, FALSE)</f>
        <v>5932928.2124999994</v>
      </c>
      <c r="H79" s="184">
        <f>H39*HLOOKUP($A79,'Model Org Stats'!$E$6:$CO$38,22, FALSE)</f>
        <v>4746342.57</v>
      </c>
      <c r="I79" s="255">
        <f t="shared" si="9"/>
        <v>59329282.125</v>
      </c>
    </row>
    <row r="80" spans="1:9" hidden="1" outlineLevel="1" x14ac:dyDescent="0.15">
      <c r="A80" s="137" t="str">
        <f t="shared" si="7"/>
        <v>Public Radio: Small</v>
      </c>
      <c r="B80" s="137" t="s">
        <v>84</v>
      </c>
      <c r="C80" s="137" t="s">
        <v>62</v>
      </c>
      <c r="D80" s="173">
        <f>D40*HLOOKUP($A80,'Model Org Stats'!$E$6:$CO$38,22, FALSE)</f>
        <v>0</v>
      </c>
      <c r="E80" s="173">
        <f>E40*HLOOKUP($A80,'Model Org Stats'!$E$6:$CO$38,22, FALSE)</f>
        <v>0</v>
      </c>
      <c r="F80" s="173">
        <f>F40*HLOOKUP($A80,'Model Org Stats'!$E$6:$CO$38,22, FALSE)</f>
        <v>0</v>
      </c>
      <c r="G80" s="173">
        <f>G40*HLOOKUP($A80,'Model Org Stats'!$E$6:$CO$38,22, FALSE)</f>
        <v>0</v>
      </c>
      <c r="H80" s="173">
        <f>H40*HLOOKUP($A80,'Model Org Stats'!$E$6:$CO$38,22, FALSE)</f>
        <v>0</v>
      </c>
      <c r="I80" s="310">
        <f t="shared" si="9"/>
        <v>0</v>
      </c>
    </row>
    <row r="81" spans="1:9" hidden="1" outlineLevel="1" x14ac:dyDescent="0.15">
      <c r="A81" s="137" t="str">
        <f t="shared" si="7"/>
        <v>Public Radio: Medium</v>
      </c>
      <c r="C81" s="137" t="s">
        <v>63</v>
      </c>
      <c r="D81" s="173">
        <f>D41*HLOOKUP($A81,'Model Org Stats'!$E$6:$CO$38,22, FALSE)</f>
        <v>0</v>
      </c>
      <c r="E81" s="173">
        <f>E41*HLOOKUP($A81,'Model Org Stats'!$E$6:$CO$38,22, FALSE)</f>
        <v>0</v>
      </c>
      <c r="F81" s="173">
        <f>F41*HLOOKUP($A81,'Model Org Stats'!$E$6:$CO$38,22, FALSE)</f>
        <v>0</v>
      </c>
      <c r="G81" s="173">
        <f>G41*HLOOKUP($A81,'Model Org Stats'!$E$6:$CO$38,22, FALSE)</f>
        <v>0</v>
      </c>
      <c r="H81" s="173">
        <f>H41*HLOOKUP($A81,'Model Org Stats'!$E$6:$CO$38,22, FALSE)</f>
        <v>0</v>
      </c>
      <c r="I81" s="310">
        <f t="shared" si="9"/>
        <v>0</v>
      </c>
    </row>
    <row r="82" spans="1:9" hidden="1" outlineLevel="1" x14ac:dyDescent="0.15">
      <c r="A82" s="137" t="str">
        <f t="shared" si="7"/>
        <v>Public Radio: Large</v>
      </c>
      <c r="B82" s="140"/>
      <c r="C82" s="140" t="s">
        <v>64</v>
      </c>
      <c r="D82" s="184">
        <f>D42*HLOOKUP($A82,'Model Org Stats'!$E$6:$CO$38,22, FALSE)</f>
        <v>0</v>
      </c>
      <c r="E82" s="184">
        <f>E42*HLOOKUP($A82,'Model Org Stats'!$E$6:$CO$38,22, FALSE)</f>
        <v>0</v>
      </c>
      <c r="F82" s="184">
        <f>F42*HLOOKUP($A82,'Model Org Stats'!$E$6:$CO$38,22, FALSE)</f>
        <v>0</v>
      </c>
      <c r="G82" s="184">
        <f>G42*HLOOKUP($A82,'Model Org Stats'!$E$6:$CO$38,22, FALSE)</f>
        <v>0</v>
      </c>
      <c r="H82" s="184">
        <f>H42*HLOOKUP($A82,'Model Org Stats'!$E$6:$CO$38,22, FALSE)</f>
        <v>0</v>
      </c>
      <c r="I82" s="255">
        <f t="shared" si="9"/>
        <v>0</v>
      </c>
    </row>
    <row r="83" spans="1:9" s="173" customFormat="1" collapsed="1" x14ac:dyDescent="0.15">
      <c r="C83" s="251" t="s">
        <v>60</v>
      </c>
      <c r="D83" s="251">
        <f>SUM(D67:D82)</f>
        <v>807627616.99119115</v>
      </c>
      <c r="E83" s="251">
        <f t="shared" ref="E83:I83" si="10">SUM(E67:E82)</f>
        <v>4769150978.0947819</v>
      </c>
      <c r="F83" s="251">
        <f t="shared" si="10"/>
        <v>4805180605.036581</v>
      </c>
      <c r="G83" s="251">
        <f t="shared" si="10"/>
        <v>3435907990.9190068</v>
      </c>
      <c r="H83" s="251">
        <f t="shared" si="10"/>
        <v>2946307756.4907055</v>
      </c>
      <c r="I83" s="251">
        <f t="shared" si="10"/>
        <v>16764174947.532267</v>
      </c>
    </row>
    <row r="85" spans="1:9" x14ac:dyDescent="0.15">
      <c r="B85" s="143" t="s">
        <v>87</v>
      </c>
      <c r="C85" s="143"/>
      <c r="D85" s="143"/>
      <c r="E85" s="143"/>
      <c r="F85" s="143"/>
      <c r="G85" s="143"/>
      <c r="H85" s="143"/>
      <c r="I85" s="143"/>
    </row>
    <row r="86" spans="1:9" ht="13" x14ac:dyDescent="0.15">
      <c r="B86" s="150" t="s">
        <v>74</v>
      </c>
      <c r="C86" s="150" t="s">
        <v>86</v>
      </c>
      <c r="D86" s="150" t="s">
        <v>61</v>
      </c>
      <c r="E86" s="150" t="s">
        <v>62</v>
      </c>
      <c r="F86" s="150" t="s">
        <v>63</v>
      </c>
      <c r="G86" s="150" t="s">
        <v>64</v>
      </c>
      <c r="H86" s="150" t="s">
        <v>65</v>
      </c>
      <c r="I86" s="150" t="s">
        <v>60</v>
      </c>
    </row>
    <row r="87" spans="1:9" x14ac:dyDescent="0.15">
      <c r="B87" s="140" t="s">
        <v>76</v>
      </c>
      <c r="C87" s="140" t="s">
        <v>77</v>
      </c>
      <c r="D87" s="253">
        <f t="shared" ref="D87:H96" si="11">D47+D67</f>
        <v>379200</v>
      </c>
      <c r="E87" s="253">
        <f t="shared" si="11"/>
        <v>4929600</v>
      </c>
      <c r="F87" s="253">
        <f t="shared" si="11"/>
        <v>16305600</v>
      </c>
      <c r="G87" s="253">
        <f t="shared" si="11"/>
        <v>14978400</v>
      </c>
      <c r="H87" s="253">
        <f t="shared" si="11"/>
        <v>36150400</v>
      </c>
      <c r="I87" s="255">
        <f>SUM(D87:H87)</f>
        <v>72743200</v>
      </c>
    </row>
    <row r="88" spans="1:9" x14ac:dyDescent="0.15">
      <c r="B88" s="137" t="s">
        <v>7</v>
      </c>
      <c r="C88" s="137" t="s">
        <v>77</v>
      </c>
      <c r="D88" s="194">
        <f t="shared" si="11"/>
        <v>111176353.78117648</v>
      </c>
      <c r="E88" s="194">
        <f t="shared" si="11"/>
        <v>683670681.2980392</v>
      </c>
      <c r="F88" s="194">
        <f t="shared" si="11"/>
        <v>539908154.85686278</v>
      </c>
      <c r="G88" s="194">
        <f t="shared" si="11"/>
        <v>324583837.47607845</v>
      </c>
      <c r="H88" s="194">
        <f t="shared" si="11"/>
        <v>277301939.89098036</v>
      </c>
      <c r="I88" s="251">
        <f>SUM(D88:H88)</f>
        <v>1936640967.3031373</v>
      </c>
    </row>
    <row r="89" spans="1:9" x14ac:dyDescent="0.15">
      <c r="C89" s="137" t="s">
        <v>78</v>
      </c>
      <c r="D89" s="194">
        <f t="shared" si="11"/>
        <v>485758819.68666661</v>
      </c>
      <c r="E89" s="194">
        <f t="shared" si="11"/>
        <v>2849911822.7409525</v>
      </c>
      <c r="F89" s="194">
        <f t="shared" si="11"/>
        <v>2684031364.7461905</v>
      </c>
      <c r="G89" s="194">
        <f t="shared" si="11"/>
        <v>2095607275.9280953</v>
      </c>
      <c r="H89" s="194">
        <f t="shared" si="11"/>
        <v>1357463002.96</v>
      </c>
      <c r="I89" s="251">
        <f t="shared" ref="I89:I93" si="12">SUM(D89:H89)</f>
        <v>9472772286.0619049</v>
      </c>
    </row>
    <row r="90" spans="1:9" x14ac:dyDescent="0.15">
      <c r="C90" s="137" t="s">
        <v>79</v>
      </c>
      <c r="D90" s="194">
        <f t="shared" si="11"/>
        <v>254790560.84166667</v>
      </c>
      <c r="E90" s="194">
        <f t="shared" si="11"/>
        <v>1296078443.1416667</v>
      </c>
      <c r="F90" s="194">
        <f t="shared" si="11"/>
        <v>1453032194.325</v>
      </c>
      <c r="G90" s="194">
        <f t="shared" si="11"/>
        <v>836625722.16666675</v>
      </c>
      <c r="H90" s="194">
        <f t="shared" si="11"/>
        <v>1020545095.8</v>
      </c>
      <c r="I90" s="251">
        <f t="shared" si="12"/>
        <v>4861072016.2750006</v>
      </c>
    </row>
    <row r="91" spans="1:9" x14ac:dyDescent="0.15">
      <c r="C91" s="137" t="s">
        <v>80</v>
      </c>
      <c r="D91" s="194">
        <f t="shared" si="11"/>
        <v>3809327.3449999997</v>
      </c>
      <c r="E91" s="194">
        <f t="shared" si="11"/>
        <v>31426950.596250001</v>
      </c>
      <c r="F91" s="194">
        <f t="shared" si="11"/>
        <v>45394484.194583334</v>
      </c>
      <c r="G91" s="194">
        <f t="shared" si="11"/>
        <v>26665291.414999999</v>
      </c>
      <c r="H91" s="194">
        <f t="shared" si="11"/>
        <v>46664259.97625</v>
      </c>
      <c r="I91" s="251">
        <f t="shared" si="12"/>
        <v>153960313.52708334</v>
      </c>
    </row>
    <row r="92" spans="1:9" x14ac:dyDescent="0.15">
      <c r="C92" s="137" t="s">
        <v>81</v>
      </c>
      <c r="D92" s="194">
        <f t="shared" si="11"/>
        <v>2326068.33</v>
      </c>
      <c r="E92" s="194">
        <f t="shared" si="11"/>
        <v>8141239.1550000003</v>
      </c>
      <c r="F92" s="194">
        <f t="shared" si="11"/>
        <v>5427492.7699999996</v>
      </c>
      <c r="G92" s="194">
        <f t="shared" si="11"/>
        <v>1938390.2750000001</v>
      </c>
      <c r="H92" s="194">
        <f t="shared" si="11"/>
        <v>1550712.22</v>
      </c>
      <c r="I92" s="251">
        <f t="shared" si="12"/>
        <v>19383902.749999996</v>
      </c>
    </row>
    <row r="93" spans="1:9" x14ac:dyDescent="0.15">
      <c r="B93" s="140"/>
      <c r="C93" s="140" t="s">
        <v>82</v>
      </c>
      <c r="D93" s="253">
        <f t="shared" si="11"/>
        <v>910034311.57624996</v>
      </c>
      <c r="E93" s="253">
        <f t="shared" si="11"/>
        <v>5339105413.1224995</v>
      </c>
      <c r="F93" s="253">
        <f t="shared" si="11"/>
        <v>5028340271.4981251</v>
      </c>
      <c r="G93" s="253">
        <f t="shared" si="11"/>
        <v>3925969941.0368752</v>
      </c>
      <c r="H93" s="253">
        <f t="shared" si="11"/>
        <v>2543109583.0349998</v>
      </c>
      <c r="I93" s="255">
        <f t="shared" si="12"/>
        <v>17746559520.268749</v>
      </c>
    </row>
    <row r="94" spans="1:9" x14ac:dyDescent="0.15">
      <c r="B94" s="137" t="s">
        <v>83</v>
      </c>
      <c r="C94" s="137" t="s">
        <v>77</v>
      </c>
      <c r="D94" s="194">
        <f t="shared" si="11"/>
        <v>19615688.996999998</v>
      </c>
      <c r="E94" s="194">
        <f t="shared" si="11"/>
        <v>68654911.489499986</v>
      </c>
      <c r="F94" s="194">
        <f t="shared" si="11"/>
        <v>45769940.993000001</v>
      </c>
      <c r="G94" s="194">
        <f t="shared" si="11"/>
        <v>16346407.497499999</v>
      </c>
      <c r="H94" s="194">
        <f t="shared" si="11"/>
        <v>13077125.998</v>
      </c>
      <c r="I94" s="310">
        <f t="shared" ref="I94:I99" si="13">SUM(D94:H94)</f>
        <v>163464074.97499996</v>
      </c>
    </row>
    <row r="95" spans="1:9" x14ac:dyDescent="0.15">
      <c r="C95" s="137" t="s">
        <v>78</v>
      </c>
      <c r="D95" s="194">
        <f t="shared" si="11"/>
        <v>82276494.742492855</v>
      </c>
      <c r="E95" s="194">
        <f t="shared" si="11"/>
        <v>923301868.283988</v>
      </c>
      <c r="F95" s="194">
        <f t="shared" si="11"/>
        <v>1547174186.0488014</v>
      </c>
      <c r="G95" s="194">
        <f t="shared" si="11"/>
        <v>928944685.93346214</v>
      </c>
      <c r="H95" s="194">
        <f t="shared" si="11"/>
        <v>1737189208.085247</v>
      </c>
      <c r="I95" s="310">
        <f t="shared" si="13"/>
        <v>5218886443.0939913</v>
      </c>
    </row>
    <row r="96" spans="1:9" x14ac:dyDescent="0.15">
      <c r="C96" s="137" t="s">
        <v>79</v>
      </c>
      <c r="D96" s="194">
        <f t="shared" si="11"/>
        <v>4601337.75</v>
      </c>
      <c r="E96" s="194">
        <f t="shared" si="11"/>
        <v>16104682.125</v>
      </c>
      <c r="F96" s="194">
        <f t="shared" si="11"/>
        <v>10736454.75</v>
      </c>
      <c r="G96" s="194">
        <f t="shared" si="11"/>
        <v>3834448.125</v>
      </c>
      <c r="H96" s="194">
        <f t="shared" si="11"/>
        <v>3067558.5</v>
      </c>
      <c r="I96" s="310">
        <f t="shared" si="13"/>
        <v>38344481.25</v>
      </c>
    </row>
    <row r="97" spans="1:10" x14ac:dyDescent="0.15">
      <c r="C97" s="137" t="s">
        <v>80</v>
      </c>
      <c r="D97" s="194">
        <f>D57+D77</f>
        <v>23595004.549473684</v>
      </c>
      <c r="E97" s="194">
        <f t="shared" ref="E97:H97" si="14">E57+E77</f>
        <v>82582515.923157901</v>
      </c>
      <c r="F97" s="194">
        <f t="shared" si="14"/>
        <v>55055010.615438595</v>
      </c>
      <c r="G97" s="194">
        <f t="shared" si="14"/>
        <v>19662503.791228071</v>
      </c>
      <c r="H97" s="194">
        <f t="shared" si="14"/>
        <v>15730003.032982457</v>
      </c>
      <c r="I97" s="310">
        <f t="shared" si="13"/>
        <v>196625037.91228074</v>
      </c>
    </row>
    <row r="98" spans="1:10" x14ac:dyDescent="0.15">
      <c r="C98" s="137" t="s">
        <v>81</v>
      </c>
      <c r="D98" s="194">
        <f t="shared" ref="D98:H98" si="15">D58+D78</f>
        <v>23830890.228</v>
      </c>
      <c r="E98" s="194">
        <f t="shared" si="15"/>
        <v>83408115.798000008</v>
      </c>
      <c r="F98" s="194">
        <f t="shared" si="15"/>
        <v>55605410.532000005</v>
      </c>
      <c r="G98" s="194">
        <f t="shared" si="15"/>
        <v>19859075.190000001</v>
      </c>
      <c r="H98" s="194">
        <f t="shared" si="15"/>
        <v>15887260.152000001</v>
      </c>
      <c r="I98" s="310">
        <f t="shared" si="13"/>
        <v>198590751.90000004</v>
      </c>
    </row>
    <row r="99" spans="1:10" x14ac:dyDescent="0.15">
      <c r="B99" s="140"/>
      <c r="C99" s="140" t="s">
        <v>82</v>
      </c>
      <c r="D99" s="253">
        <f t="shared" ref="D99:H99" si="16">D59+D79</f>
        <v>16009560.27</v>
      </c>
      <c r="E99" s="253">
        <f t="shared" si="16"/>
        <v>56033460.945</v>
      </c>
      <c r="F99" s="253">
        <f t="shared" si="16"/>
        <v>37355640.630000003</v>
      </c>
      <c r="G99" s="253">
        <f t="shared" si="16"/>
        <v>13341300.225</v>
      </c>
      <c r="H99" s="253">
        <f t="shared" si="16"/>
        <v>10673040.18</v>
      </c>
      <c r="I99" s="255">
        <f t="shared" si="13"/>
        <v>133413002.25</v>
      </c>
    </row>
    <row r="100" spans="1:10" hidden="1" outlineLevel="1" x14ac:dyDescent="0.15">
      <c r="B100" s="137" t="s">
        <v>84</v>
      </c>
      <c r="C100" s="137" t="s">
        <v>62</v>
      </c>
      <c r="D100" s="194">
        <f t="shared" ref="D100:H100" si="17">D60+D80</f>
        <v>0</v>
      </c>
      <c r="E100" s="194">
        <f t="shared" si="17"/>
        <v>0</v>
      </c>
      <c r="F100" s="194">
        <f t="shared" si="17"/>
        <v>0</v>
      </c>
      <c r="G100" s="194">
        <f t="shared" si="17"/>
        <v>0</v>
      </c>
      <c r="H100" s="194">
        <f t="shared" si="17"/>
        <v>0</v>
      </c>
      <c r="I100" s="310">
        <f>SUM(D100:H100)</f>
        <v>0</v>
      </c>
    </row>
    <row r="101" spans="1:10" hidden="1" outlineLevel="1" x14ac:dyDescent="0.15">
      <c r="C101" s="137" t="s">
        <v>63</v>
      </c>
      <c r="D101" s="194">
        <f t="shared" ref="D101:H101" si="18">D61+D81</f>
        <v>0</v>
      </c>
      <c r="E101" s="194">
        <f t="shared" si="18"/>
        <v>0</v>
      </c>
      <c r="F101" s="194">
        <f t="shared" si="18"/>
        <v>0</v>
      </c>
      <c r="G101" s="194">
        <f t="shared" si="18"/>
        <v>0</v>
      </c>
      <c r="H101" s="194">
        <f t="shared" si="18"/>
        <v>0</v>
      </c>
      <c r="I101" s="310">
        <f t="shared" ref="I101:I102" si="19">SUM(D101:H101)</f>
        <v>0</v>
      </c>
    </row>
    <row r="102" spans="1:10" hidden="1" outlineLevel="1" x14ac:dyDescent="0.15">
      <c r="B102" s="140"/>
      <c r="C102" s="140" t="s">
        <v>64</v>
      </c>
      <c r="D102" s="253">
        <f t="shared" ref="D102:H102" si="20">D62+D82</f>
        <v>0</v>
      </c>
      <c r="E102" s="253">
        <f t="shared" si="20"/>
        <v>0</v>
      </c>
      <c r="F102" s="253">
        <f t="shared" si="20"/>
        <v>0</v>
      </c>
      <c r="G102" s="253">
        <f t="shared" si="20"/>
        <v>0</v>
      </c>
      <c r="H102" s="253">
        <f t="shared" si="20"/>
        <v>0</v>
      </c>
      <c r="I102" s="255">
        <f t="shared" si="19"/>
        <v>0</v>
      </c>
    </row>
    <row r="103" spans="1:10" s="173" customFormat="1" collapsed="1" x14ac:dyDescent="0.15">
      <c r="C103" s="251" t="s">
        <v>60</v>
      </c>
      <c r="D103" s="251">
        <f t="shared" ref="D103:I103" si="21">SUM(D87:D96)</f>
        <v>1874768163.0502527</v>
      </c>
      <c r="E103" s="251">
        <f t="shared" si="21"/>
        <v>11221325611.952896</v>
      </c>
      <c r="F103" s="251">
        <f t="shared" si="21"/>
        <v>11376120144.182564</v>
      </c>
      <c r="G103" s="251">
        <f t="shared" si="21"/>
        <v>8175494399.8536787</v>
      </c>
      <c r="H103" s="251">
        <f t="shared" si="21"/>
        <v>7036118886.465477</v>
      </c>
      <c r="I103" s="251">
        <f t="shared" si="21"/>
        <v>39683827205.504868</v>
      </c>
    </row>
    <row r="105" spans="1:10" x14ac:dyDescent="0.15">
      <c r="B105" s="143" t="s">
        <v>88</v>
      </c>
      <c r="C105" s="143"/>
      <c r="D105" s="143"/>
      <c r="E105" s="143"/>
      <c r="F105" s="143"/>
      <c r="G105" s="143"/>
      <c r="H105" s="143"/>
      <c r="I105" s="143"/>
    </row>
    <row r="106" spans="1:10" ht="13" x14ac:dyDescent="0.15">
      <c r="B106" s="150" t="s">
        <v>74</v>
      </c>
      <c r="C106" s="150" t="s">
        <v>86</v>
      </c>
      <c r="D106" s="150" t="s">
        <v>61</v>
      </c>
      <c r="E106" s="150" t="s">
        <v>62</v>
      </c>
      <c r="F106" s="150" t="s">
        <v>63</v>
      </c>
      <c r="G106" s="150" t="s">
        <v>64</v>
      </c>
      <c r="H106" s="150" t="s">
        <v>65</v>
      </c>
      <c r="I106" s="150" t="s">
        <v>60</v>
      </c>
    </row>
    <row r="107" spans="1:10" x14ac:dyDescent="0.15">
      <c r="A107" s="137" t="str">
        <f>A8</f>
        <v>Hyper-local: General</v>
      </c>
      <c r="B107" s="140" t="s">
        <v>76</v>
      </c>
      <c r="C107" s="140" t="s">
        <v>77</v>
      </c>
      <c r="D107" s="141">
        <f>D27*HLOOKUP($A107,'Model Org Stats'!$E$6:$CO$38,26, FALSE)</f>
        <v>18</v>
      </c>
      <c r="E107" s="141">
        <f>E27*HLOOKUP($A107,'Model Org Stats'!$E$6:$CO$38,26, FALSE)</f>
        <v>234</v>
      </c>
      <c r="F107" s="141">
        <f>F27*HLOOKUP($A107,'Model Org Stats'!$E$6:$CO$38,26, FALSE)</f>
        <v>774</v>
      </c>
      <c r="G107" s="141">
        <f>G27*HLOOKUP($A107,'Model Org Stats'!$E$6:$CO$38,26, FALSE)</f>
        <v>711</v>
      </c>
      <c r="H107" s="141">
        <f>H27*HLOOKUP($A107,'Model Org Stats'!$E$6:$CO$38,26, FALSE)</f>
        <v>1716</v>
      </c>
      <c r="I107" s="254">
        <f>SUM(D107:H107)</f>
        <v>3453</v>
      </c>
    </row>
    <row r="108" spans="1:10" x14ac:dyDescent="0.15">
      <c r="A108" s="137" t="str">
        <f t="shared" ref="A108:A122" si="22">A9</f>
        <v>Local: General</v>
      </c>
      <c r="B108" s="137" t="s">
        <v>7</v>
      </c>
      <c r="C108" s="137" t="s">
        <v>77</v>
      </c>
      <c r="D108" s="139">
        <f>D28*HLOOKUP($A108,'Model Org Stats'!$E$6:$CO$38,26, FALSE)</f>
        <v>930.9</v>
      </c>
      <c r="E108" s="139">
        <f>E28*HLOOKUP($A108,'Model Org Stats'!$E$6:$CO$38,26, FALSE)</f>
        <v>5724.5</v>
      </c>
      <c r="F108" s="139">
        <f>F28*HLOOKUP($A108,'Model Org Stats'!$E$6:$CO$38,26, FALSE)</f>
        <v>4520.75</v>
      </c>
      <c r="G108" s="139">
        <f>G28*HLOOKUP($A108,'Model Org Stats'!$E$6:$CO$38,26, FALSE)</f>
        <v>2717.7999999999997</v>
      </c>
      <c r="H108" s="139">
        <f>H28*HLOOKUP($A108,'Model Org Stats'!$E$6:$CO$38,26, FALSE)</f>
        <v>2321.8999999999996</v>
      </c>
      <c r="I108" s="156">
        <f>SUM(D108:H108)</f>
        <v>16215.849999999999</v>
      </c>
    </row>
    <row r="109" spans="1:10" x14ac:dyDescent="0.15">
      <c r="A109" s="137" t="str">
        <f t="shared" si="22"/>
        <v>Local: Multiple Related Topics</v>
      </c>
      <c r="C109" s="137" t="s">
        <v>78</v>
      </c>
      <c r="D109" s="139">
        <f>D29*HLOOKUP($A109,'Model Org Stats'!$E$6:$CO$38,26, FALSE)</f>
        <v>4866.1136363636369</v>
      </c>
      <c r="E109" s="139">
        <f>E29*HLOOKUP($A109,'Model Org Stats'!$E$6:$CO$38,26, FALSE)</f>
        <v>28549.136363636364</v>
      </c>
      <c r="F109" s="139">
        <f>F29*HLOOKUP($A109,'Model Org Stats'!$E$6:$CO$38,26, FALSE)</f>
        <v>26887.420454545456</v>
      </c>
      <c r="G109" s="139">
        <f>G29*HLOOKUP($A109,'Model Org Stats'!$E$6:$CO$38,26, FALSE)</f>
        <v>20992.852272727276</v>
      </c>
      <c r="H109" s="139">
        <f>H29*HLOOKUP($A109,'Model Org Stats'!$E$6:$CO$38,26, FALSE)</f>
        <v>13598.454545454546</v>
      </c>
      <c r="I109" s="156">
        <f t="shared" ref="I109:I112" si="23">SUM(D109:H109)</f>
        <v>94893.977272727279</v>
      </c>
    </row>
    <row r="110" spans="1:10" x14ac:dyDescent="0.15">
      <c r="A110" s="137" t="str">
        <f t="shared" si="22"/>
        <v>Local: Single-Topic</v>
      </c>
      <c r="C110" s="137" t="s">
        <v>79</v>
      </c>
      <c r="D110" s="139">
        <f>D30*HLOOKUP($A110,'Model Org Stats'!$E$6:$CO$38,26, FALSE)</f>
        <v>1781.0833333333333</v>
      </c>
      <c r="E110" s="139">
        <f>E30*HLOOKUP($A110,'Model Org Stats'!$E$6:$CO$38,26, FALSE)</f>
        <v>9060.0833333333321</v>
      </c>
      <c r="F110" s="139">
        <f>F30*HLOOKUP($A110,'Model Org Stats'!$E$6:$CO$38,26, FALSE)</f>
        <v>10157.25</v>
      </c>
      <c r="G110" s="139">
        <f>G30*HLOOKUP($A110,'Model Org Stats'!$E$6:$CO$38,26, FALSE)</f>
        <v>5848.333333333333</v>
      </c>
      <c r="H110" s="139">
        <f>H30*HLOOKUP($A110,'Model Org Stats'!$E$6:$CO$38,26, FALSE)</f>
        <v>7134</v>
      </c>
      <c r="I110" s="156">
        <f t="shared" si="23"/>
        <v>33980.75</v>
      </c>
      <c r="J110" s="203"/>
    </row>
    <row r="111" spans="1:10" x14ac:dyDescent="0.15">
      <c r="A111" s="137" t="str">
        <f t="shared" si="22"/>
        <v>Local: Explanatory &amp; Analysis</v>
      </c>
      <c r="C111" s="137" t="s">
        <v>80</v>
      </c>
      <c r="D111" s="139">
        <f>D31*HLOOKUP($A111,'Model Org Stats'!$E$6:$CO$38,26, FALSE)</f>
        <v>44.217391304347828</v>
      </c>
      <c r="E111" s="139">
        <f>E31*HLOOKUP($A111,'Model Org Stats'!$E$6:$CO$38,26, FALSE)</f>
        <v>364.79347826086956</v>
      </c>
      <c r="F111" s="139">
        <f>F31*HLOOKUP($A111,'Model Org Stats'!$E$6:$CO$38,26, FALSE)</f>
        <v>526.92391304347825</v>
      </c>
      <c r="G111" s="139">
        <f>G31*HLOOKUP($A111,'Model Org Stats'!$E$6:$CO$38,26, FALSE)</f>
        <v>309.52173913043481</v>
      </c>
      <c r="H111" s="139">
        <f>H31*HLOOKUP($A111,'Model Org Stats'!$E$6:$CO$38,26, FALSE)</f>
        <v>541.66304347826087</v>
      </c>
      <c r="I111" s="156">
        <f t="shared" si="23"/>
        <v>1787.1195652173915</v>
      </c>
    </row>
    <row r="112" spans="1:10" x14ac:dyDescent="0.15">
      <c r="A112" s="137" t="str">
        <f t="shared" si="22"/>
        <v>Local: Investigative</v>
      </c>
      <c r="C112" s="137" t="s">
        <v>81</v>
      </c>
      <c r="D112" s="139">
        <f>D32*HLOOKUP($A112,'Model Org Stats'!$E$6:$CO$38,26, FALSE)</f>
        <v>27.665217391304346</v>
      </c>
      <c r="E112" s="139">
        <f>E32*HLOOKUP($A112,'Model Org Stats'!$E$6:$CO$38,26, FALSE)</f>
        <v>96.828260869565213</v>
      </c>
      <c r="F112" s="139">
        <f>F32*HLOOKUP($A112,'Model Org Stats'!$E$6:$CO$38,26, FALSE)</f>
        <v>64.552173913043475</v>
      </c>
      <c r="G112" s="139">
        <f>G32*HLOOKUP($A112,'Model Org Stats'!$E$6:$CO$38,26, FALSE)</f>
        <v>23.054347826086957</v>
      </c>
      <c r="H112" s="139">
        <f>H32*HLOOKUP($A112,'Model Org Stats'!$E$6:$CO$38,26, FALSE)</f>
        <v>18.443478260869565</v>
      </c>
      <c r="I112" s="156">
        <f t="shared" si="23"/>
        <v>230.54347826086956</v>
      </c>
    </row>
    <row r="113" spans="1:9" x14ac:dyDescent="0.15">
      <c r="A113" s="137" t="str">
        <f t="shared" si="22"/>
        <v>Local: Current News &amp; Events</v>
      </c>
      <c r="B113" s="140"/>
      <c r="C113" s="140" t="s">
        <v>82</v>
      </c>
      <c r="D113" s="141">
        <f>D33*HLOOKUP($A113,'Model Org Stats'!$E$6:$CO$38,26, FALSE)</f>
        <v>6151.3351351351348</v>
      </c>
      <c r="E113" s="141">
        <f>E33*HLOOKUP($A113,'Model Org Stats'!$E$6:$CO$38,26, FALSE)</f>
        <v>36089.437837837839</v>
      </c>
      <c r="F113" s="141">
        <f>F33*HLOOKUP($A113,'Model Org Stats'!$E$6:$CO$38,26, FALSE)</f>
        <v>33988.835135135138</v>
      </c>
      <c r="G113" s="141">
        <f>G33*HLOOKUP($A113,'Model Org Stats'!$E$6:$CO$38,26, FALSE)</f>
        <v>26537.413513513515</v>
      </c>
      <c r="H113" s="141">
        <f>H33*HLOOKUP($A113,'Model Org Stats'!$E$6:$CO$38,26, FALSE)</f>
        <v>17190.032432432432</v>
      </c>
      <c r="I113" s="254">
        <f>SUM(D113:H113)</f>
        <v>119957.05405405405</v>
      </c>
    </row>
    <row r="114" spans="1:9" x14ac:dyDescent="0.15">
      <c r="A114" s="137" t="str">
        <f t="shared" si="22"/>
        <v>State: General</v>
      </c>
      <c r="B114" s="137" t="s">
        <v>83</v>
      </c>
      <c r="C114" s="137" t="s">
        <v>77</v>
      </c>
      <c r="D114" s="139">
        <f>D34*HLOOKUP($A114,'Model Org Stats'!$E$6:$CO$38,26, FALSE)</f>
        <v>131.5</v>
      </c>
      <c r="E114" s="139">
        <f>E34*HLOOKUP($A114,'Model Org Stats'!$E$6:$CO$38,26, FALSE)</f>
        <v>460.25</v>
      </c>
      <c r="F114" s="139">
        <f>F34*HLOOKUP($A114,'Model Org Stats'!$E$6:$CO$38,26, FALSE)</f>
        <v>306.83333333333331</v>
      </c>
      <c r="G114" s="139">
        <f>G34*HLOOKUP($A114,'Model Org Stats'!$E$6:$CO$38,26, FALSE)</f>
        <v>109.58333333333333</v>
      </c>
      <c r="H114" s="139">
        <f>H34*HLOOKUP($A114,'Model Org Stats'!$E$6:$CO$38,26, FALSE)</f>
        <v>87.666666666666657</v>
      </c>
      <c r="I114" s="156">
        <f t="shared" ref="I114:I122" si="24">SUM(D114:H114)</f>
        <v>1095.8333333333333</v>
      </c>
    </row>
    <row r="115" spans="1:9" x14ac:dyDescent="0.15">
      <c r="A115" s="137" t="str">
        <f t="shared" si="22"/>
        <v>State: Multiple Related Topics</v>
      </c>
      <c r="C115" s="137" t="s">
        <v>78</v>
      </c>
      <c r="D115" s="139">
        <f>D35*HLOOKUP($A115,'Model Org Stats'!$E$6:$CO$38,26, FALSE)</f>
        <v>532.13585160000002</v>
      </c>
      <c r="E115" s="139">
        <f>E35*HLOOKUP($A115,'Model Org Stats'!$E$6:$CO$38,26, FALSE)</f>
        <v>5971.5964747999997</v>
      </c>
      <c r="F115" s="139">
        <f>F35*HLOOKUP($A115,'Model Org Stats'!$E$6:$CO$38,26, FALSE)</f>
        <v>10006.586396800001</v>
      </c>
      <c r="G115" s="139">
        <f>G35*HLOOKUP($A115,'Model Org Stats'!$E$6:$CO$38,26, FALSE)</f>
        <v>6008.0922635999996</v>
      </c>
      <c r="H115" s="139">
        <f>H35*HLOOKUP($A115,'Model Org Stats'!$E$6:$CO$38,26, FALSE)</f>
        <v>11235.5377016</v>
      </c>
      <c r="I115" s="156">
        <f t="shared" si="24"/>
        <v>33753.9486884</v>
      </c>
    </row>
    <row r="116" spans="1:9" x14ac:dyDescent="0.15">
      <c r="A116" s="137" t="str">
        <f t="shared" si="22"/>
        <v>State: Single-Topic</v>
      </c>
      <c r="C116" s="137" t="s">
        <v>79</v>
      </c>
      <c r="D116" s="139">
        <f>D36*HLOOKUP($A116,'Model Org Stats'!$E$6:$CO$38,26, FALSE)</f>
        <v>32.657142857142858</v>
      </c>
      <c r="E116" s="139">
        <f>E36*HLOOKUP($A116,'Model Org Stats'!$E$6:$CO$38,26, FALSE)</f>
        <v>114.30000000000001</v>
      </c>
      <c r="F116" s="139">
        <f>F36*HLOOKUP($A116,'Model Org Stats'!$E$6:$CO$38,26, FALSE)</f>
        <v>76.2</v>
      </c>
      <c r="G116" s="139">
        <f>G36*HLOOKUP($A116,'Model Org Stats'!$E$6:$CO$38,26, FALSE)</f>
        <v>27.214285714285715</v>
      </c>
      <c r="H116" s="139">
        <f>H36*HLOOKUP($A116,'Model Org Stats'!$E$6:$CO$38,26, FALSE)</f>
        <v>21.771428571428572</v>
      </c>
      <c r="I116" s="156">
        <f t="shared" si="24"/>
        <v>272.14285714285711</v>
      </c>
    </row>
    <row r="117" spans="1:9" x14ac:dyDescent="0.15">
      <c r="A117" s="137" t="str">
        <f t="shared" si="22"/>
        <v>State: Explanatory &amp; Analysis</v>
      </c>
      <c r="C117" s="137" t="s">
        <v>80</v>
      </c>
      <c r="D117" s="139">
        <f>D37*HLOOKUP($A117,'Model Org Stats'!$E$6:$CO$38,26, FALSE)</f>
        <v>170.07999999999998</v>
      </c>
      <c r="E117" s="139">
        <f>E37*HLOOKUP($A117,'Model Org Stats'!$E$6:$CO$38,26, FALSE)</f>
        <v>595.28</v>
      </c>
      <c r="F117" s="139">
        <f>F37*HLOOKUP($A117,'Model Org Stats'!$E$6:$CO$38,26, FALSE)</f>
        <v>396.8533333333333</v>
      </c>
      <c r="G117" s="139">
        <f>G37*HLOOKUP($A117,'Model Org Stats'!$E$6:$CO$38,26, FALSE)</f>
        <v>141.73333333333332</v>
      </c>
      <c r="H117" s="139">
        <f>H37*HLOOKUP($A117,'Model Org Stats'!$E$6:$CO$38,26, FALSE)</f>
        <v>113.38666666666666</v>
      </c>
      <c r="I117" s="156">
        <f t="shared" si="24"/>
        <v>1417.333333333333</v>
      </c>
    </row>
    <row r="118" spans="1:9" x14ac:dyDescent="0.15">
      <c r="A118" s="137" t="str">
        <f t="shared" si="22"/>
        <v>State: Investigative</v>
      </c>
      <c r="C118" s="137" t="s">
        <v>81</v>
      </c>
      <c r="D118" s="139">
        <f>D38*HLOOKUP($A118,'Model Org Stats'!$E$6:$CO$38,26, FALSE)</f>
        <v>151.43478260869566</v>
      </c>
      <c r="E118" s="139">
        <f>E38*HLOOKUP($A118,'Model Org Stats'!$E$6:$CO$38,26, FALSE)</f>
        <v>530.02173913043475</v>
      </c>
      <c r="F118" s="139">
        <f>F38*HLOOKUP($A118,'Model Org Stats'!$E$6:$CO$38,26, FALSE)</f>
        <v>353.3478260869565</v>
      </c>
      <c r="G118" s="139">
        <f>G38*HLOOKUP($A118,'Model Org Stats'!$E$6:$CO$38,26, FALSE)</f>
        <v>126.19565217391303</v>
      </c>
      <c r="H118" s="139">
        <f>H38*HLOOKUP($A118,'Model Org Stats'!$E$6:$CO$38,26, FALSE)</f>
        <v>100.95652173913044</v>
      </c>
      <c r="I118" s="156">
        <f t="shared" si="24"/>
        <v>1261.9565217391305</v>
      </c>
    </row>
    <row r="119" spans="1:9" x14ac:dyDescent="0.15">
      <c r="A119" s="137" t="str">
        <f t="shared" si="22"/>
        <v>State: Current News &amp; Events</v>
      </c>
      <c r="B119" s="140"/>
      <c r="C119" s="140" t="s">
        <v>82</v>
      </c>
      <c r="D119" s="141">
        <f>D39*HLOOKUP($A119,'Model Org Stats'!$E$6:$CO$38,26, FALSE)</f>
        <v>106.85</v>
      </c>
      <c r="E119" s="141">
        <f>E39*HLOOKUP($A119,'Model Org Stats'!$E$6:$CO$38,26, FALSE)</f>
        <v>373.97499999999997</v>
      </c>
      <c r="F119" s="141">
        <f>F39*HLOOKUP($A119,'Model Org Stats'!$E$6:$CO$38,26, FALSE)</f>
        <v>249.31666666666666</v>
      </c>
      <c r="G119" s="141">
        <f>G39*HLOOKUP($A119,'Model Org Stats'!$E$6:$CO$38,26, FALSE)</f>
        <v>89.041666666666657</v>
      </c>
      <c r="H119" s="141">
        <f>H39*HLOOKUP($A119,'Model Org Stats'!$E$6:$CO$38,26, FALSE)</f>
        <v>71.233333333333334</v>
      </c>
      <c r="I119" s="254">
        <f t="shared" si="24"/>
        <v>890.41666666666663</v>
      </c>
    </row>
    <row r="120" spans="1:9" hidden="1" outlineLevel="1" x14ac:dyDescent="0.15">
      <c r="A120" s="137" t="str">
        <f t="shared" si="22"/>
        <v>Public Radio: Small</v>
      </c>
      <c r="B120" s="137" t="s">
        <v>84</v>
      </c>
      <c r="C120" s="137" t="s">
        <v>62</v>
      </c>
      <c r="D120" s="139">
        <f>D40*HLOOKUP($A120,'Model Org Stats'!$E$6:$CO$38,26, FALSE)</f>
        <v>0</v>
      </c>
      <c r="E120" s="139">
        <f>E40*HLOOKUP($A120,'Model Org Stats'!$E$6:$CO$38,26, FALSE)</f>
        <v>0</v>
      </c>
      <c r="F120" s="139">
        <f>F40*HLOOKUP($A120,'Model Org Stats'!$E$6:$CO$38,26, FALSE)</f>
        <v>0</v>
      </c>
      <c r="G120" s="139">
        <f>G40*HLOOKUP($A120,'Model Org Stats'!$E$6:$CO$38,26, FALSE)</f>
        <v>0</v>
      </c>
      <c r="H120" s="139">
        <f>H40*HLOOKUP($A120,'Model Org Stats'!$E$6:$CO$38,26, FALSE)</f>
        <v>0</v>
      </c>
      <c r="I120" s="156">
        <f t="shared" si="24"/>
        <v>0</v>
      </c>
    </row>
    <row r="121" spans="1:9" hidden="1" outlineLevel="1" x14ac:dyDescent="0.15">
      <c r="A121" s="137" t="str">
        <f t="shared" si="22"/>
        <v>Public Radio: Medium</v>
      </c>
      <c r="C121" s="137" t="s">
        <v>63</v>
      </c>
      <c r="D121" s="139">
        <f>D41*HLOOKUP($A121,'Model Org Stats'!$E$6:$CO$38,26, FALSE)</f>
        <v>0</v>
      </c>
      <c r="E121" s="139">
        <f>E41*HLOOKUP($A121,'Model Org Stats'!$E$6:$CO$38,26, FALSE)</f>
        <v>0</v>
      </c>
      <c r="F121" s="139">
        <f>F41*HLOOKUP($A121,'Model Org Stats'!$E$6:$CO$38,26, FALSE)</f>
        <v>0</v>
      </c>
      <c r="G121" s="139">
        <f>G41*HLOOKUP($A121,'Model Org Stats'!$E$6:$CO$38,26, FALSE)</f>
        <v>0</v>
      </c>
      <c r="H121" s="139">
        <f>H41*HLOOKUP($A121,'Model Org Stats'!$E$6:$CO$38,26, FALSE)</f>
        <v>0</v>
      </c>
      <c r="I121" s="156">
        <f t="shared" si="24"/>
        <v>0</v>
      </c>
    </row>
    <row r="122" spans="1:9" hidden="1" outlineLevel="1" x14ac:dyDescent="0.15">
      <c r="A122" s="137" t="str">
        <f t="shared" si="22"/>
        <v>Public Radio: Large</v>
      </c>
      <c r="B122" s="140"/>
      <c r="C122" s="140" t="s">
        <v>64</v>
      </c>
      <c r="D122" s="139">
        <f>D42*HLOOKUP($A122,'Model Org Stats'!$E$6:$CO$38,26, FALSE)</f>
        <v>0</v>
      </c>
      <c r="E122" s="139">
        <f>E42*HLOOKUP($A122,'Model Org Stats'!$E$6:$CO$38,26, FALSE)</f>
        <v>0</v>
      </c>
      <c r="F122" s="139">
        <f>F42*HLOOKUP($A122,'Model Org Stats'!$E$6:$CO$38,26, FALSE)</f>
        <v>0</v>
      </c>
      <c r="G122" s="139">
        <f>G42*HLOOKUP($A122,'Model Org Stats'!$E$6:$CO$38,26, FALSE)</f>
        <v>0</v>
      </c>
      <c r="H122" s="139">
        <f>H42*HLOOKUP($A122,'Model Org Stats'!$E$6:$CO$38,26, FALSE)</f>
        <v>0</v>
      </c>
      <c r="I122" s="254">
        <f t="shared" si="24"/>
        <v>0</v>
      </c>
    </row>
    <row r="123" spans="1:9" s="173" customFormat="1" collapsed="1" x14ac:dyDescent="0.15">
      <c r="C123" s="259" t="s">
        <v>60</v>
      </c>
      <c r="D123" s="260">
        <f t="shared" ref="D123:I123" si="25">SUM(D107:D116)</f>
        <v>14515.6077079849</v>
      </c>
      <c r="E123" s="260">
        <f t="shared" si="25"/>
        <v>86664.92574873798</v>
      </c>
      <c r="F123" s="260">
        <f t="shared" si="25"/>
        <v>87309.351406770438</v>
      </c>
      <c r="G123" s="260">
        <f t="shared" si="25"/>
        <v>63284.865089178267</v>
      </c>
      <c r="H123" s="260">
        <f t="shared" si="25"/>
        <v>53865.469296464202</v>
      </c>
      <c r="I123" s="260">
        <f t="shared" si="25"/>
        <v>305640.2192491357</v>
      </c>
    </row>
    <row r="125" spans="1:9" x14ac:dyDescent="0.15">
      <c r="B125" s="143" t="s">
        <v>89</v>
      </c>
      <c r="C125" s="143"/>
      <c r="D125" s="143"/>
      <c r="E125" s="143"/>
      <c r="F125" s="143"/>
      <c r="G125" s="143"/>
      <c r="H125" s="143"/>
      <c r="I125" s="143"/>
    </row>
    <row r="126" spans="1:9" ht="13" x14ac:dyDescent="0.15">
      <c r="B126" s="150" t="s">
        <v>74</v>
      </c>
      <c r="C126" s="150" t="s">
        <v>86</v>
      </c>
      <c r="D126" s="150" t="s">
        <v>61</v>
      </c>
      <c r="E126" s="150" t="s">
        <v>62</v>
      </c>
      <c r="F126" s="150" t="s">
        <v>63</v>
      </c>
      <c r="G126" s="150" t="s">
        <v>64</v>
      </c>
      <c r="H126" s="150" t="s">
        <v>65</v>
      </c>
      <c r="I126" s="150" t="s">
        <v>60</v>
      </c>
    </row>
    <row r="127" spans="1:9" x14ac:dyDescent="0.15">
      <c r="B127" s="140" t="s">
        <v>76</v>
      </c>
      <c r="C127" s="140" t="s">
        <v>77</v>
      </c>
      <c r="D127" s="141">
        <f>(Assumptions!$B$33/Assumptions!$B$32)*'By Org Type - State Local'!D107</f>
        <v>12.000000000000002</v>
      </c>
      <c r="E127" s="141">
        <f>(Assumptions!$B$33/Assumptions!$B$32)*'By Org Type - State Local'!E107</f>
        <v>156.00000000000003</v>
      </c>
      <c r="F127" s="141">
        <f>(Assumptions!$B$33/Assumptions!$B$32)*'By Org Type - State Local'!F107</f>
        <v>516.00000000000011</v>
      </c>
      <c r="G127" s="141">
        <f>(Assumptions!$B$33/Assumptions!$B$32)*'By Org Type - State Local'!G107</f>
        <v>474.00000000000006</v>
      </c>
      <c r="H127" s="141">
        <f>(Assumptions!$B$33/Assumptions!$B$32)*'By Org Type - State Local'!H107</f>
        <v>1144.0000000000002</v>
      </c>
      <c r="I127" s="254">
        <f>SUM(D127:H127)</f>
        <v>2302.0000000000005</v>
      </c>
    </row>
    <row r="128" spans="1:9" x14ac:dyDescent="0.15">
      <c r="B128" s="137" t="s">
        <v>7</v>
      </c>
      <c r="C128" s="137" t="s">
        <v>77</v>
      </c>
      <c r="D128" s="139">
        <f>(Assumptions!$B$33/Assumptions!$B$32)*'By Org Type - State Local'!D108</f>
        <v>620.6</v>
      </c>
      <c r="E128" s="139">
        <f>(Assumptions!$B$33/Assumptions!$B$32)*'By Org Type - State Local'!E108</f>
        <v>3816.3333333333339</v>
      </c>
      <c r="F128" s="139">
        <f>(Assumptions!$B$33/Assumptions!$B$32)*'By Org Type - State Local'!F108</f>
        <v>3013.8333333333335</v>
      </c>
      <c r="G128" s="139">
        <f>(Assumptions!$B$33/Assumptions!$B$32)*'By Org Type - State Local'!G108</f>
        <v>1811.8666666666668</v>
      </c>
      <c r="H128" s="139">
        <f>(Assumptions!$B$33/Assumptions!$B$32)*'By Org Type - State Local'!H108</f>
        <v>1547.9333333333332</v>
      </c>
      <c r="I128" s="156">
        <f>SUM(D128:H128)</f>
        <v>10810.566666666668</v>
      </c>
    </row>
    <row r="129" spans="2:9" x14ac:dyDescent="0.15">
      <c r="C129" s="137" t="s">
        <v>78</v>
      </c>
      <c r="D129" s="139">
        <f>(Assumptions!$B$33/Assumptions!$B$32)*'By Org Type - State Local'!D109</f>
        <v>3244.0757575757584</v>
      </c>
      <c r="E129" s="139">
        <f>(Assumptions!$B$33/Assumptions!$B$32)*'By Org Type - State Local'!E109</f>
        <v>19032.75757575758</v>
      </c>
      <c r="F129" s="139">
        <f>(Assumptions!$B$33/Assumptions!$B$32)*'By Org Type - State Local'!F109</f>
        <v>17924.946969696972</v>
      </c>
      <c r="G129" s="139">
        <f>(Assumptions!$B$33/Assumptions!$B$32)*'By Org Type - State Local'!G109</f>
        <v>13995.234848484852</v>
      </c>
      <c r="H129" s="139">
        <f>(Assumptions!$B$33/Assumptions!$B$32)*'By Org Type - State Local'!H109</f>
        <v>9065.6363636363658</v>
      </c>
      <c r="I129" s="156">
        <f t="shared" ref="I129:I136" si="26">SUM(D129:H129)</f>
        <v>63262.651515151534</v>
      </c>
    </row>
    <row r="130" spans="2:9" x14ac:dyDescent="0.15">
      <c r="C130" s="137" t="s">
        <v>79</v>
      </c>
      <c r="D130" s="139">
        <f>(Assumptions!$B$33/Assumptions!$B$32)*'By Org Type - State Local'!D110</f>
        <v>1187.3888888888889</v>
      </c>
      <c r="E130" s="139">
        <f>(Assumptions!$B$33/Assumptions!$B$32)*'By Org Type - State Local'!E110</f>
        <v>6040.0555555555557</v>
      </c>
      <c r="F130" s="139">
        <f>(Assumptions!$B$33/Assumptions!$B$32)*'By Org Type - State Local'!F110</f>
        <v>6771.5000000000009</v>
      </c>
      <c r="G130" s="139">
        <f>(Assumptions!$B$33/Assumptions!$B$32)*'By Org Type - State Local'!G110</f>
        <v>3898.8888888888891</v>
      </c>
      <c r="H130" s="139">
        <f>(Assumptions!$B$33/Assumptions!$B$32)*'By Org Type - State Local'!H110</f>
        <v>4756.0000000000009</v>
      </c>
      <c r="I130" s="156">
        <f t="shared" si="26"/>
        <v>22653.833333333336</v>
      </c>
    </row>
    <row r="131" spans="2:9" x14ac:dyDescent="0.15">
      <c r="C131" s="137" t="s">
        <v>80</v>
      </c>
      <c r="D131" s="139">
        <f>(Assumptions!$B$33/Assumptions!$B$32)*'By Org Type - State Local'!D111</f>
        <v>29.478260869565222</v>
      </c>
      <c r="E131" s="139">
        <f>(Assumptions!$B$33/Assumptions!$B$32)*'By Org Type - State Local'!E111</f>
        <v>243.19565217391306</v>
      </c>
      <c r="F131" s="139">
        <f>(Assumptions!$B$33/Assumptions!$B$32)*'By Org Type - State Local'!F111</f>
        <v>351.28260869565219</v>
      </c>
      <c r="G131" s="139">
        <f>(Assumptions!$B$33/Assumptions!$B$32)*'By Org Type - State Local'!G111</f>
        <v>206.34782608695656</v>
      </c>
      <c r="H131" s="139">
        <f>(Assumptions!$B$33/Assumptions!$B$32)*'By Org Type - State Local'!H111</f>
        <v>361.10869565217394</v>
      </c>
      <c r="I131" s="156">
        <f t="shared" si="26"/>
        <v>1191.413043478261</v>
      </c>
    </row>
    <row r="132" spans="2:9" x14ac:dyDescent="0.15">
      <c r="C132" s="137" t="s">
        <v>81</v>
      </c>
      <c r="D132" s="139">
        <f>(Assumptions!$B$33/Assumptions!$B$32)*'By Org Type - State Local'!D112</f>
        <v>18.443478260869565</v>
      </c>
      <c r="E132" s="139">
        <f>(Assumptions!$B$33/Assumptions!$B$32)*'By Org Type - State Local'!E112</f>
        <v>64.55217391304349</v>
      </c>
      <c r="F132" s="139">
        <f>(Assumptions!$B$33/Assumptions!$B$32)*'By Org Type - State Local'!F112</f>
        <v>43.034782608695657</v>
      </c>
      <c r="G132" s="139">
        <f>(Assumptions!$B$33/Assumptions!$B$32)*'By Org Type - State Local'!G112</f>
        <v>15.369565217391306</v>
      </c>
      <c r="H132" s="139">
        <f>(Assumptions!$B$33/Assumptions!$B$32)*'By Org Type - State Local'!H112</f>
        <v>12.295652173913044</v>
      </c>
      <c r="I132" s="156">
        <f t="shared" si="26"/>
        <v>153.69565217391309</v>
      </c>
    </row>
    <row r="133" spans="2:9" x14ac:dyDescent="0.15">
      <c r="B133" s="140"/>
      <c r="C133" s="140" t="s">
        <v>82</v>
      </c>
      <c r="D133" s="141">
        <f>(Assumptions!$B$33/Assumptions!$B$32)*'By Org Type - State Local'!D113</f>
        <v>4100.8900900900908</v>
      </c>
      <c r="E133" s="141">
        <f>(Assumptions!$B$33/Assumptions!$B$32)*'By Org Type - State Local'!E113</f>
        <v>24059.625225225227</v>
      </c>
      <c r="F133" s="141">
        <f>(Assumptions!$B$33/Assumptions!$B$32)*'By Org Type - State Local'!F113</f>
        <v>22659.223423423427</v>
      </c>
      <c r="G133" s="141">
        <f>(Assumptions!$B$33/Assumptions!$B$32)*'By Org Type - State Local'!G113</f>
        <v>17691.609009009011</v>
      </c>
      <c r="H133" s="141">
        <f>(Assumptions!$B$33/Assumptions!$B$32)*'By Org Type - State Local'!H113</f>
        <v>11460.021621621623</v>
      </c>
      <c r="I133" s="254">
        <f t="shared" si="26"/>
        <v>79971.369369369379</v>
      </c>
    </row>
    <row r="134" spans="2:9" x14ac:dyDescent="0.15">
      <c r="B134" s="137" t="s">
        <v>83</v>
      </c>
      <c r="C134" s="137" t="s">
        <v>77</v>
      </c>
      <c r="D134" s="139">
        <f>(Assumptions!$B$33/Assumptions!$B$32)*'By Org Type - State Local'!D114</f>
        <v>87.666666666666671</v>
      </c>
      <c r="E134" s="139">
        <f>(Assumptions!$B$33/Assumptions!$B$32)*'By Org Type - State Local'!E114</f>
        <v>306.83333333333337</v>
      </c>
      <c r="F134" s="139">
        <f>(Assumptions!$B$33/Assumptions!$B$32)*'By Org Type - State Local'!F114</f>
        <v>204.55555555555557</v>
      </c>
      <c r="G134" s="139">
        <f>(Assumptions!$B$33/Assumptions!$B$32)*'By Org Type - State Local'!G114</f>
        <v>73.055555555555557</v>
      </c>
      <c r="H134" s="139">
        <f>(Assumptions!$B$33/Assumptions!$B$32)*'By Org Type - State Local'!H114</f>
        <v>58.444444444444443</v>
      </c>
      <c r="I134" s="156">
        <f t="shared" si="26"/>
        <v>730.55555555555566</v>
      </c>
    </row>
    <row r="135" spans="2:9" x14ac:dyDescent="0.15">
      <c r="C135" s="137" t="s">
        <v>78</v>
      </c>
      <c r="D135" s="139">
        <f>(Assumptions!$B$33/Assumptions!$B$32)*'By Org Type - State Local'!D115</f>
        <v>354.75723440000007</v>
      </c>
      <c r="E135" s="139">
        <f>(Assumptions!$B$33/Assumptions!$B$32)*'By Org Type - State Local'!E115</f>
        <v>3981.0643165333336</v>
      </c>
      <c r="F135" s="139">
        <f>(Assumptions!$B$33/Assumptions!$B$32)*'By Org Type - State Local'!F115</f>
        <v>6671.0575978666684</v>
      </c>
      <c r="G135" s="139">
        <f>(Assumptions!$B$33/Assumptions!$B$32)*'By Org Type - State Local'!G115</f>
        <v>4005.3948424</v>
      </c>
      <c r="H135" s="139">
        <f>(Assumptions!$B$33/Assumptions!$B$32)*'By Org Type - State Local'!H115</f>
        <v>7490.3584677333347</v>
      </c>
      <c r="I135" s="156">
        <f t="shared" si="26"/>
        <v>22502.632458933338</v>
      </c>
    </row>
    <row r="136" spans="2:9" x14ac:dyDescent="0.15">
      <c r="C136" s="137" t="s">
        <v>79</v>
      </c>
      <c r="D136" s="139">
        <f>(Assumptions!$B$33/Assumptions!$B$32)*'By Org Type - State Local'!D116</f>
        <v>21.771428571428576</v>
      </c>
      <c r="E136" s="139">
        <f>(Assumptions!$B$33/Assumptions!$B$32)*'By Org Type - State Local'!E116</f>
        <v>76.200000000000017</v>
      </c>
      <c r="F136" s="139">
        <f>(Assumptions!$B$33/Assumptions!$B$32)*'By Org Type - State Local'!F116</f>
        <v>50.800000000000004</v>
      </c>
      <c r="G136" s="139">
        <f>(Assumptions!$B$33/Assumptions!$B$32)*'By Org Type - State Local'!G116</f>
        <v>18.142857142857146</v>
      </c>
      <c r="H136" s="139">
        <f>(Assumptions!$B$33/Assumptions!$B$32)*'By Org Type - State Local'!H116</f>
        <v>14.514285714285716</v>
      </c>
      <c r="I136" s="156">
        <f t="shared" si="26"/>
        <v>181.42857142857144</v>
      </c>
    </row>
    <row r="137" spans="2:9" x14ac:dyDescent="0.15">
      <c r="C137" s="137" t="s">
        <v>80</v>
      </c>
      <c r="D137" s="139">
        <f>(Assumptions!$B$33/Assumptions!$B$32)*'By Org Type - State Local'!D117</f>
        <v>113.38666666666667</v>
      </c>
      <c r="E137" s="139">
        <f>(Assumptions!$B$33/Assumptions!$B$32)*'By Org Type - State Local'!E117</f>
        <v>396.85333333333335</v>
      </c>
      <c r="F137" s="139">
        <f>(Assumptions!$B$33/Assumptions!$B$32)*'By Org Type - State Local'!F117</f>
        <v>264.56888888888892</v>
      </c>
      <c r="G137" s="139">
        <f>(Assumptions!$B$33/Assumptions!$B$32)*'By Org Type - State Local'!G117</f>
        <v>94.488888888888894</v>
      </c>
      <c r="H137" s="139">
        <f>(Assumptions!$B$33/Assumptions!$B$32)*'By Org Type - State Local'!H117</f>
        <v>75.591111111111118</v>
      </c>
      <c r="I137" s="156">
        <f t="shared" ref="I137:I139" si="27">SUM(D137:H137)</f>
        <v>944.88888888888903</v>
      </c>
    </row>
    <row r="138" spans="2:9" x14ac:dyDescent="0.15">
      <c r="C138" s="137" t="s">
        <v>81</v>
      </c>
      <c r="D138" s="139">
        <f>(Assumptions!$B$33/Assumptions!$B$32)*'By Org Type - State Local'!D118</f>
        <v>100.95652173913045</v>
      </c>
      <c r="E138" s="139">
        <f>(Assumptions!$B$33/Assumptions!$B$32)*'By Org Type - State Local'!E118</f>
        <v>353.34782608695656</v>
      </c>
      <c r="F138" s="139">
        <f>(Assumptions!$B$33/Assumptions!$B$32)*'By Org Type - State Local'!F118</f>
        <v>235.56521739130437</v>
      </c>
      <c r="G138" s="139">
        <f>(Assumptions!$B$33/Assumptions!$B$32)*'By Org Type - State Local'!G118</f>
        <v>84.130434782608702</v>
      </c>
      <c r="H138" s="139">
        <f>(Assumptions!$B$33/Assumptions!$B$32)*'By Org Type - State Local'!H118</f>
        <v>67.304347826086968</v>
      </c>
      <c r="I138" s="156">
        <f t="shared" si="27"/>
        <v>841.30434782608711</v>
      </c>
    </row>
    <row r="139" spans="2:9" x14ac:dyDescent="0.15">
      <c r="B139" s="140"/>
      <c r="C139" s="140" t="s">
        <v>82</v>
      </c>
      <c r="D139" s="141">
        <f>(Assumptions!$B$33/Assumptions!$B$32)*'By Org Type - State Local'!D119</f>
        <v>71.233333333333334</v>
      </c>
      <c r="E139" s="141">
        <f>(Assumptions!$B$33/Assumptions!$B$32)*'By Org Type - State Local'!E119</f>
        <v>249.31666666666666</v>
      </c>
      <c r="F139" s="141">
        <f>(Assumptions!$B$33/Assumptions!$B$32)*'By Org Type - State Local'!F119</f>
        <v>166.21111111111114</v>
      </c>
      <c r="G139" s="141">
        <f>(Assumptions!$B$33/Assumptions!$B$32)*'By Org Type - State Local'!G119</f>
        <v>59.361111111111114</v>
      </c>
      <c r="H139" s="141">
        <f>(Assumptions!$B$33/Assumptions!$B$32)*'By Org Type - State Local'!H119</f>
        <v>47.488888888888894</v>
      </c>
      <c r="I139" s="254">
        <f t="shared" si="27"/>
        <v>593.6111111111112</v>
      </c>
    </row>
    <row r="140" spans="2:9" hidden="1" outlineLevel="1" x14ac:dyDescent="0.15">
      <c r="B140" s="137" t="s">
        <v>84</v>
      </c>
      <c r="C140" s="137" t="s">
        <v>62</v>
      </c>
      <c r="D140" s="243">
        <f>(Assumptions!$B$33/Assumptions!$B$32)*'By Org Type - State Local'!D120</f>
        <v>0</v>
      </c>
      <c r="E140" s="243">
        <f>(Assumptions!$B$33/Assumptions!$B$32)*'By Org Type - State Local'!E120</f>
        <v>0</v>
      </c>
      <c r="F140" s="243">
        <f>(Assumptions!$B$33/Assumptions!$B$32)*'By Org Type - State Local'!F120</f>
        <v>0</v>
      </c>
      <c r="G140" s="243">
        <f>(Assumptions!$B$33/Assumptions!$B$32)*'By Org Type - State Local'!G120</f>
        <v>0</v>
      </c>
      <c r="H140" s="243">
        <f>(Assumptions!$B$33/Assumptions!$B$32)*'By Org Type - State Local'!H120</f>
        <v>0</v>
      </c>
      <c r="I140" s="156">
        <f t="shared" ref="I140:I142" si="28">SUM(D140:H140)</f>
        <v>0</v>
      </c>
    </row>
    <row r="141" spans="2:9" hidden="1" outlineLevel="1" x14ac:dyDescent="0.15">
      <c r="C141" s="137" t="s">
        <v>63</v>
      </c>
      <c r="D141" s="243">
        <f>(Assumptions!$B$33/Assumptions!$B$32)*'By Org Type - State Local'!D121</f>
        <v>0</v>
      </c>
      <c r="E141" s="243">
        <f>(Assumptions!$B$33/Assumptions!$B$32)*'By Org Type - State Local'!E121</f>
        <v>0</v>
      </c>
      <c r="F141" s="243">
        <f>(Assumptions!$B$33/Assumptions!$B$32)*'By Org Type - State Local'!F121</f>
        <v>0</v>
      </c>
      <c r="G141" s="243">
        <f>(Assumptions!$B$33/Assumptions!$B$32)*'By Org Type - State Local'!G121</f>
        <v>0</v>
      </c>
      <c r="H141" s="243">
        <f>(Assumptions!$B$33/Assumptions!$B$32)*'By Org Type - State Local'!H121</f>
        <v>0</v>
      </c>
      <c r="I141" s="156">
        <f t="shared" si="28"/>
        <v>0</v>
      </c>
    </row>
    <row r="142" spans="2:9" hidden="1" outlineLevel="1" x14ac:dyDescent="0.15">
      <c r="B142" s="140"/>
      <c r="C142" s="140" t="s">
        <v>64</v>
      </c>
      <c r="D142" s="141">
        <f>(Assumptions!$B$33/Assumptions!$B$32)*'By Org Type - State Local'!D122</f>
        <v>0</v>
      </c>
      <c r="E142" s="141">
        <f>(Assumptions!$B$33/Assumptions!$B$32)*'By Org Type - State Local'!E122</f>
        <v>0</v>
      </c>
      <c r="F142" s="141">
        <f>(Assumptions!$B$33/Assumptions!$B$32)*'By Org Type - State Local'!F122</f>
        <v>0</v>
      </c>
      <c r="G142" s="141">
        <f>(Assumptions!$B$33/Assumptions!$B$32)*'By Org Type - State Local'!G122</f>
        <v>0</v>
      </c>
      <c r="H142" s="141">
        <f>(Assumptions!$B$33/Assumptions!$B$32)*'By Org Type - State Local'!H122</f>
        <v>0</v>
      </c>
      <c r="I142" s="254">
        <f t="shared" si="28"/>
        <v>0</v>
      </c>
    </row>
    <row r="143" spans="2:9" s="173" customFormat="1" collapsed="1" x14ac:dyDescent="0.15">
      <c r="B143" s="137"/>
      <c r="C143" s="259" t="s">
        <v>60</v>
      </c>
      <c r="D143" s="260">
        <f t="shared" ref="D143:I143" si="29">SUM(D127:D136)</f>
        <v>9677.0718053232667</v>
      </c>
      <c r="E143" s="260">
        <f t="shared" si="29"/>
        <v>57776.617165825308</v>
      </c>
      <c r="F143" s="260">
        <f t="shared" si="29"/>
        <v>58206.234271180307</v>
      </c>
      <c r="G143" s="260">
        <f t="shared" si="29"/>
        <v>42189.910059452173</v>
      </c>
      <c r="H143" s="260">
        <f t="shared" si="29"/>
        <v>35910.312864309475</v>
      </c>
      <c r="I143" s="260">
        <f t="shared" si="29"/>
        <v>203760.14616609056</v>
      </c>
    </row>
  </sheetData>
  <conditionalFormatting sqref="B107:B122">
    <cfRule type="duplicateValues" dxfId="103" priority="2"/>
  </conditionalFormatting>
  <conditionalFormatting sqref="B127:B143">
    <cfRule type="duplicateValues" dxfId="102" priority="1"/>
  </conditionalFormatting>
  <pageMargins left="0.7" right="0.7" top="0.75" bottom="0.75" header="0.3" footer="0.3"/>
  <pageSetup scale="54" orientation="portrait" horizontalDpi="1200" verticalDpi="1200" r:id="rId1"/>
  <rowBreaks count="1" manualBreakCount="1">
    <brk id="103" min="1" max="10"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A819-D105-42B7-B69A-FDEF2E26D614}">
  <sheetPr>
    <tabColor theme="8" tint="0.39997558519241921"/>
  </sheetPr>
  <dimension ref="A1:S55"/>
  <sheetViews>
    <sheetView view="pageBreakPreview" zoomScale="145" zoomScaleNormal="160" zoomScaleSheetLayoutView="145" workbookViewId="0">
      <selection activeCell="X34" sqref="X34"/>
    </sheetView>
  </sheetViews>
  <sheetFormatPr baseColWidth="10" defaultColWidth="9.1640625" defaultRowHeight="12" outlineLevelRow="1" outlineLevelCol="1" x14ac:dyDescent="0.15"/>
  <cols>
    <col min="1" max="1" width="27.33203125" style="137" customWidth="1"/>
    <col min="2" max="2" width="12" style="137" bestFit="1" customWidth="1"/>
    <col min="3" max="3" width="12.6640625" style="137" customWidth="1"/>
    <col min="4" max="4" width="8.6640625" style="137" bestFit="1" customWidth="1"/>
    <col min="5" max="16" width="12.6640625" style="137" hidden="1" customWidth="1" outlineLevel="1"/>
    <col min="17" max="17" width="9.1640625" style="137" hidden="1" customWidth="1" outlineLevel="1" collapsed="1"/>
    <col min="18" max="18" width="9.1640625" style="137" hidden="1" customWidth="1" outlineLevel="1"/>
    <col min="19" max="19" width="9.1640625" style="137" collapsed="1"/>
    <col min="20" max="16384" width="9.1640625" style="137"/>
  </cols>
  <sheetData>
    <row r="1" spans="1:5" x14ac:dyDescent="0.15">
      <c r="A1" s="136" t="s">
        <v>0</v>
      </c>
      <c r="D1" s="213"/>
      <c r="E1" s="213" t="s">
        <v>1</v>
      </c>
    </row>
    <row r="2" spans="1:5" x14ac:dyDescent="0.15">
      <c r="A2" s="136" t="s">
        <v>2</v>
      </c>
    </row>
    <row r="3" spans="1:5" x14ac:dyDescent="0.15">
      <c r="A3" s="138" t="str">
        <f>INSTRUCTIONS!A3</f>
        <v>March 2022</v>
      </c>
    </row>
    <row r="4" spans="1:5" x14ac:dyDescent="0.15">
      <c r="A4" s="138" t="s">
        <v>25</v>
      </c>
    </row>
    <row r="6" spans="1:5" x14ac:dyDescent="0.15">
      <c r="A6" s="143" t="s">
        <v>91</v>
      </c>
      <c r="B6" s="281"/>
    </row>
    <row r="7" spans="1:5" x14ac:dyDescent="0.15">
      <c r="A7" s="137" t="s">
        <v>92</v>
      </c>
      <c r="B7" s="241">
        <v>1</v>
      </c>
    </row>
    <row r="8" spans="1:5" x14ac:dyDescent="0.15">
      <c r="A8" s="137" t="s">
        <v>93</v>
      </c>
      <c r="B8" s="241">
        <v>1</v>
      </c>
    </row>
    <row r="9" spans="1:5" x14ac:dyDescent="0.15">
      <c r="A9" s="137" t="s">
        <v>94</v>
      </c>
      <c r="B9" s="222">
        <v>1</v>
      </c>
    </row>
    <row r="10" spans="1:5" x14ac:dyDescent="0.15">
      <c r="A10" s="137" t="s">
        <v>95</v>
      </c>
      <c r="B10" s="222">
        <v>1</v>
      </c>
    </row>
    <row r="11" spans="1:5" x14ac:dyDescent="0.15">
      <c r="A11" s="137" t="s">
        <v>96</v>
      </c>
      <c r="B11" s="242">
        <v>1</v>
      </c>
    </row>
    <row r="12" spans="1:5" x14ac:dyDescent="0.15">
      <c r="A12" s="137" t="s">
        <v>97</v>
      </c>
      <c r="B12" s="222">
        <v>1</v>
      </c>
    </row>
    <row r="13" spans="1:5" x14ac:dyDescent="0.15">
      <c r="A13" s="140" t="s">
        <v>98</v>
      </c>
      <c r="B13" s="222">
        <v>1</v>
      </c>
    </row>
    <row r="14" spans="1:5" x14ac:dyDescent="0.15">
      <c r="A14" s="280" t="s">
        <v>60</v>
      </c>
      <c r="B14" s="282">
        <f>SUM(B7:B13)</f>
        <v>7</v>
      </c>
    </row>
    <row r="15" spans="1:5" x14ac:dyDescent="0.15">
      <c r="A15" s="136"/>
      <c r="B15" s="277"/>
    </row>
    <row r="16" spans="1:5" x14ac:dyDescent="0.15">
      <c r="A16" s="143" t="s">
        <v>99</v>
      </c>
      <c r="B16" s="143"/>
    </row>
    <row r="17" spans="1:2" x14ac:dyDescent="0.15">
      <c r="A17" s="137" t="s">
        <v>100</v>
      </c>
      <c r="B17" s="241">
        <v>1</v>
      </c>
    </row>
    <row r="18" spans="1:2" x14ac:dyDescent="0.15">
      <c r="A18" s="137" t="s">
        <v>101</v>
      </c>
      <c r="B18" s="241">
        <v>1</v>
      </c>
    </row>
    <row r="19" spans="1:2" x14ac:dyDescent="0.15">
      <c r="A19" s="137" t="s">
        <v>102</v>
      </c>
      <c r="B19" s="222">
        <v>1</v>
      </c>
    </row>
    <row r="20" spans="1:2" x14ac:dyDescent="0.15">
      <c r="A20" s="137" t="s">
        <v>103</v>
      </c>
      <c r="B20" s="222">
        <v>1</v>
      </c>
    </row>
    <row r="21" spans="1:2" x14ac:dyDescent="0.15">
      <c r="A21" s="137" t="s">
        <v>104</v>
      </c>
      <c r="B21" s="222">
        <v>1</v>
      </c>
    </row>
    <row r="22" spans="1:2" x14ac:dyDescent="0.15">
      <c r="A22" s="140" t="s">
        <v>105</v>
      </c>
      <c r="B22" s="222">
        <v>1</v>
      </c>
    </row>
    <row r="23" spans="1:2" x14ac:dyDescent="0.15">
      <c r="A23" s="280" t="s">
        <v>60</v>
      </c>
      <c r="B23" s="282">
        <f>SUM(B17:B22)</f>
        <v>6</v>
      </c>
    </row>
    <row r="24" spans="1:2" x14ac:dyDescent="0.15">
      <c r="A24" s="136"/>
      <c r="B24" s="277"/>
    </row>
    <row r="25" spans="1:2" hidden="1" outlineLevel="1" x14ac:dyDescent="0.15">
      <c r="A25" s="143" t="s">
        <v>106</v>
      </c>
      <c r="B25" s="143"/>
    </row>
    <row r="26" spans="1:2" hidden="1" outlineLevel="1" x14ac:dyDescent="0.15">
      <c r="A26" s="137" t="s">
        <v>107</v>
      </c>
      <c r="B26" s="229">
        <v>0.28999999999999998</v>
      </c>
    </row>
    <row r="27" spans="1:2" hidden="1" outlineLevel="1" x14ac:dyDescent="0.15">
      <c r="A27" s="137" t="s">
        <v>108</v>
      </c>
      <c r="B27" s="239">
        <v>0.2</v>
      </c>
    </row>
    <row r="28" spans="1:2" hidden="1" outlineLevel="1" x14ac:dyDescent="0.15">
      <c r="A28" s="137" t="s">
        <v>109</v>
      </c>
      <c r="B28" s="240"/>
    </row>
    <row r="29" spans="1:2" hidden="1" outlineLevel="1" x14ac:dyDescent="0.15">
      <c r="A29" s="137" t="s">
        <v>110</v>
      </c>
      <c r="B29" s="231">
        <v>0.03</v>
      </c>
    </row>
    <row r="30" spans="1:2" hidden="1" outlineLevel="1" x14ac:dyDescent="0.15"/>
    <row r="31" spans="1:2" collapsed="1" x14ac:dyDescent="0.15">
      <c r="A31" s="143" t="s">
        <v>111</v>
      </c>
      <c r="B31" s="245"/>
    </row>
    <row r="32" spans="1:2" x14ac:dyDescent="0.15">
      <c r="A32" s="137" t="s">
        <v>112</v>
      </c>
      <c r="B32" s="229">
        <v>0.6</v>
      </c>
    </row>
    <row r="33" spans="1:18" x14ac:dyDescent="0.15">
      <c r="A33" s="137" t="s">
        <v>113</v>
      </c>
      <c r="B33" s="239">
        <v>0.4</v>
      </c>
    </row>
    <row r="35" spans="1:18" x14ac:dyDescent="0.15">
      <c r="A35" s="143" t="s">
        <v>114</v>
      </c>
      <c r="B35" s="245"/>
    </row>
    <row r="36" spans="1:18" x14ac:dyDescent="0.15">
      <c r="A36" s="137" t="s">
        <v>112</v>
      </c>
      <c r="B36" s="173">
        <f>AVERAGE('Model Org Stats'!E36,'Model Org Stats'!H36,'Model Org Stats'!K36,'Model Org Stats'!N36,'Model Org Stats'!Z36,'Model Org Stats'!AC36,'Model Org Stats'!AF36,'Model Org Stats'!AR36,'Model Org Stats'!AU36,'Model Org Stats'!AX36,'Model Org Stats'!BJ36,'Model Org Stats'!BM36,'Model Org Stats'!BP36,'Model Org Stats'!CE36,'Model Org Stats'!CH36,'Model Org Stats'!CK36,'Model Org Stats'!CN36)</f>
        <v>96058.439021783051</v>
      </c>
    </row>
    <row r="38" spans="1:18" hidden="1" outlineLevel="1" x14ac:dyDescent="0.15">
      <c r="A38" s="143" t="s">
        <v>115</v>
      </c>
      <c r="B38" s="143"/>
      <c r="C38" s="143"/>
      <c r="D38" s="143"/>
      <c r="E38" s="143"/>
      <c r="F38" s="143"/>
      <c r="G38" s="143"/>
      <c r="H38" s="143"/>
      <c r="I38" s="143"/>
      <c r="J38" s="143"/>
      <c r="K38" s="143"/>
      <c r="L38" s="143"/>
      <c r="M38" s="143"/>
      <c r="N38" s="143"/>
      <c r="O38" s="143"/>
      <c r="P38" s="143"/>
    </row>
    <row r="39" spans="1:18" hidden="1" outlineLevel="1" x14ac:dyDescent="0.15">
      <c r="A39" s="219"/>
      <c r="B39" s="146" t="s">
        <v>116</v>
      </c>
      <c r="C39" s="146" t="s">
        <v>117</v>
      </c>
      <c r="D39" s="146" t="s">
        <v>118</v>
      </c>
      <c r="E39" s="143" t="s">
        <v>119</v>
      </c>
      <c r="F39" s="144"/>
      <c r="G39" s="144"/>
      <c r="H39" s="144"/>
      <c r="I39" s="144"/>
      <c r="J39" s="144"/>
      <c r="K39" s="144"/>
      <c r="L39" s="144"/>
      <c r="M39" s="144"/>
      <c r="N39" s="144"/>
      <c r="O39" s="144"/>
      <c r="P39" s="144"/>
    </row>
    <row r="40" spans="1:18" hidden="1" outlineLevel="1" x14ac:dyDescent="0.15">
      <c r="A40" s="219"/>
      <c r="B40" s="146"/>
      <c r="C40" s="146"/>
      <c r="D40" s="146"/>
      <c r="E40" s="169" t="s">
        <v>120</v>
      </c>
      <c r="F40" s="169" t="s">
        <v>121</v>
      </c>
      <c r="G40" s="169" t="s">
        <v>122</v>
      </c>
      <c r="H40" s="169" t="s">
        <v>123</v>
      </c>
      <c r="I40" s="169" t="s">
        <v>124</v>
      </c>
      <c r="J40" s="169" t="s">
        <v>125</v>
      </c>
      <c r="K40" s="169" t="s">
        <v>126</v>
      </c>
      <c r="L40" s="169" t="s">
        <v>127</v>
      </c>
      <c r="M40" s="169" t="s">
        <v>128</v>
      </c>
      <c r="N40" s="169" t="s">
        <v>129</v>
      </c>
      <c r="O40" s="169" t="s">
        <v>130</v>
      </c>
      <c r="P40" s="169" t="s">
        <v>131</v>
      </c>
      <c r="Q40" s="137" t="s">
        <v>132</v>
      </c>
      <c r="R40" s="137" t="s">
        <v>133</v>
      </c>
    </row>
    <row r="41" spans="1:18" hidden="1" outlineLevel="1" x14ac:dyDescent="0.15">
      <c r="A41" s="137" t="s">
        <v>134</v>
      </c>
      <c r="B41" s="225">
        <v>0.3</v>
      </c>
      <c r="C41" s="235">
        <f>AVERAGE(E41:P41)</f>
        <v>0.32118478417520874</v>
      </c>
      <c r="D41" s="237" t="str">
        <f>_xlfn.CONCAT(Q41,"-",R41)</f>
        <v>3%-80%</v>
      </c>
      <c r="E41" s="189">
        <f>'INN Income Splits'!H9</f>
        <v>0.2509021883313749</v>
      </c>
      <c r="F41" s="189">
        <f>'INN Income Splits'!H28</f>
        <v>0.36871021173844654</v>
      </c>
      <c r="G41" s="189">
        <f>'INN Income Splits'!H46</f>
        <v>0.17819372341972736</v>
      </c>
      <c r="H41" s="189">
        <f>'INN Income Splits'!Q9</f>
        <v>9.404282265545702E-2</v>
      </c>
      <c r="I41" s="189">
        <f>'INN Income Splits'!Q28</f>
        <v>0.41130667625441125</v>
      </c>
      <c r="J41" s="189">
        <f>'INN Income Splits'!Q46</f>
        <v>0.80246165234665234</v>
      </c>
      <c r="K41" s="189">
        <f>'INN Income Splits'!Z9</f>
        <v>3.2358815149522942E-2</v>
      </c>
      <c r="L41" s="189">
        <f>'INN Income Splits'!Z28</f>
        <v>0.17045164147451919</v>
      </c>
      <c r="M41" s="189">
        <f>'INN Income Splits'!Z46</f>
        <v>0.46122464208223718</v>
      </c>
      <c r="N41" s="189">
        <f>'INN Income Splits'!AI9</f>
        <v>0.29874406497949912</v>
      </c>
      <c r="O41" s="189">
        <f>'INN Income Splits'!AI28</f>
        <v>0.3780396797919246</v>
      </c>
      <c r="P41" s="189">
        <f>'INN Income Splits'!AI46</f>
        <v>0.40778129187873202</v>
      </c>
      <c r="Q41" s="189" t="str">
        <f>TEXT(MIN(E41:P41),"0%")</f>
        <v>3%</v>
      </c>
      <c r="R41" s="189" t="str">
        <f>TEXT(MAX(E41:P41),"0%")</f>
        <v>80%</v>
      </c>
    </row>
    <row r="42" spans="1:18" hidden="1" outlineLevel="1" x14ac:dyDescent="0.15">
      <c r="A42" s="137" t="s">
        <v>135</v>
      </c>
      <c r="B42" s="225">
        <v>0.1</v>
      </c>
      <c r="C42" s="235">
        <f t="shared" ref="C42:C48" si="0">AVERAGE(E42:P42)</f>
        <v>9.1019531458589265E-2</v>
      </c>
      <c r="D42" s="237" t="str">
        <f t="shared" ref="D42:D48" si="1">_xlfn.CONCAT(Q42,"-",R42)</f>
        <v>0%-30%</v>
      </c>
      <c r="E42" s="189">
        <f>'INN Income Splits'!H10</f>
        <v>0.11719115083003452</v>
      </c>
      <c r="F42" s="189">
        <f>'INN Income Splits'!H29</f>
        <v>9.2540279607260828E-2</v>
      </c>
      <c r="G42" s="189">
        <f>'INN Income Splits'!H47</f>
        <v>1.0091963359747777E-2</v>
      </c>
      <c r="H42" s="189">
        <f>'INN Income Splits'!Q10</f>
        <v>0.11430005651109466</v>
      </c>
      <c r="I42" s="189">
        <f>'INN Income Splits'!Q29</f>
        <v>2.6765232188371599E-2</v>
      </c>
      <c r="J42" s="189">
        <f>'INN Income Splits'!Q47</f>
        <v>3.3184755615665602E-4</v>
      </c>
      <c r="K42" s="189">
        <f>'INN Income Splits'!Z10</f>
        <v>3.919678395360387E-3</v>
      </c>
      <c r="L42" s="189">
        <f>'INN Income Splits'!Z29</f>
        <v>9.0796216379769659E-2</v>
      </c>
      <c r="M42" s="189">
        <f>'INN Income Splits'!Z47</f>
        <v>0.30442089324179794</v>
      </c>
      <c r="N42" s="189">
        <f>'INN Income Splits'!AI10</f>
        <v>0.21732330653503698</v>
      </c>
      <c r="O42" s="189">
        <f>'INN Income Splits'!AI29</f>
        <v>8.2674034659786719E-2</v>
      </c>
      <c r="P42" s="189">
        <f>'INN Income Splits'!AI47</f>
        <v>3.1879718238653466E-2</v>
      </c>
      <c r="Q42" s="189" t="str">
        <f t="shared" ref="Q42:Q48" si="2">TEXT(MIN(E42:P42),"0%")</f>
        <v>0%</v>
      </c>
      <c r="R42" s="189" t="str">
        <f t="shared" ref="R42:R48" si="3">TEXT(MAX(E42:P42),"0%")</f>
        <v>30%</v>
      </c>
    </row>
    <row r="43" spans="1:18" hidden="1" outlineLevel="1" x14ac:dyDescent="0.15">
      <c r="A43" s="137" t="s">
        <v>136</v>
      </c>
      <c r="B43" s="225">
        <v>0.3</v>
      </c>
      <c r="C43" s="235">
        <f t="shared" si="0"/>
        <v>0.28889108403654151</v>
      </c>
      <c r="D43" s="237" t="str">
        <f t="shared" si="1"/>
        <v>11%-57%</v>
      </c>
      <c r="E43" s="189">
        <f>'INN Income Splits'!H11+'INN Income Splits'!H12</f>
        <v>0.17075778899058297</v>
      </c>
      <c r="F43" s="189">
        <f>'INN Income Splits'!H30+'INN Income Splits'!H31</f>
        <v>0.18554072837071336</v>
      </c>
      <c r="G43" s="189">
        <f>'INN Income Splits'!H48+'INN Income Splits'!H49</f>
        <v>0.42529348332116523</v>
      </c>
      <c r="H43" s="189">
        <f>'INN Income Splits'!Q11+'INN Income Splits'!Q12</f>
        <v>0.11183736454137141</v>
      </c>
      <c r="I43" s="189">
        <f>'INN Income Splits'!Q30+'INN Income Splits'!Q31</f>
        <v>0.43584473373550681</v>
      </c>
      <c r="J43" s="189">
        <f>'INN Income Splits'!Q48+'INN Income Splits'!Q49</f>
        <v>0.1693898630204142</v>
      </c>
      <c r="K43" s="189">
        <f>'INN Income Splits'!Z11+'INN Income Splits'!Z12</f>
        <v>0.56714961184013535</v>
      </c>
      <c r="L43" s="189">
        <f>'INN Income Splits'!Z30+'INN Income Splits'!Z31</f>
        <v>0.14923041720664693</v>
      </c>
      <c r="M43" s="189">
        <f>'INN Income Splits'!Z48+'INN Income Splits'!Z49</f>
        <v>0.1291927949592318</v>
      </c>
      <c r="N43" s="189">
        <f>'INN Income Splits'!AI11+'INN Income Splits'!AI12</f>
        <v>0.43868160463986777</v>
      </c>
      <c r="O43" s="189">
        <f>'INN Income Splits'!AI30+'INN Income Splits'!AI31</f>
        <v>0.23863533475235033</v>
      </c>
      <c r="P43" s="189">
        <f>'INN Income Splits'!AI48+'INN Income Splits'!AI49</f>
        <v>0.44513928306051215</v>
      </c>
      <c r="Q43" s="189" t="str">
        <f t="shared" si="2"/>
        <v>11%</v>
      </c>
      <c r="R43" s="189" t="str">
        <f t="shared" si="3"/>
        <v>57%</v>
      </c>
    </row>
    <row r="44" spans="1:18" hidden="1" outlineLevel="1" x14ac:dyDescent="0.15">
      <c r="A44" s="137" t="s">
        <v>137</v>
      </c>
      <c r="B44" s="225">
        <v>0.05</v>
      </c>
      <c r="C44" s="235">
        <f t="shared" si="0"/>
        <v>6.3111816206282922E-2</v>
      </c>
      <c r="D44" s="237" t="str">
        <f t="shared" si="1"/>
        <v>0%-21%</v>
      </c>
      <c r="E44" s="189">
        <f>'INN Income Splits'!H15</f>
        <v>0.1986763393518268</v>
      </c>
      <c r="F44" s="189">
        <f>'INN Income Splits'!H34</f>
        <v>1.4509892646406494E-2</v>
      </c>
      <c r="G44" s="189">
        <f>'INN Income Splits'!H52</f>
        <v>7.3704062533487824E-2</v>
      </c>
      <c r="H44" s="189">
        <f>'INN Income Splits'!Q15</f>
        <v>0.20781252965378338</v>
      </c>
      <c r="I44" s="189">
        <f>'INN Income Splits'!Q34</f>
        <v>1.0551044136111763E-2</v>
      </c>
      <c r="J44" s="189">
        <f>'INN Income Splits'!Q52</f>
        <v>1.6442896926681155E-4</v>
      </c>
      <c r="K44" s="189">
        <f>'INN Income Splits'!Z15</f>
        <v>2.2645544946841161E-2</v>
      </c>
      <c r="L44" s="189">
        <f>'INN Income Splits'!Z34</f>
        <v>0.12116335087348336</v>
      </c>
      <c r="M44" s="189">
        <f>'INN Income Splits'!Z52</f>
        <v>2.0423925712219064E-2</v>
      </c>
      <c r="N44" s="189">
        <f>'INN Income Splits'!AI15</f>
        <v>1.271439438838586E-2</v>
      </c>
      <c r="O44" s="189">
        <f>'INN Income Splits'!AI34</f>
        <v>5.5215978927378929E-2</v>
      </c>
      <c r="P44" s="189">
        <f>'INN Income Splits'!AI52</f>
        <v>1.9760302336203614E-2</v>
      </c>
      <c r="Q44" s="189" t="str">
        <f t="shared" si="2"/>
        <v>0%</v>
      </c>
      <c r="R44" s="189" t="str">
        <f t="shared" si="3"/>
        <v>21%</v>
      </c>
    </row>
    <row r="45" spans="1:18" hidden="1" outlineLevel="1" x14ac:dyDescent="0.15">
      <c r="A45" s="137" t="s">
        <v>138</v>
      </c>
      <c r="B45" s="225">
        <v>0.05</v>
      </c>
      <c r="C45" s="235">
        <f t="shared" si="0"/>
        <v>5.1692399584992631E-2</v>
      </c>
      <c r="D45" s="237" t="str">
        <f t="shared" si="1"/>
        <v>0%-14%</v>
      </c>
      <c r="E45" s="189">
        <f>'INN Income Splits'!H16</f>
        <v>5.3882394438812868E-2</v>
      </c>
      <c r="F45" s="189">
        <f>'INN Income Splits'!H35</f>
        <v>3.2222379828061927E-2</v>
      </c>
      <c r="G45" s="189">
        <f>'INN Income Splits'!H53</f>
        <v>4.021632529692263E-2</v>
      </c>
      <c r="H45" s="189">
        <f>'INN Income Splits'!Q16</f>
        <v>8.1033698038992921E-2</v>
      </c>
      <c r="I45" s="189">
        <f>'INN Income Splits'!Q35</f>
        <v>4.2966414878770412E-2</v>
      </c>
      <c r="J45" s="189">
        <f>'INN Income Splits'!Q53</f>
        <v>6.8073593276459978E-3</v>
      </c>
      <c r="K45" s="189">
        <f>'INN Income Splits'!Z16</f>
        <v>0.13517792374822399</v>
      </c>
      <c r="L45" s="189">
        <f>'INN Income Splits'!Z35</f>
        <v>0.10502470901375353</v>
      </c>
      <c r="M45" s="189">
        <f>'INN Income Splits'!Z53</f>
        <v>0</v>
      </c>
      <c r="N45" s="189">
        <f>'INN Income Splits'!AI16</f>
        <v>6.1178095614664125E-3</v>
      </c>
      <c r="O45" s="189">
        <f>'INN Income Splits'!AI35</f>
        <v>6.4189912040287317E-2</v>
      </c>
      <c r="P45" s="189">
        <f>'INN Income Splits'!AI53</f>
        <v>5.2669868846973521E-2</v>
      </c>
      <c r="Q45" s="189" t="str">
        <f t="shared" si="2"/>
        <v>0%</v>
      </c>
      <c r="R45" s="189" t="str">
        <f t="shared" si="3"/>
        <v>14%</v>
      </c>
    </row>
    <row r="46" spans="1:18" hidden="1" outlineLevel="1" x14ac:dyDescent="0.15">
      <c r="A46" s="137" t="s">
        <v>139</v>
      </c>
      <c r="B46" s="225">
        <v>0.1</v>
      </c>
      <c r="C46" s="235">
        <f t="shared" si="0"/>
        <v>0.10635500213106673</v>
      </c>
      <c r="D46" s="237" t="str">
        <f t="shared" si="1"/>
        <v>0%-27%</v>
      </c>
      <c r="E46" s="189">
        <f>'INN Income Splits'!H17</f>
        <v>0.13886560755384272</v>
      </c>
      <c r="F46" s="189">
        <f>'INN Income Splits'!H36</f>
        <v>0.19485547635510359</v>
      </c>
      <c r="G46" s="189">
        <f>'INN Income Splits'!H54</f>
        <v>0.19524144217690581</v>
      </c>
      <c r="H46" s="189">
        <f>'INN Income Splits'!Q17</f>
        <v>0.16841868429253562</v>
      </c>
      <c r="I46" s="189">
        <f>'INN Income Splits'!Q36</f>
        <v>4.2281249534911964E-3</v>
      </c>
      <c r="J46" s="189">
        <f>'INN Income Splits'!Q54</f>
        <v>0</v>
      </c>
      <c r="K46" s="189">
        <f>'INN Income Splits'!Z17</f>
        <v>0.19113885461290145</v>
      </c>
      <c r="L46" s="189">
        <f>'INN Income Splits'!Z36</f>
        <v>0.26761262831578414</v>
      </c>
      <c r="M46" s="189">
        <f>'INN Income Splits'!Z54</f>
        <v>0</v>
      </c>
      <c r="N46" s="189">
        <f>'INN Income Splits'!AI17</f>
        <v>2.81926707901678E-3</v>
      </c>
      <c r="O46" s="189">
        <f>'INN Income Splits'!AI36</f>
        <v>8.8868768777120272E-2</v>
      </c>
      <c r="P46" s="189">
        <f>'INN Income Splits'!AI54</f>
        <v>2.4211171456099179E-2</v>
      </c>
      <c r="Q46" s="189" t="str">
        <f t="shared" si="2"/>
        <v>0%</v>
      </c>
      <c r="R46" s="189" t="str">
        <f t="shared" si="3"/>
        <v>27%</v>
      </c>
    </row>
    <row r="47" spans="1:18" hidden="1" outlineLevel="1" x14ac:dyDescent="0.15">
      <c r="A47" s="137" t="s">
        <v>140</v>
      </c>
      <c r="B47" s="225">
        <v>0.05</v>
      </c>
      <c r="C47" s="235">
        <f t="shared" si="0"/>
        <v>2.117761113784597E-2</v>
      </c>
      <c r="D47" s="237" t="str">
        <f t="shared" si="1"/>
        <v>0%-6%</v>
      </c>
      <c r="E47" s="189">
        <f>'INN Income Splits'!H18</f>
        <v>4.3656510589867185E-2</v>
      </c>
      <c r="F47" s="189">
        <f>'INN Income Splits'!H37</f>
        <v>2.0840771193979528E-2</v>
      </c>
      <c r="G47" s="189">
        <f>'INN Income Splits'!H55</f>
        <v>4.5482907172676085E-2</v>
      </c>
      <c r="H47" s="189">
        <f>'INN Income Splits'!Q18</f>
        <v>2.4120684790972562E-2</v>
      </c>
      <c r="I47" s="189">
        <f>'INN Income Splits'!Q37</f>
        <v>5.8171135488848495E-2</v>
      </c>
      <c r="J47" s="189">
        <f>'INN Income Splits'!Q55</f>
        <v>0</v>
      </c>
      <c r="K47" s="189">
        <f>'INN Income Splits'!Z18</f>
        <v>1.6816068024146466E-2</v>
      </c>
      <c r="L47" s="189">
        <f>'INN Income Splits'!Z37</f>
        <v>8.5396866170302354E-3</v>
      </c>
      <c r="M47" s="189">
        <f>'INN Income Splits'!Z55</f>
        <v>0</v>
      </c>
      <c r="N47" s="189">
        <f>'INN Income Splits'!AI18</f>
        <v>1.7483966717230463E-3</v>
      </c>
      <c r="O47" s="189">
        <f>'INN Income Splits'!AI37</f>
        <v>2.7002417278049383E-2</v>
      </c>
      <c r="P47" s="189">
        <f>'INN Income Splits'!AI55</f>
        <v>7.7527558268586354E-3</v>
      </c>
      <c r="Q47" s="189" t="str">
        <f t="shared" si="2"/>
        <v>0%</v>
      </c>
      <c r="R47" s="189" t="str">
        <f t="shared" si="3"/>
        <v>6%</v>
      </c>
    </row>
    <row r="48" spans="1:18" hidden="1" outlineLevel="1" x14ac:dyDescent="0.15">
      <c r="A48" s="140" t="s">
        <v>141</v>
      </c>
      <c r="B48" s="233">
        <v>0.05</v>
      </c>
      <c r="C48" s="236">
        <f t="shared" si="0"/>
        <v>5.6567771269472288E-2</v>
      </c>
      <c r="D48" s="238" t="str">
        <f t="shared" si="1"/>
        <v>1%-20%</v>
      </c>
      <c r="E48" s="189">
        <f>'INN Income Splits'!H19+'INN Income Splits'!H20</f>
        <v>2.6068019913658091E-2</v>
      </c>
      <c r="F48" s="189">
        <f>'INN Income Splits'!H38+'INN Income Splits'!H39</f>
        <v>9.0780260260027779E-2</v>
      </c>
      <c r="G48" s="189">
        <f>'INN Income Splits'!H56+'INN Income Splits'!H57</f>
        <v>3.1776092719367259E-2</v>
      </c>
      <c r="H48" s="189">
        <f>'INN Income Splits'!Q19+'INN Income Splits'!Q20</f>
        <v>0.19843415951579232</v>
      </c>
      <c r="I48" s="189">
        <f>'INN Income Splits'!Q38+'INN Income Splits'!Q39</f>
        <v>1.0166638364488459E-2</v>
      </c>
      <c r="J48" s="189">
        <f>'INN Income Splits'!Q56+'INN Income Splits'!Q57</f>
        <v>2.084484877986395E-2</v>
      </c>
      <c r="K48" s="189">
        <f>'INN Income Splits'!Z19+'INN Income Splits'!Z20</f>
        <v>3.0793503282868295E-2</v>
      </c>
      <c r="L48" s="189">
        <f>'INN Income Splits'!Z38+'INN Income Splits'!Z39</f>
        <v>8.7181350119012971E-2</v>
      </c>
      <c r="M48" s="189">
        <f>'INN Income Splits'!Z56+'INN Income Splits'!Z57</f>
        <v>8.4737744004514046E-2</v>
      </c>
      <c r="N48" s="189">
        <f>'INN Income Splits'!AI19+'INN Income Splits'!AI20</f>
        <v>2.1851156145004179E-2</v>
      </c>
      <c r="O48" s="189">
        <f>'INN Income Splits'!AI38+'INN Income Splits'!AI39</f>
        <v>6.5373873773102595E-2</v>
      </c>
      <c r="P48" s="189">
        <f>'INN Income Splits'!AI56+'INN Income Splits'!AI57</f>
        <v>1.0805608355967567E-2</v>
      </c>
      <c r="Q48" s="189" t="str">
        <f t="shared" si="2"/>
        <v>1%</v>
      </c>
      <c r="R48" s="189" t="str">
        <f t="shared" si="3"/>
        <v>20%</v>
      </c>
    </row>
    <row r="49" spans="1:16" hidden="1" outlineLevel="1" x14ac:dyDescent="0.15">
      <c r="A49" s="136" t="s">
        <v>60</v>
      </c>
      <c r="B49" s="234">
        <f>SUM(B41:B48)</f>
        <v>1</v>
      </c>
      <c r="C49" s="234">
        <f>SUM(C41:C48)</f>
        <v>1</v>
      </c>
      <c r="D49" s="234"/>
      <c r="E49" s="168">
        <f>SUM(E41:E48)</f>
        <v>1</v>
      </c>
      <c r="F49" s="168">
        <f t="shared" ref="F49:G49" si="4">SUM(F41:F48)</f>
        <v>1</v>
      </c>
      <c r="G49" s="168">
        <f t="shared" si="4"/>
        <v>0.99999999999999989</v>
      </c>
      <c r="H49" s="168">
        <f t="shared" ref="H49" si="5">SUM(H41:H48)</f>
        <v>0.99999999999999989</v>
      </c>
      <c r="I49" s="168">
        <f t="shared" ref="I49" si="6">SUM(I41:I48)</f>
        <v>1</v>
      </c>
      <c r="J49" s="168">
        <f t="shared" ref="J49" si="7">SUM(J41:J48)</f>
        <v>1</v>
      </c>
      <c r="K49" s="168">
        <f t="shared" ref="K49" si="8">SUM(K41:K48)</f>
        <v>1</v>
      </c>
      <c r="L49" s="168">
        <f t="shared" ref="L49" si="9">SUM(L41:L48)</f>
        <v>0.99999999999999989</v>
      </c>
      <c r="M49" s="168">
        <f t="shared" ref="M49" si="10">SUM(M41:M48)</f>
        <v>1</v>
      </c>
      <c r="N49" s="168">
        <f t="shared" ref="N49" si="11">SUM(N41:N48)</f>
        <v>1.0000000000000002</v>
      </c>
      <c r="O49" s="168">
        <f t="shared" ref="O49" si="12">SUM(O41:O48)</f>
        <v>1.0000000000000002</v>
      </c>
      <c r="P49" s="168">
        <f t="shared" ref="P49" si="13">SUM(P41:P48)</f>
        <v>1.0000000000000002</v>
      </c>
    </row>
    <row r="50" spans="1:16" hidden="1" outlineLevel="1" x14ac:dyDescent="0.15"/>
    <row r="51" spans="1:16" hidden="1" outlineLevel="1" x14ac:dyDescent="0.15">
      <c r="A51" s="219" t="s">
        <v>142</v>
      </c>
      <c r="B51" s="219"/>
      <c r="C51" s="219"/>
      <c r="D51" s="219"/>
    </row>
    <row r="52" spans="1:16" hidden="1" outlineLevel="1" x14ac:dyDescent="0.15">
      <c r="A52" s="137" t="s">
        <v>143</v>
      </c>
      <c r="B52" s="222">
        <v>3</v>
      </c>
      <c r="C52" s="137" t="s">
        <v>144</v>
      </c>
    </row>
    <row r="53" spans="1:16" hidden="1" outlineLevel="1" x14ac:dyDescent="0.15">
      <c r="A53" s="137" t="s">
        <v>145</v>
      </c>
      <c r="B53" s="223">
        <v>500000</v>
      </c>
    </row>
    <row r="54" spans="1:16" hidden="1" outlineLevel="1" x14ac:dyDescent="0.15"/>
    <row r="55" spans="1:16" collapsed="1" x14ac:dyDescent="0.15"/>
  </sheetData>
  <pageMargins left="0.7" right="0.7" top="0.75" bottom="0.75" header="0.3" footer="0.3"/>
  <pageSetup scale="45"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98B913B-78DD-4E5B-90F9-5F1D9304B428}">
          <x14:formula1>
            <xm:f>'Dropdown Menus'!#REF!</xm:f>
          </x14:formula1>
          <xm:sqref>B52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19</vt:i4>
      </vt:variant>
    </vt:vector>
  </HeadingPairs>
  <TitlesOfParts>
    <vt:vector size="47" baseType="lpstr">
      <vt:lpstr>Projections</vt:lpstr>
      <vt:lpstr>INSTRUCTIONS</vt:lpstr>
      <vt:lpstr>SUMMARY</vt:lpstr>
      <vt:lpstr>By Journalist</vt:lpstr>
      <vt:lpstr>State Estimate</vt:lpstr>
      <vt:lpstr>Regional Estimate</vt:lpstr>
      <vt:lpstr>By Org Type - Regional National</vt:lpstr>
      <vt:lpstr>By Org Type - State Local</vt:lpstr>
      <vt:lpstr>Assumptions</vt:lpstr>
      <vt:lpstr>Coverage Units by State Size</vt:lpstr>
      <vt:lpstr>State Data Rollup &amp; Size Tags</vt:lpstr>
      <vt:lpstr>INN YBY Comparison</vt:lpstr>
      <vt:lpstr>Model Org Stats</vt:lpstr>
      <vt:lpstr>INN Rollups 2021</vt:lpstr>
      <vt:lpstr>INN Income Splits</vt:lpstr>
      <vt:lpstr>INN Rollups 2020</vt:lpstr>
      <vt:lpstr>INN 2021</vt:lpstr>
      <vt:lpstr>INN 2020</vt:lpstr>
      <vt:lpstr>Public Radio Data</vt:lpstr>
      <vt:lpstr>Hub Data</vt:lpstr>
      <vt:lpstr>School Districts</vt:lpstr>
      <vt:lpstr>Pop. Data</vt:lpstr>
      <vt:lpstr>Census of Govts Data</vt:lpstr>
      <vt:lpstr>Phil. Data</vt:lpstr>
      <vt:lpstr>Dropdown Menus</vt:lpstr>
      <vt:lpstr>Data Sources</vt:lpstr>
      <vt:lpstr>Model Outline</vt:lpstr>
      <vt:lpstr>Taxonomy</vt:lpstr>
      <vt:lpstr>Assumptions!Print_Area</vt:lpstr>
      <vt:lpstr>'By Journalist'!Print_Area</vt:lpstr>
      <vt:lpstr>'By Org Type - Regional National'!Print_Area</vt:lpstr>
      <vt:lpstr>'By Org Type - State Local'!Print_Area</vt:lpstr>
      <vt:lpstr>'Census of Govts Data'!Print_Area</vt:lpstr>
      <vt:lpstr>'Coverage Units by State Size'!Print_Area</vt:lpstr>
      <vt:lpstr>'INN Income Splits'!Print_Area</vt:lpstr>
      <vt:lpstr>'INN Rollups 2021'!Print_Area</vt:lpstr>
      <vt:lpstr>INSTRUCTIONS!Print_Area</vt:lpstr>
      <vt:lpstr>'Model Org Stats'!Print_Area</vt:lpstr>
      <vt:lpstr>'Phil. Data'!Print_Area</vt:lpstr>
      <vt:lpstr>Projections!Print_Area</vt:lpstr>
      <vt:lpstr>'Public Radio Data'!Print_Area</vt:lpstr>
      <vt:lpstr>'Regional Estimate'!Print_Area</vt:lpstr>
      <vt:lpstr>'School Districts'!Print_Area</vt:lpstr>
      <vt:lpstr>'State Data Rollup &amp; Size Tags'!Print_Area</vt:lpstr>
      <vt:lpstr>'State Estimate'!Print_Area</vt:lpstr>
      <vt:lpstr>SUMMARY!Print_Area</vt:lpstr>
      <vt:lpstr>Taxonomy!Print_Area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Bilbao</dc:creator>
  <cp:keywords/>
  <dc:description/>
  <cp:lastModifiedBy>Microsoft Office User</cp:lastModifiedBy>
  <cp:revision/>
  <dcterms:created xsi:type="dcterms:W3CDTF">2021-02-02T22:47:18Z</dcterms:created>
  <dcterms:modified xsi:type="dcterms:W3CDTF">2023-02-14T19:11:57Z</dcterms:modified>
  <cp:category/>
  <cp:contentStatus/>
</cp:coreProperties>
</file>