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D:\5.-LIGHTGIG\1.-TRABAJOS ONY\31.-A02R6E9 (ALABAMA)\6.-CORRECCIONES ATT\"/>
    </mc:Choice>
  </mc:AlternateContent>
  <xr:revisionPtr revIDLastSave="0" documentId="13_ncr:1_{D973C75F-342A-4377-A266-86A8914A9199}" xr6:coauthVersionLast="47" xr6:coauthVersionMax="47" xr10:uidLastSave="{00000000-0000-0000-0000-000000000000}"/>
  <bookViews>
    <workbookView xWindow="28680" yWindow="-135"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78" i="29" l="1"/>
  <c r="I172" i="29"/>
  <c r="M464" i="29"/>
  <c r="AK471" i="29"/>
  <c r="I381" i="29"/>
  <c r="L377"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459" i="29"/>
  <c r="Z400" i="29"/>
  <c r="AA281" i="29"/>
  <c r="AA160" i="29"/>
  <c r="AA164"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13" i="29" l="1"/>
  <c r="L33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X3" i="34" l="1"/>
  <c r="AS3" i="34"/>
  <c r="BH5" i="34"/>
  <c r="J5" i="34"/>
  <c r="FC3" i="34"/>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G3" i="34"/>
  <c r="BG2" i="34" s="1"/>
  <c r="BC5" i="34"/>
  <c r="BM5" i="34"/>
  <c r="BL3" i="34" s="1"/>
  <c r="AS5" i="34"/>
  <c r="Y5" i="34"/>
  <c r="AI3" i="34"/>
  <c r="AD3" i="34"/>
  <c r="T5" i="34"/>
  <c r="Y3" i="34"/>
  <c r="AN3" i="34"/>
  <c r="AM3" i="34" s="1"/>
  <c r="AD5" i="34"/>
  <c r="T3" i="34"/>
  <c r="O3" i="34"/>
  <c r="J3" i="34"/>
  <c r="I3" i="34" s="1"/>
  <c r="IP3" i="34"/>
  <c r="IO3" i="34" s="1"/>
  <c r="IO2" i="34" s="1"/>
  <c r="E12" i="29"/>
  <c r="E7" i="29"/>
  <c r="E9" i="34"/>
  <c r="E7" i="34"/>
  <c r="E6" i="34" s="1"/>
  <c r="AW3" i="34" l="1"/>
  <c r="L378" i="29" s="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W2" i="34" l="1"/>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51" i="29" l="1"/>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J351" i="29" s="1"/>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J230" i="29" s="1"/>
  <c r="BA228" i="29"/>
  <c r="J229" i="29" s="1"/>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<sst xmlns="http://schemas.openxmlformats.org/spreadsheetml/2006/main" count="7860" uniqueCount="789">
  <si>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</si>
  <si>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</si>
  <si>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</si>
  <si>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</si>
  <si>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</si>
  <si>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</si>
  <si>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</si>
  <si>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</si>
  <si>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</si>
  <si>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</si>
  <si>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</si>
  <si>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</si>
  <si>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</si>
  <si>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</si>
  <si>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</si>
  <si>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</si>
  <si>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</si>
  <si>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</si>
  <si>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</si>
  <si>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</si>
  <si>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</si>
  <si>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</si>
  <si>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</si>
  <si>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</si>
  <si>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</si>
  <si>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</si>
  <si>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</si>
  <si>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</si>
  <si>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</si>
  <si>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</si>
  <si>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</si>
  <si>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</si>
  <si>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</si>
  <si>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</si>
  <si>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</si>
  <si>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</si>
  <si>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</si>
  <si>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</si>
  <si>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</si>
  <si>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</si>
  <si>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</si>
  <si>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</si>
  <si>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</si>
  <si>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</si>
  <si>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</si>
  <si>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</si>
  <si>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</si>
  <si>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</si>
  <si>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</si>
  <si>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</si>
  <si>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</si>
  <si>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</si>
  <si>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</si>
  <si>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</si>
  <si>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</si>
  <si>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</si>
  <si>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</si>
  <si>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</si>
  <si>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</si>
  <si>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</si>
  <si>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</si>
  <si>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</si>
  <si>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</si>
  <si>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</si>
  <si>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</si>
  <si>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</si>
  <si>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</si>
  <si>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</si>
  <si>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</si>
  <si>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</si>
  <si>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</si>
  <si>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</si>
  <si>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</si>
  <si>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</si>
  <si>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</si>
  <si>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</si>
  <si>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</si>
  <si>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</si>
  <si>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</si>
  <si>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</si>
  <si>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</si>
  <si>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</si>
  <si>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</si>
  <si>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</si>
  <si>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</si>
  <si>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</si>
  <si>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</si>
  <si>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</si>
  <si>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</si>
  <si>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</si>
  <si>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</si>
  <si>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</si>
  <si>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</si>
  <si>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</si>
  <si>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</si>
  <si>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</si>
  <si>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</si>
  <si>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</si>
  <si>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</si>
  <si>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</si>
  <si>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</si>
  <si>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</si>
  <si>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</si>
  <si>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</si>
  <si>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</si>
  <si>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</si>
  <si>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</si>
  <si>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</si>
  <si>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</si>
  <si>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</si>
  <si>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</si>
  <si>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</si>
  <si>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</si>
  <si>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</si>
  <si>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</si>
  <si>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</si>
  <si>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</si>
  <si>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</si>
  <si>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</si>
  <si>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</si>
  <si>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</si>
  <si>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</si>
  <si>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</si>
  <si>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</si>
  <si>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</si>
  <si>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</si>
  <si>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</si>
  <si>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</si>
  <si>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</si>
  <si>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</si>
  <si>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</si>
  <si>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</si>
  <si>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</si>
  <si>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</si>
  <si>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</si>
  <si>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</si>
  <si>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</si>
  <si>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</si>
  <si>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</si>
  <si>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</si>
  <si>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</si>
  <si>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</si>
  <si>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</si>
  <si>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</si>
  <si>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</si>
  <si>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</si>
  <si>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</si>
  <si>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</si>
  <si>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</si>
  <si>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</si>
  <si>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</si>
  <si>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</si>
  <si>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</si>
  <si>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</si>
  <si>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</si>
  <si>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</si>
  <si>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</si>
  <si>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</si>
  <si>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</si>
  <si>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</si>
  <si>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</si>
  <si>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</si>
  <si>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</si>
  <si>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</si>
  <si>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</si>
  <si>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</si>
  <si>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</si>
  <si>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</si>
  <si>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</si>
  <si>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</si>
  <si>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</si>
  <si>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</si>
  <si>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</si>
  <si>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</si>
  <si>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</si>
  <si>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</si>
  <si>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</si>
  <si>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</si>
  <si>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</si>
  <si>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</si>
  <si>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</si>
  <si>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</si>
  <si>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</si>
  <si>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</si>
  <si>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</si>
  <si>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</si>
  <si>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</si>
  <si>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</si>
  <si>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</si>
  <si>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</si>
  <si>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</si>
  <si>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</si>
  <si>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</si>
  <si>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</si>
  <si>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</si>
  <si>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</si>
  <si>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</si>
  <si>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</si>
  <si>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</si>
  <si>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</si>
  <si>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</si>
  <si>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</si>
  <si>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</si>
  <si>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</si>
  <si>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</si>
  <si>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</si>
  <si>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</si>
  <si>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</si>
  <si>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</si>
  <si>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</si>
  <si>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</si>
  <si>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</si>
  <si>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</si>
  <si>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</si>
  <si>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</si>
  <si>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</si>
  <si>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</si>
  <si>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</si>
  <si>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</si>
  <si>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</si>
  <si>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</si>
  <si>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</si>
  <si>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</si>
  <si>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</si>
  <si>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</si>
  <si>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</si>
  <si>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</si>
  <si>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</si>
  <si>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</si>
  <si>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</si>
  <si>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</si>
  <si>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</si>
  <si>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</si>
  <si>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</si>
  <si>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</si>
  <si>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</si>
  <si>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</si>
  <si>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</si>
  <si>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</si>
  <si>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</si>
  <si>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</si>
  <si>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</si>
  <si>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</si>
  <si>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</si>
  <si>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</si>
  <si>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</si>
  <si>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</si>
  <si>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</si>
  <si>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</si>
  <si>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</si>
  <si>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</si>
  <si>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</si>
  <si>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</si>
  <si>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</si>
  <si>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</si>
  <si>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</si>
  <si>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</si>
  <si>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</si>
  <si>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</si>
  <si>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</si>
  <si>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</si>
  <si>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</si>
  <si>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</si>
  <si>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</si>
  <si>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</si>
  <si>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</si>
  <si>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</si>
  <si>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</si>
  <si>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</si>
  <si>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</si>
  <si>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</si>
  <si>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</si>
  <si>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</si>
  <si>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</si>
  <si>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</si>
  <si>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</si>
  <si>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</si>
  <si>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</si>
  <si>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</si>
  <si>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</si>
  <si>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</si>
  <si>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</si>
  <si>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</si>
  <si>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</si>
  <si>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</si>
  <si>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</si>
  <si>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</si>
  <si>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</si>
  <si>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</si>
  <si>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</si>
  <si>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</si>
  <si>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</si>
  <si>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</si>
  <si>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</si>
  <si>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</si>
  <si>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</si>
  <si>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</si>
  <si>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</si>
  <si>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</si>
  <si>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</si>
  <si>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</si>
  <si>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</si>
  <si>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</si>
  <si>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</si>
  <si>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</si>
  <si>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</si>
  <si>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</si>
  <si>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</si>
  <si>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</si>
  <si>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</si>
  <si>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</si>
  <si>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</si>
  <si>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</si>
  <si>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</si>
  <si>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</si>
  <si>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</si>
  <si>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</si>
  <si>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</si>
  <si>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</si>
  <si>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</si>
  <si>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</si>
  <si>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</si>
  <si>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</si>
  <si>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</si>
  <si>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</si>
  <si>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</si>
  <si>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</si>
  <si>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</si>
  <si>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</si>
  <si>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</si>
  <si>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</si>
  <si>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</si>
  <si>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</si>
  <si>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</si>
  <si>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</si>
  <si>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</si>
  <si>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</si>
  <si>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</si>
  <si>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</si>
  <si>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</si>
  <si>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</si>
  <si>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</si>
  <si>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</si>
  <si>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</si>
  <si>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</si>
  <si>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</si>
  <si>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</si>
  <si>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</si>
  <si>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</si>
  <si>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</si>
  <si>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</si>
  <si>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</si>
  <si>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</si>
  <si>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</si>
  <si>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</si>
  <si>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</si>
  <si>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</si>
  <si>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</si>
  <si>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</si>
  <si>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</si>
  <si>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</si>
  <si>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</si>
  <si>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</si>
  <si>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</si>
  <si>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</si>
  <si>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</si>
  <si>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</si>
  <si>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</si>
  <si>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</si>
  <si>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</si>
  <si>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</si>
  <si>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</si>
  <si>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</si>
  <si>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</si>
  <si>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</si>
  <si>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</si>
  <si>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</si>
  <si>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</si>
  <si>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</si>
  <si>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</si>
  <si>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</si>
  <si>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</si>
  <si>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</si>
  <si>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</si>
  <si>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</si>
  <si>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</si>
  <si>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</si>
  <si>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</si>
  <si>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</si>
  <si>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</si>
  <si>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</si>
  <si>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</si>
  <si>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</si>
  <si>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</si>
  <si>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</si>
  <si>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</si>
  <si>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</si>
  <si>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</si>
  <si>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</si>
  <si>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</si>
  <si>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</si>
  <si>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</si>
  <si>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</si>
  <si>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</si>
  <si>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</si>
  <si>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</si>
  <si>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</si>
  <si>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</si>
  <si>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</si>
  <si>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</si>
  <si>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</si>
  <si>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</si>
  <si>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</si>
  <si>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</si>
  <si>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</si>
  <si>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</si>
  <si>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</si>
  <si>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</si>
  <si>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</si>
  <si>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</si>
  <si>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</si>
  <si>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</si>
  <si>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</si>
  <si>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</si>
  <si>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</si>
  <si>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</si>
  <si>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</si>
  <si>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</si>
  <si>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</si>
  <si>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</si>
  <si>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</si>
  <si>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</si>
  <si>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</si>
  <si>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</si>
  <si>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</si>
  <si>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</si>
  <si>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</si>
  <si>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</si>
  <si>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</si>
  <si>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</si>
  <si>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</si>
  <si>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</si>
  <si>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</si>
  <si>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</si>
  <si>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</si>
  <si>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</si>
  <si>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</si>
  <si>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</si>
  <si>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</si>
  <si>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</si>
  <si>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</si>
  <si>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</si>
  <si>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</si>
  <si>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</si>
  <si>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</si>
  <si>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</si>
  <si>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</si>
  <si>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</si>
  <si>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</si>
  <si>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</si>
  <si>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</si>
  <si>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</si>
  <si>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</si>
  <si>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</si>
  <si>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</si>
  <si>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</si>
  <si>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</si>
  <si>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</si>
  <si>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</si>
  <si>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</si>
  <si>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</si>
  <si>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</si>
  <si>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</si>
  <si>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</si>
  <si>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</si>
  <si>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</si>
  <si>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</si>
  <si>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</si>
  <si>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</si>
  <si>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</si>
  <si>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</si>
  <si>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</si>
  <si>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</si>
  <si>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</si>
  <si>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</si>
  <si>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</si>
  <si>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</si>
  <si>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</si>
  <si>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</si>
  <si>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</si>
  <si>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</si>
  <si>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</si>
  <si>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</si>
  <si>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</si>
  <si>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</si>
  <si>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</si>
  <si>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</si>
  <si>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</si>
  <si>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</si>
  <si>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</si>
  <si>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</si>
  <si>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</si>
  <si>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</si>
  <si>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</si>
  <si>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</si>
  <si>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</si>
  <si>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</si>
  <si>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</si>
  <si>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</si>
  <si>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</si>
  <si>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</si>
  <si>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</si>
  <si>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</si>
  <si>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</si>
  <si>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</si>
  <si>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</si>
  <si>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</si>
  <si>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</si>
  <si>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</si>
  <si>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</si>
  <si>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</si>
  <si>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</si>
  <si>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</si>
  <si>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</si>
  <si>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</si>
  <si>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</si>
  <si>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</si>
  <si>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</si>
  <si>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</si>
  <si>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</si>
  <si>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</si>
  <si>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</si>
  <si>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</si>
  <si>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</si>
  <si>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</si>
  <si>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</si>
  <si>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</si>
  <si>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</si>
  <si>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</si>
  <si>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</si>
  <si>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</si>
  <si>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</si>
  <si>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</si>
  <si>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</si>
  <si>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</si>
  <si>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</si>
  <si>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</si>
  <si>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</si>
  <si>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</si>
  <si>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</si>
  <si>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</si>
  <si>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</si>
  <si>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</si>
  <si>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</si>
  <si>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</si>
  <si>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</si>
  <si>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</si>
  <si>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</si>
  <si>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</si>
  <si>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</si>
  <si>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</si>
  <si>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</si>
  <si>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</si>
  <si>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</si>
  <si>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</si>
  <si>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</si>
  <si>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</si>
  <si>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</si>
  <si>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</si>
  <si>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</si>
  <si>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</si>
  <si>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</si>
  <si>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</si>
  <si>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</si>
  <si>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</si>
  <si>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</si>
  <si>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</si>
  <si>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</si>
  <si>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</si>
  <si>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</si>
  <si>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</si>
  <si>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</si>
  <si>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</si>
  <si>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</si>
  <si>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</si>
  <si>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</si>
  <si>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</si>
  <si>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</si>
  <si>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</si>
  <si>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</si>
  <si>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</si>
  <si>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</si>
  <si>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</si>
  <si>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</si>
  <si>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</si>
  <si>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</si>
  <si>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</si>
  <si>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</si>
  <si>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</si>
  <si>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</si>
  <si>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</si>
  <si>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</si>
  <si>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</si>
  <si>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</si>
  <si>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</si>
  <si>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</si>
  <si>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</si>
  <si>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</si>
  <si>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</si>
  <si>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</si>
  <si>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</si>
  <si>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</si>
  <si>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</si>
  <si>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</si>
  <si>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</si>
  <si>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</si>
  <si>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</si>
  <si>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</si>
  <si>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</si>
  <si>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</si>
  <si>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</si>
  <si>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</si>
  <si>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</si>
  <si>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</si>
  <si>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</si>
  <si>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</si>
  <si>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</si>
  <si>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</si>
  <si>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</si>
  <si>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</si>
  <si>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</si>
  <si>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</si>
  <si>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</si>
  <si>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</si>
  <si>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</si>
  <si>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</si>
  <si>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</si>
  <si>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</si>
  <si>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</si>
  <si>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</si>
  <si>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</si>
  <si>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</si>
  <si>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</si>
  <si>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</si>
  <si>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</si>
  <si>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</si>
  <si>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</si>
  <si>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</si>
  <si>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</si>
  <si>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</si>
  <si>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</si>
  <si>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</si>
  <si>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</si>
  <si>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</si>
  <si>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</si>
  <si>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</si>
  <si>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</si>
  <si>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</si>
  <si>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</si>
  <si>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</si>
  <si>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</si>
  <si>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</si>
  <si>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</si>
  <si>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</si>
  <si>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</si>
  <si>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</si>
  <si>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</si>
  <si>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</si>
  <si>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</si>
  <si>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</si>
  <si>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</si>
  <si>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</si>
  <si>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</si>
  <si>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</si>
  <si>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</si>
  <si>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</si>
  <si>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</si>
  <si>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</si>
  <si>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</si>
  <si>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</si>
  <si>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</si>
  <si>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</si>
  <si>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</si>
  <si>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</si>
  <si>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</si>
  <si>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</si>
  <si>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</si>
  <si>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</si>
  <si>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</si>
  <si>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</si>
  <si>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</si>
  <si>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</si>
  <si>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</si>
  <si>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</si>
  <si>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</si>
  <si>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</si>
  <si>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</si>
  <si>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</si>
  <si>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</si>
  <si>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</si>
  <si>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</si>
  <si>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</si>
  <si>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</si>
  <si>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</si>
  <si>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</si>
  <si>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</si>
  <si>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</si>
  <si>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</si>
  <si>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</si>
  <si>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</si>
  <si>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</si>
  <si>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</si>
  <si>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</si>
  <si>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</si>
  <si>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</si>
  <si>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</si>
  <si>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</si>
  <si>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</si>
  <si>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</si>
  <si>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</si>
  <si>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</si>
  <si>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</si>
  <si>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</si>
  <si>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</si>
  <si>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</si>
  <si>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</si>
  <si>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</si>
  <si>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</si>
  <si>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</si>
  <si>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</si>
  <si>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</si>
  <si>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 xml:space="preserve">A02R6E9 </t>
  </si>
  <si>
    <t>S 2624-3 NORTH RD</t>
  </si>
  <si>
    <t>2165PA</t>
  </si>
  <si>
    <t>PON2165PA</t>
  </si>
  <si>
    <t>F 125-1 SCENIC DR</t>
  </si>
  <si>
    <t>F 129-1 SCENIC DR</t>
  </si>
  <si>
    <t>F 137-1 SCENIC DR</t>
  </si>
  <si>
    <t>F 145-1 SCENIC DR</t>
  </si>
  <si>
    <t>F 148-1 SCENIC DR</t>
  </si>
  <si>
    <t>F 149-1 SCENIC DR</t>
  </si>
  <si>
    <t>F 156-1 SCENIC DR</t>
  </si>
  <si>
    <t>F 164-1 SCENIC DR</t>
  </si>
  <si>
    <t>F 168-1 SCENIC DR</t>
  </si>
  <si>
    <t>F 176-1 SCENIC DR</t>
  </si>
  <si>
    <t>F 2704-1 WINDCREST CIR</t>
  </si>
  <si>
    <t>F 2712-1 WINDCREST CIR</t>
  </si>
  <si>
    <t>F 2717-1 WINDCREST CIR</t>
  </si>
  <si>
    <t>F 2724-1 WINDCREST CIR</t>
  </si>
  <si>
    <t>F 2725-1 WINDCREST CIR</t>
  </si>
  <si>
    <t>F 2736-1 WINDCREST CIR</t>
  </si>
  <si>
    <t>F 137-1 RED OAK CIR</t>
  </si>
  <si>
    <t>F 129-1 RED OAK CIR</t>
  </si>
  <si>
    <t>F 121-1 RED OAK CIR</t>
  </si>
  <si>
    <t>OPP 114-1 RED OAK CIR</t>
  </si>
  <si>
    <t>F 2801-1 RICHIE AVE</t>
  </si>
  <si>
    <t>F 2805-1 RICHIE AVE</t>
  </si>
  <si>
    <t>F 2813-1 RICHIE AVE</t>
  </si>
  <si>
    <t>F 500-1 FOXFIRE DR</t>
  </si>
  <si>
    <t>F 509-1 FOXFIRE DR</t>
  </si>
  <si>
    <t>F 517-1 FOXFIRE DR</t>
  </si>
  <si>
    <t>F 525-1 FOXFIRE DR</t>
  </si>
  <si>
    <t>F 529-1 FOXFIRE DR</t>
  </si>
  <si>
    <t>F 531-1 FOXFIRE DR</t>
  </si>
  <si>
    <t>F 509-1 CATTAIL CIR</t>
  </si>
  <si>
    <t>F 513-1 CATTAIL CIR</t>
  </si>
  <si>
    <t>F 504-1 BUCKSKIN LN</t>
  </si>
  <si>
    <t>F 505-1 BUCKSKIN LN</t>
  </si>
  <si>
    <t>F 2832-1 BUCKSKIN DR</t>
  </si>
  <si>
    <t>F 2825-1 BUCKSKIN DR</t>
  </si>
  <si>
    <t>F 2833-1 BUCKSKIN DR</t>
  </si>
  <si>
    <t>F 2820-1 BUCKSKIN DR</t>
  </si>
  <si>
    <t>F 2812-1 BUCKSKIN DR</t>
  </si>
  <si>
    <t>F 2744-1 NORTH RD</t>
  </si>
  <si>
    <t>F 2812-1 NORTH RD</t>
  </si>
  <si>
    <t>F 2820-1 NORTH RD</t>
  </si>
  <si>
    <t>F 2832-1 NORTH RD</t>
  </si>
  <si>
    <t>F 2840-1 NORTH RD</t>
  </si>
  <si>
    <t>F 2852-1 NORTH RD</t>
  </si>
  <si>
    <t>F 2864-1 NORTH RD</t>
  </si>
  <si>
    <t>F 2884-1 NORTH RD</t>
  </si>
  <si>
    <t>F 2894-1 NORTH RD</t>
  </si>
  <si>
    <t>F 6432-1 NORTH HILLS CIR</t>
  </si>
  <si>
    <t>F 6429-1 NORTH HILLS CIR</t>
  </si>
  <si>
    <t>F 6421-1 NORTH HILLS CIR</t>
  </si>
  <si>
    <t>F 6409-1 NORTH HILLS CIR</t>
  </si>
  <si>
    <t>F 6405-1 NORTH HILLS CIR</t>
  </si>
  <si>
    <t>OPP 6439-1 NORTH HILLS CIR</t>
  </si>
  <si>
    <t>F 2631-1 NORTH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</si>
</sst>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0" borderId="0" xfId="0" applyProtection="1">
      <protection locked="0" hidden="1"/>
    </xf>
    <xf numFmtId="0" fontId="0" fillId="12" borderId="1" xfId="0" applyFill="1" applyBorder="1" applyAlignment="1" applyProtection="1">
      <alignment horizont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1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18" dataDxfId="1616" headerRowBorderDxfId="1617" tableBorderDxfId="1615" totalsRowBorderDxfId="1614">
  <autoFilter ref="A1:AP499" xr:uid="{00000000-0009-0000-0100-000003000000}"/>
  <tableColumns count="42">
    <tableColumn id="1" xr3:uid="{00000000-0010-0000-0000-000001000000}" name="DWG#" dataDxfId="1613"/>
    <tableColumn id="61" xr3:uid="{00000000-0010-0000-0000-00003D000000}" name="10x15 HH" dataDxfId="1612"/>
    <tableColumn id="9" xr3:uid="{00000000-0010-0000-0000-000009000000}" name="IDUCT 1" dataDxfId="1611"/>
    <tableColumn id="10" xr3:uid="{00000000-0010-0000-0000-00000A000000}" name="IDUCT 2" dataDxfId="1610"/>
    <tableColumn id="11" xr3:uid="{00000000-0010-0000-0000-00000B000000}" name="IDUCT 3" dataDxfId="1609"/>
    <tableColumn id="12" xr3:uid="{00000000-0010-0000-0000-00000C000000}" name="IDUCT 4" dataDxfId="1608"/>
    <tableColumn id="13" xr3:uid="{00000000-0010-0000-0000-00000D000000}" name="IDUCT 5" dataDxfId="1607"/>
    <tableColumn id="14" xr3:uid="{00000000-0010-0000-0000-00000E000000}" name="IDUCT 6" dataDxfId="1606"/>
    <tableColumn id="15" xr3:uid="{00000000-0010-0000-0000-00000F000000}" name="IDUCT 7" dataDxfId="1605"/>
    <tableColumn id="16" xr3:uid="{00000000-0010-0000-0000-000010000000}" name="IDUCT 8" dataDxfId="1604"/>
    <tableColumn id="17" xr3:uid="{00000000-0010-0000-0000-000011000000}" name="IDUCT 9" dataDxfId="1603"/>
    <tableColumn id="18" xr3:uid="{00000000-0010-0000-0000-000012000000}" name="IDUCT 10" dataDxfId="1602"/>
    <tableColumn id="19" xr3:uid="{00000000-0010-0000-0000-000013000000}" name="IDUCT 11" dataDxfId="1601"/>
    <tableColumn id="20" xr3:uid="{00000000-0010-0000-0000-000014000000}" name="IDUCT 12" dataDxfId="1600"/>
    <tableColumn id="21" xr3:uid="{00000000-0010-0000-0000-000015000000}" name="IDUCT 13" dataDxfId="1599"/>
    <tableColumn id="22" xr3:uid="{00000000-0010-0000-0000-000016000000}" name="IDUCT 14" dataDxfId="1598"/>
    <tableColumn id="23" xr3:uid="{00000000-0010-0000-0000-000017000000}" name="IDUCT 15" dataDxfId="1597"/>
    <tableColumn id="24" xr3:uid="{00000000-0010-0000-0000-000018000000}" name="IDUCT 16" dataDxfId="1596"/>
    <tableColumn id="25" xr3:uid="{00000000-0010-0000-0000-000019000000}" name="IDUCT 17" dataDxfId="1595"/>
    <tableColumn id="26" xr3:uid="{00000000-0010-0000-0000-00001A000000}" name="IDUCT 18" dataDxfId="1594"/>
    <tableColumn id="27" xr3:uid="{00000000-0010-0000-0000-00001B000000}" name="IDUCT 19" dataDxfId="1593"/>
    <tableColumn id="28" xr3:uid="{00000000-0010-0000-0000-00001C000000}" name="IDUCT 20" dataDxfId="1592"/>
    <tableColumn id="29" xr3:uid="{00000000-0010-0000-0000-00001D000000}" name="Pullback IDUCT 1" dataDxfId="1591"/>
    <tableColumn id="30" xr3:uid="{00000000-0010-0000-0000-00001E000000}" name="Pullback IDUCT 2" dataDxfId="1590"/>
    <tableColumn id="31" xr3:uid="{00000000-0010-0000-0000-00001F000000}" name="Pullback IDUCT 3" dataDxfId="1589"/>
    <tableColumn id="32" xr3:uid="{00000000-0010-0000-0000-000020000000}" name="Pullback IDUCT 4" dataDxfId="1588"/>
    <tableColumn id="33" xr3:uid="{00000000-0010-0000-0000-000021000000}" name="Pullback IDUCT 5" dataDxfId="1587"/>
    <tableColumn id="34" xr3:uid="{00000000-0010-0000-0000-000022000000}" name="Pullback IDUCT 6" dataDxfId="1586"/>
    <tableColumn id="35" xr3:uid="{00000000-0010-0000-0000-000023000000}" name="Pullback IDUCT 7" dataDxfId="1585"/>
    <tableColumn id="36" xr3:uid="{00000000-0010-0000-0000-000024000000}" name="Pullback IDUCT 8" dataDxfId="1584"/>
    <tableColumn id="37" xr3:uid="{00000000-0010-0000-0000-000025000000}" name="Pullback IDUCT 9" dataDxfId="1583"/>
    <tableColumn id="38" xr3:uid="{00000000-0010-0000-0000-000026000000}" name="Pullback IDUCT 10" dataDxfId="1582"/>
    <tableColumn id="49" xr3:uid="{00000000-0010-0000-0000-000031000000}" name="ROD Duct 1" dataDxfId="1581"/>
    <tableColumn id="50" xr3:uid="{00000000-0010-0000-0000-000032000000}" name="ROD Duct 2" dataDxfId="1580"/>
    <tableColumn id="51" xr3:uid="{00000000-0010-0000-0000-000033000000}" name="ROD Duct 3" dataDxfId="1579"/>
    <tableColumn id="52" xr3:uid="{00000000-0010-0000-0000-000034000000}" name="ROD Duct 4" dataDxfId="1578"/>
    <tableColumn id="53" xr3:uid="{00000000-0010-0000-0000-000035000000}" name="ROD Duct 5" dataDxfId="1577"/>
    <tableColumn id="54" xr3:uid="{00000000-0010-0000-0000-000036000000}" name="ROD Duct 6" dataDxfId="1576"/>
    <tableColumn id="55" xr3:uid="{00000000-0010-0000-0000-000037000000}" name="ROD Duct 7" dataDxfId="1575"/>
    <tableColumn id="56" xr3:uid="{00000000-0010-0000-0000-000038000000}" name="ROD Duct 8" dataDxfId="1574"/>
    <tableColumn id="57" xr3:uid="{00000000-0010-0000-0000-000039000000}" name="ROD Duct 9" dataDxfId="1573"/>
    <tableColumn id="58" xr3:uid="{00000000-0010-0000-0000-00003A000000}" name="ROD Duct 10" dataDxfId="157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2631-1 NORTH RD</v>
      </c>
      <c r="B1" s="118"/>
      <c r="C1" s="118"/>
      <c r="D1" s="118"/>
      <c r="E1" s="118"/>
      <c r="G1" t="str">
        <f>IF('Assignment Tool'!C1="","",IF('Assignment Tool'!C1="FST",'Assignment Tool'!D1,""))</f>
        <v/>
      </c>
      <c r="H1">
        <v>1</v>
      </c>
      <c r="I1">
        <v>1</v>
      </c>
      <c r="J1" t="str">
        <f t="array" ref="J1">IFERROR(INDEX($G$2:$G$2050,_xlfn.AGGREGATE(15,6,(ROW($G$2:$G$2050)-ROW($G$2)+1)/($G$2:$G$2050&lt;&gt;""),ROWS(J$1:J1))),"")</f>
        <v>F 2631-1 NORTH RD</v>
      </c>
      <c r="K1">
        <f>IF(J1="","",INDEX('Assignment Tool'!E17:E2050,MATCH(FA_DATA!J1,'Assignment Tool'!D17:D2050,0)))</f>
        <v>8</v>
      </c>
    </row>
    <row r="2" spans="1:11" x14ac:dyDescent="0.25">
      <c r="A2" s="118" t="str">
        <f t="shared" ref="A2:A65" si="0">VLOOKUP(H2,$I$1:$J$1000,2)</f>
        <v>F 2631-1 NORTH RD</v>
      </c>
      <c r="G2" t="str">
        <f>IF('Assignment Tool'!C2="","",IF('Assignment Tool'!C2="FST",'Assignment Tool'!D2,""))</f>
        <v/>
      </c>
      <c r="H2">
        <v>2</v>
      </c>
      <c r="I2">
        <f>IFERROR((I1+K1),"")</f>
        <v>9</v>
      </c>
      <c r="J2" t="str">
        <f t="array" ref="J2">IFERROR(INDEX($G$2:$G$2050,_xlfn.AGGREGATE(15,6,(ROW($G$2:$G$2050)-ROW($G$2)+1)/($G$2:$G$2050&lt;&gt;""),ROWS(J$1:J2))),"")</f>
        <v>F 125-1 SCENIC DR</v>
      </c>
      <c r="K2">
        <f>IF(J2="","",INDEX('Assignment Tool'!E18:E2051,MATCH(FA_DATA!J2,'Assignment Tool'!D18:D2051,0)))</f>
        <v>4</v>
      </c>
    </row>
    <row r="3" spans="1:11" x14ac:dyDescent="0.25">
      <c r="A3" s="118" t="str">
        <f t="shared" si="0"/>
        <v>F 2631-1 NORTH RD</v>
      </c>
      <c r="G3" t="str">
        <f>IF('Assignment Tool'!C3="","",IF('Assignment Tool'!C3="FST",'Assignment Tool'!D3,""))</f>
        <v/>
      </c>
      <c r="H3">
        <v>3</v>
      </c>
      <c r="I3">
        <f t="shared" ref="I3:I66" si="1">IFERROR((I2+K2),"")</f>
        <v>13</v>
      </c>
      <c r="J3" t="str">
        <f t="array" ref="J3">IFERROR(INDEX($G$2:$G$2050,_xlfn.AGGREGATE(15,6,(ROW($G$2:$G$2050)-ROW($G$2)+1)/($G$2:$G$2050&lt;&gt;""),ROWS(J$1:J3))),"")</f>
        <v>F 129-1 SCENIC DR</v>
      </c>
      <c r="K3">
        <f>IF(J3="","",INDEX('Assignment Tool'!E19:E2052,MATCH(FA_DATA!J3,'Assignment Tool'!D19:D2052,0)))</f>
        <v>4</v>
      </c>
    </row>
    <row r="4" spans="1:11" x14ac:dyDescent="0.25">
      <c r="A4" s="118" t="str">
        <f t="shared" si="0"/>
        <v>F 2631-1 NORTH RD</v>
      </c>
      <c r="G4" t="str">
        <f>IF('Assignment Tool'!C4="","",IF('Assignment Tool'!C4="FST",'Assignment Tool'!D4,""))</f>
        <v/>
      </c>
      <c r="H4">
        <v>4</v>
      </c>
      <c r="I4">
        <f t="shared" si="1"/>
        <v>17</v>
      </c>
      <c r="J4" t="str">
        <f t="array" ref="J4">IFERROR(INDEX($G$2:$G$2050,_xlfn.AGGREGATE(15,6,(ROW($G$2:$G$2050)-ROW($G$2)+1)/($G$2:$G$2050&lt;&gt;""),ROWS(J$1:J4))),"")</f>
        <v>F 137-1 SCENIC DR</v>
      </c>
      <c r="K4">
        <f>IF(J4="","",INDEX('Assignment Tool'!E20:E2053,MATCH(FA_DATA!J4,'Assignment Tool'!D20:D2053,0)))</f>
        <v>4</v>
      </c>
    </row>
    <row r="5" spans="1:11" x14ac:dyDescent="0.25">
      <c r="A5" s="118" t="str">
        <f t="shared" si="0"/>
        <v>F 2631-1 NORTH RD</v>
      </c>
      <c r="G5" t="str">
        <f>IF('Assignment Tool'!C5="","",IF('Assignment Tool'!C5="FST",'Assignment Tool'!D5,""))</f>
        <v/>
      </c>
      <c r="H5">
        <v>5</v>
      </c>
      <c r="I5">
        <f t="shared" si="1"/>
        <v>21</v>
      </c>
      <c r="J5" t="str">
        <f t="array" ref="J5">IFERROR(INDEX($G$2:$G$2050,_xlfn.AGGREGATE(15,6,(ROW($G$2:$G$2050)-ROW($G$2)+1)/($G$2:$G$2050&lt;&gt;""),ROWS(J$1:J5))),"")</f>
        <v>F 145-1 SCENIC DR</v>
      </c>
      <c r="K5">
        <f>IF(J5="","",INDEX('Assignment Tool'!E21:E2054,MATCH(FA_DATA!J5,'Assignment Tool'!D21:D2054,0)))</f>
        <v>4</v>
      </c>
    </row>
    <row r="6" spans="1:11" x14ac:dyDescent="0.25">
      <c r="A6" s="118" t="str">
        <f t="shared" si="0"/>
        <v>F 2631-1 NORTH RD</v>
      </c>
      <c r="G6" t="str">
        <f>IF('Assignment Tool'!C6="","",IF('Assignment Tool'!C6="FST",'Assignment Tool'!D6,""))</f>
        <v/>
      </c>
      <c r="H6">
        <v>6</v>
      </c>
      <c r="I6">
        <f t="shared" si="1"/>
        <v>25</v>
      </c>
      <c r="J6" t="str">
        <f t="array" ref="J6">IFERROR(INDEX($G$2:$G$2050,_xlfn.AGGREGATE(15,6,(ROW($G$2:$G$2050)-ROW($G$2)+1)/($G$2:$G$2050&lt;&gt;""),ROWS(J$1:J6))),"")</f>
        <v>F 148-1 SCENIC DR</v>
      </c>
      <c r="K6">
        <f>IF(J6="","",INDEX('Assignment Tool'!E22:E2055,MATCH(FA_DATA!J6,'Assignment Tool'!D22:D2055,0)))</f>
        <v>4</v>
      </c>
    </row>
    <row r="7" spans="1:11" x14ac:dyDescent="0.25">
      <c r="A7" s="118" t="str">
        <f t="shared" si="0"/>
        <v>F 2631-1 NORTH RD</v>
      </c>
      <c r="G7" t="str">
        <f>IF('Assignment Tool'!C7="","",IF('Assignment Tool'!C7="FST",'Assignment Tool'!D7,""))</f>
        <v/>
      </c>
      <c r="H7">
        <v>7</v>
      </c>
      <c r="I7">
        <f t="shared" si="1"/>
        <v>29</v>
      </c>
      <c r="J7" t="str">
        <f t="array" ref="J7">IFERROR(INDEX($G$2:$G$2050,_xlfn.AGGREGATE(15,6,(ROW($G$2:$G$2050)-ROW($G$2)+1)/($G$2:$G$2050&lt;&gt;""),ROWS(J$1:J7))),"")</f>
        <v>F 149-1 SCENIC DR</v>
      </c>
      <c r="K7">
        <f>IF(J7="","",INDEX('Assignment Tool'!E23:E2056,MATCH(FA_DATA!J7,'Assignment Tool'!D23:D2056,0)))</f>
        <v>4</v>
      </c>
    </row>
    <row r="8" spans="1:11" x14ac:dyDescent="0.25">
      <c r="A8" s="118" t="str">
        <f t="shared" si="0"/>
        <v>F 2631-1 NORTH RD</v>
      </c>
      <c r="G8" t="str">
        <f>IF('Assignment Tool'!C8="","",IF('Assignment Tool'!C8="FST",'Assignment Tool'!D8,""))</f>
        <v/>
      </c>
      <c r="H8">
        <v>8</v>
      </c>
      <c r="I8">
        <f t="shared" si="1"/>
        <v>33</v>
      </c>
      <c r="J8" t="str">
        <f t="array" ref="J8">IFERROR(INDEX($G$2:$G$2050,_xlfn.AGGREGATE(15,6,(ROW($G$2:$G$2050)-ROW($G$2)+1)/($G$2:$G$2050&lt;&gt;""),ROWS(J$1:J8))),"")</f>
        <v>F 156-1 SCENIC DR</v>
      </c>
      <c r="K8">
        <f>IF(J8="","",INDEX('Assignment Tool'!E24:E2057,MATCH(FA_DATA!J8,'Assignment Tool'!D24:D2057,0)))</f>
        <v>4</v>
      </c>
    </row>
    <row r="9" spans="1:11" x14ac:dyDescent="0.25">
      <c r="A9" s="118" t="str">
        <f t="shared" si="0"/>
        <v>F 125-1 SCENIC DR</v>
      </c>
      <c r="G9" t="str">
        <f>IF('Assignment Tool'!C9="","",IF('Assignment Tool'!C9="FST",'Assignment Tool'!D9,""))</f>
        <v/>
      </c>
      <c r="H9">
        <v>9</v>
      </c>
      <c r="I9">
        <f t="shared" si="1"/>
        <v>37</v>
      </c>
      <c r="J9" t="str">
        <f t="array" ref="J9">IFERROR(INDEX($G$2:$G$2050,_xlfn.AGGREGATE(15,6,(ROW($G$2:$G$2050)-ROW($G$2)+1)/($G$2:$G$2050&lt;&gt;""),ROWS(J$1:J9))),"")</f>
        <v>F 164-1 SCENIC DR</v>
      </c>
      <c r="K9">
        <f>IF(J9="","",INDEX('Assignment Tool'!E25:E2058,MATCH(FA_DATA!J9,'Assignment Tool'!D25:D2058,0)))</f>
        <v>4</v>
      </c>
    </row>
    <row r="10" spans="1:11" x14ac:dyDescent="0.25">
      <c r="A10" s="118" t="str">
        <f t="shared" si="0"/>
        <v>F 125-1 SCENIC DR</v>
      </c>
      <c r="G10" t="str">
        <f>IF('Assignment Tool'!C10="","",IF('Assignment Tool'!C10="FST",'Assignment Tool'!D10,""))</f>
        <v/>
      </c>
      <c r="H10">
        <v>10</v>
      </c>
      <c r="I10">
        <f t="shared" si="1"/>
        <v>41</v>
      </c>
      <c r="J10" t="str">
        <f t="array" ref="J10">IFERROR(INDEX($G$2:$G$2050,_xlfn.AGGREGATE(15,6,(ROW($G$2:$G$2050)-ROW($G$2)+1)/($G$2:$G$2050&lt;&gt;""),ROWS(J$1:J10))),"")</f>
        <v>F 168-1 SCENIC DR</v>
      </c>
      <c r="K10">
        <f>IF(J10="","",INDEX('Assignment Tool'!E26:E2059,MATCH(FA_DATA!J10,'Assignment Tool'!D26:D2059,0)))</f>
        <v>4</v>
      </c>
    </row>
    <row r="11" spans="1:11" x14ac:dyDescent="0.25">
      <c r="A11" s="118" t="str">
        <f t="shared" si="0"/>
        <v>F 125-1 SCENIC DR</v>
      </c>
      <c r="G11" t="str">
        <f>IF('Assignment Tool'!C11="","",IF('Assignment Tool'!C11="FST",'Assignment Tool'!D11,""))</f>
        <v/>
      </c>
      <c r="H11">
        <v>11</v>
      </c>
      <c r="I11">
        <f t="shared" si="1"/>
        <v>45</v>
      </c>
      <c r="J11" t="str">
        <f t="array" ref="J11">IFERROR(INDEX($G$2:$G$2050,_xlfn.AGGREGATE(15,6,(ROW($G$2:$G$2050)-ROW($G$2)+1)/($G$2:$G$2050&lt;&gt;""),ROWS(J$1:J11))),"")</f>
        <v>F 176-1 SCENIC DR</v>
      </c>
      <c r="K11">
        <f>IF(J11="","",INDEX('Assignment Tool'!E27:E2060,MATCH(FA_DATA!J11,'Assignment Tool'!D27:D2060,0)))</f>
        <v>4</v>
      </c>
    </row>
    <row r="12" spans="1:11" x14ac:dyDescent="0.25">
      <c r="A12" s="118" t="str">
        <f t="shared" si="0"/>
        <v>F 125-1 SCENIC DR</v>
      </c>
      <c r="G12" t="str">
        <f>IF('Assignment Tool'!C12="","",IF('Assignment Tool'!C12="FST",'Assignment Tool'!D12,""))</f>
        <v/>
      </c>
      <c r="H12">
        <v>12</v>
      </c>
      <c r="I12">
        <f t="shared" si="1"/>
        <v>49</v>
      </c>
      <c r="J12" t="str">
        <f t="array" ref="J12">IFERROR(INDEX($G$2:$G$2050,_xlfn.AGGREGATE(15,6,(ROW($G$2:$G$2050)-ROW($G$2)+1)/($G$2:$G$2050&lt;&gt;""),ROWS(J$1:J12))),"")</f>
        <v>F 2704-1 WINDCREST CIR</v>
      </c>
      <c r="K12">
        <f>IF(J12="","",INDEX('Assignment Tool'!E28:E2061,MATCH(FA_DATA!J12,'Assignment Tool'!D28:D2061,0)))</f>
        <v>4</v>
      </c>
    </row>
    <row r="13" spans="1:11" x14ac:dyDescent="0.25">
      <c r="A13" s="118" t="str">
        <f t="shared" si="0"/>
        <v>F 129-1 SCENIC DR</v>
      </c>
      <c r="G13" t="str">
        <f>IF('Assignment Tool'!C13="","",IF('Assignment Tool'!C13="FST",'Assignment Tool'!D13,""))</f>
        <v/>
      </c>
      <c r="H13">
        <v>13</v>
      </c>
      <c r="I13">
        <f t="shared" si="1"/>
        <v>53</v>
      </c>
      <c r="J13" t="str">
        <f t="array" ref="J13">IFERROR(INDEX($G$2:$G$2050,_xlfn.AGGREGATE(15,6,(ROW($G$2:$G$2050)-ROW($G$2)+1)/($G$2:$G$2050&lt;&gt;""),ROWS(J$1:J13))),"")</f>
        <v>F 2712-1 WINDCREST CIR</v>
      </c>
      <c r="K13">
        <f>IF(J13="","",INDEX('Assignment Tool'!E29:E2062,MATCH(FA_DATA!J13,'Assignment Tool'!D29:D2062,0)))</f>
        <v>4</v>
      </c>
    </row>
    <row r="14" spans="1:11" x14ac:dyDescent="0.25">
      <c r="A14" s="118" t="str">
        <f t="shared" si="0"/>
        <v>F 129-1 SCENIC DR</v>
      </c>
      <c r="G14" t="str">
        <f>IF('Assignment Tool'!C14="","",IF('Assignment Tool'!C14="FST",'Assignment Tool'!D14,""))</f>
        <v/>
      </c>
      <c r="H14">
        <v>14</v>
      </c>
      <c r="I14">
        <f t="shared" si="1"/>
        <v>57</v>
      </c>
      <c r="J14" t="str">
        <f t="array" ref="J14">IFERROR(INDEX($G$2:$G$2050,_xlfn.AGGREGATE(15,6,(ROW($G$2:$G$2050)-ROW($G$2)+1)/($G$2:$G$2050&lt;&gt;""),ROWS(J$1:J14))),"")</f>
        <v>F 2717-1 WINDCREST CIR</v>
      </c>
      <c r="K14">
        <f>IF(J14="","",INDEX('Assignment Tool'!E30:E2063,MATCH(FA_DATA!J14,'Assignment Tool'!D30:D2063,0)))</f>
        <v>4</v>
      </c>
    </row>
    <row r="15" spans="1:11" x14ac:dyDescent="0.25">
      <c r="A15" s="118" t="str">
        <f t="shared" si="0"/>
        <v>F 129-1 SCENIC DR</v>
      </c>
      <c r="G15" t="str">
        <f>IF('Assignment Tool'!C15="","",IF('Assignment Tool'!C15="FST",'Assignment Tool'!D15,""))</f>
        <v/>
      </c>
      <c r="H15">
        <v>15</v>
      </c>
      <c r="I15">
        <f t="shared" si="1"/>
        <v>61</v>
      </c>
      <c r="J15" t="str">
        <f t="array" ref="J15">IFERROR(INDEX($G$2:$G$2050,_xlfn.AGGREGATE(15,6,(ROW($G$2:$G$2050)-ROW($G$2)+1)/($G$2:$G$2050&lt;&gt;""),ROWS(J$1:J15))),"")</f>
        <v>F 2724-1 WINDCREST CIR</v>
      </c>
      <c r="K15">
        <f>IF(J15="","",INDEX('Assignment Tool'!E31:E2064,MATCH(FA_DATA!J15,'Assignment Tool'!D31:D2064,0)))</f>
        <v>4</v>
      </c>
    </row>
    <row r="16" spans="1:11" x14ac:dyDescent="0.25">
      <c r="A16" s="118" t="str">
        <f t="shared" si="0"/>
        <v>F 129-1 SCENIC DR</v>
      </c>
      <c r="G16" t="str">
        <f>IF('Assignment Tool'!C16="","",IF('Assignment Tool'!C16="FST",'Assignment Tool'!D16,""))</f>
        <v/>
      </c>
      <c r="H16">
        <v>16</v>
      </c>
      <c r="I16">
        <f t="shared" si="1"/>
        <v>65</v>
      </c>
      <c r="J16" t="str">
        <f t="array" ref="J16">IFERROR(INDEX($G$2:$G$2050,_xlfn.AGGREGATE(15,6,(ROW($G$2:$G$2050)-ROW($G$2)+1)/($G$2:$G$2050&lt;&gt;""),ROWS(J$1:J16))),"")</f>
        <v>F 2725-1 WINDCREST CIR</v>
      </c>
      <c r="K16">
        <f>IF(J16="","",INDEX('Assignment Tool'!E32:E2065,MATCH(FA_DATA!J16,'Assignment Tool'!D32:D2065,0)))</f>
        <v>4</v>
      </c>
    </row>
    <row r="17" spans="1:11" x14ac:dyDescent="0.25">
      <c r="A17" s="118" t="str">
        <f t="shared" si="0"/>
        <v>F 137-1 SCENIC DR</v>
      </c>
      <c r="G17" t="str">
        <f>IF('Assignment Tool'!C17="","",IF('Assignment Tool'!C17="FST",'Assignment Tool'!D17,""))</f>
        <v>F 2631-1 NORTH RD</v>
      </c>
      <c r="H17">
        <v>17</v>
      </c>
      <c r="I17">
        <f t="shared" si="1"/>
        <v>69</v>
      </c>
      <c r="J17" t="str">
        <f t="array" ref="J17">IFERROR(INDEX($G$2:$G$2050,_xlfn.AGGREGATE(15,6,(ROW($G$2:$G$2050)-ROW($G$2)+1)/($G$2:$G$2050&lt;&gt;""),ROWS(J$1:J17))),"")</f>
        <v>F 2736-1 WINDCREST CIR</v>
      </c>
      <c r="K17">
        <f>IF(J17="","",INDEX('Assignment Tool'!E33:E2066,MATCH(FA_DATA!J17,'Assignment Tool'!D33:D2066,0)))</f>
        <v>4</v>
      </c>
    </row>
    <row r="18" spans="1:11" x14ac:dyDescent="0.25">
      <c r="A18" s="118" t="str">
        <f t="shared" si="0"/>
        <v>F 137-1 SCENIC DR</v>
      </c>
      <c r="G18" t="str">
        <f>IF('Assignment Tool'!C18="","",IF('Assignment Tool'!C18="FST",'Assignment Tool'!D18,""))</f>
        <v>F 125-1 SCENIC DR</v>
      </c>
      <c r="H18">
        <v>18</v>
      </c>
      <c r="I18">
        <f t="shared" si="1"/>
        <v>73</v>
      </c>
      <c r="J18" t="str">
        <f t="array" ref="J18">IFERROR(INDEX($G$2:$G$2050,_xlfn.AGGREGATE(15,6,(ROW($G$2:$G$2050)-ROW($G$2)+1)/($G$2:$G$2050&lt;&gt;""),ROWS(J$1:J18))),"")</f>
        <v>F 137-1 RED OAK CIR</v>
      </c>
      <c r="K18">
        <f>IF(J18="","",INDEX('Assignment Tool'!E34:E2067,MATCH(FA_DATA!J18,'Assignment Tool'!D34:D2067,0)))</f>
        <v>4</v>
      </c>
    </row>
    <row r="19" spans="1:11" x14ac:dyDescent="0.25">
      <c r="A19" s="118" t="str">
        <f t="shared" si="0"/>
        <v>F 137-1 SCENIC DR</v>
      </c>
      <c r="G19" t="str">
        <f>IF('Assignment Tool'!C19="","",IF('Assignment Tool'!C19="FST",'Assignment Tool'!D19,""))</f>
        <v/>
      </c>
      <c r="H19">
        <v>19</v>
      </c>
      <c r="I19">
        <f t="shared" si="1"/>
        <v>77</v>
      </c>
      <c r="J19" t="str">
        <f t="array" ref="J19">IFERROR(INDEX($G$2:$G$2050,_xlfn.AGGREGATE(15,6,(ROW($G$2:$G$2050)-ROW($G$2)+1)/($G$2:$G$2050&lt;&gt;""),ROWS(J$1:J19))),"")</f>
        <v>F 129-1 RED OAK CIR</v>
      </c>
      <c r="K19">
        <f>IF(J19="","",INDEX('Assignment Tool'!E35:E2068,MATCH(FA_DATA!J19,'Assignment Tool'!D35:D2068,0)))</f>
        <v>4</v>
      </c>
    </row>
    <row r="20" spans="1:11" x14ac:dyDescent="0.25">
      <c r="A20" s="118" t="str">
        <f t="shared" si="0"/>
        <v>F 137-1 SCENIC DR</v>
      </c>
      <c r="G20" t="str">
        <f>IF('Assignment Tool'!C20="","",IF('Assignment Tool'!C20="FST",'Assignment Tool'!D20,""))</f>
        <v/>
      </c>
      <c r="H20">
        <v>20</v>
      </c>
      <c r="I20">
        <f t="shared" si="1"/>
        <v>81</v>
      </c>
      <c r="J20" t="str">
        <f t="array" ref="J20">IFERROR(INDEX($G$2:$G$2050,_xlfn.AGGREGATE(15,6,(ROW($G$2:$G$2050)-ROW($G$2)+1)/($G$2:$G$2050&lt;&gt;""),ROWS(J$1:J20))),"")</f>
        <v>F 121-1 RED OAK CIR</v>
      </c>
      <c r="K20">
        <f>IF(J20="","",INDEX('Assignment Tool'!E36:E2069,MATCH(FA_DATA!J20,'Assignment Tool'!D36:D2069,0)))</f>
        <v>8</v>
      </c>
    </row>
    <row r="21" spans="1:11" x14ac:dyDescent="0.25">
      <c r="A21" s="118" t="str">
        <f t="shared" si="0"/>
        <v>F 145-1 SCENIC DR</v>
      </c>
      <c r="G21" t="str">
        <f>IF('Assignment Tool'!C21="","",IF('Assignment Tool'!C21="FST",'Assignment Tool'!D21,""))</f>
        <v>F 129-1 SCENIC DR</v>
      </c>
      <c r="H21">
        <v>21</v>
      </c>
      <c r="I21">
        <f t="shared" si="1"/>
        <v>89</v>
      </c>
      <c r="J21" t="str">
        <f t="array" ref="J21">IFERROR(INDEX($G$2:$G$2050,_xlfn.AGGREGATE(15,6,(ROW($G$2:$G$2050)-ROW($G$2)+1)/($G$2:$G$2050&lt;&gt;""),ROWS(J$1:J21))),"")</f>
        <v>OPP 114-1 RED OAK CIR</v>
      </c>
      <c r="K21">
        <f>IF(J21="","",INDEX('Assignment Tool'!E37:E2070,MATCH(FA_DATA!J21,'Assignment Tool'!D37:D2070,0)))</f>
        <v>8</v>
      </c>
    </row>
    <row r="22" spans="1:11" x14ac:dyDescent="0.25">
      <c r="A22" s="118" t="str">
        <f t="shared" si="0"/>
        <v>F 145-1 SCENIC DR</v>
      </c>
      <c r="G22" t="str">
        <f>IF('Assignment Tool'!C22="","",IF('Assignment Tool'!C22="FST",'Assignment Tool'!D22,""))</f>
        <v>F 137-1 SCENIC DR</v>
      </c>
      <c r="H22">
        <v>22</v>
      </c>
      <c r="I22">
        <f t="shared" si="1"/>
        <v>97</v>
      </c>
      <c r="J22" t="str">
        <f t="array" ref="J22">IFERROR(INDEX($G$2:$G$2050,_xlfn.AGGREGATE(15,6,(ROW($G$2:$G$2050)-ROW($G$2)+1)/($G$2:$G$2050&lt;&gt;""),ROWS(J$1:J22))),"")</f>
        <v>F 2801-1 RICHIE AVE</v>
      </c>
      <c r="K22">
        <f>IF(J22="","",INDEX('Assignment Tool'!E38:E2071,MATCH(FA_DATA!J22,'Assignment Tool'!D38:D2071,0)))</f>
        <v>8</v>
      </c>
    </row>
    <row r="23" spans="1:11" x14ac:dyDescent="0.25">
      <c r="A23" s="118" t="str">
        <f t="shared" si="0"/>
        <v>F 145-1 SCENIC DR</v>
      </c>
      <c r="G23" t="str">
        <f>IF('Assignment Tool'!C23="","",IF('Assignment Tool'!C23="FST",'Assignment Tool'!D23,""))</f>
        <v>F 145-1 SCENIC DR</v>
      </c>
      <c r="H23">
        <v>23</v>
      </c>
      <c r="I23">
        <f t="shared" si="1"/>
        <v>105</v>
      </c>
      <c r="J23" t="str">
        <f t="array" ref="J23">IFERROR(INDEX($G$2:$G$2050,_xlfn.AGGREGATE(15,6,(ROW($G$2:$G$2050)-ROW($G$2)+1)/($G$2:$G$2050&lt;&gt;""),ROWS(J$1:J23))),"")</f>
        <v>F 2805-1 RICHIE AVE</v>
      </c>
      <c r="K23">
        <f>IF(J23="","",INDEX('Assignment Tool'!E39:E2072,MATCH(FA_DATA!J23,'Assignment Tool'!D39:D2072,0)))</f>
        <v>8</v>
      </c>
    </row>
    <row r="24" spans="1:11" x14ac:dyDescent="0.25">
      <c r="A24" s="118" t="str">
        <f t="shared" si="0"/>
        <v>F 145-1 SCENIC DR</v>
      </c>
      <c r="G24" t="str">
        <f>IF('Assignment Tool'!C24="","",IF('Assignment Tool'!C24="FST",'Assignment Tool'!D24,""))</f>
        <v/>
      </c>
      <c r="H24">
        <v>24</v>
      </c>
      <c r="I24">
        <f t="shared" si="1"/>
        <v>113</v>
      </c>
      <c r="J24" t="str">
        <f t="array" ref="J24">IFERROR(INDEX($G$2:$G$2050,_xlfn.AGGREGATE(15,6,(ROW($G$2:$G$2050)-ROW($G$2)+1)/($G$2:$G$2050&lt;&gt;""),ROWS(J$1:J24))),"")</f>
        <v>F 2813-1 RICHIE AVE</v>
      </c>
      <c r="K24">
        <f>IF(J24="","",INDEX('Assignment Tool'!E40:E2073,MATCH(FA_DATA!J24,'Assignment Tool'!D40:D2073,0)))</f>
        <v>8</v>
      </c>
    </row>
    <row r="25" spans="1:11" x14ac:dyDescent="0.25">
      <c r="A25" s="118" t="str">
        <f t="shared" si="0"/>
        <v>F 148-1 SCENIC DR</v>
      </c>
      <c r="G25" t="str">
        <f>IF('Assignment Tool'!C25="","",IF('Assignment Tool'!C25="FST",'Assignment Tool'!D25,""))</f>
        <v/>
      </c>
      <c r="H25">
        <v>25</v>
      </c>
      <c r="I25">
        <f t="shared" si="1"/>
        <v>121</v>
      </c>
      <c r="J25" t="str">
        <f t="array" ref="J25">IFERROR(INDEX($G$2:$G$2050,_xlfn.AGGREGATE(15,6,(ROW($G$2:$G$2050)-ROW($G$2)+1)/($G$2:$G$2050&lt;&gt;""),ROWS(J$1:J25))),"")</f>
        <v>F 2744-1 NORTH RD</v>
      </c>
      <c r="K25">
        <f>IF(J25="","",INDEX('Assignment Tool'!E41:E2074,MATCH(FA_DATA!J25,'Assignment Tool'!D41:D2074,0)))</f>
        <v>12</v>
      </c>
    </row>
    <row r="26" spans="1:11" x14ac:dyDescent="0.25">
      <c r="A26" s="118" t="str">
        <f t="shared" si="0"/>
        <v>F 148-1 SCENIC DR</v>
      </c>
      <c r="G26" t="str">
        <f>IF('Assignment Tool'!C26="","",IF('Assignment Tool'!C26="FST",'Assignment Tool'!D26,""))</f>
        <v>F 148-1 SCENIC DR</v>
      </c>
      <c r="H26">
        <v>26</v>
      </c>
      <c r="I26">
        <f t="shared" si="1"/>
        <v>133</v>
      </c>
      <c r="J26" t="str">
        <f t="array" ref="J26">IFERROR(INDEX($G$2:$G$2050,_xlfn.AGGREGATE(15,6,(ROW($G$2:$G$2050)-ROW($G$2)+1)/($G$2:$G$2050&lt;&gt;""),ROWS(J$1:J26))),"")</f>
        <v>F 500-1 FOXFIRE DR</v>
      </c>
      <c r="K26">
        <f>IF(J26="","",INDEX('Assignment Tool'!E42:E2075,MATCH(FA_DATA!J26,'Assignment Tool'!D42:D2075,0)))</f>
        <v>12</v>
      </c>
    </row>
    <row r="27" spans="1:11" x14ac:dyDescent="0.25">
      <c r="A27" s="118" t="str">
        <f t="shared" si="0"/>
        <v>F 148-1 SCENIC DR</v>
      </c>
      <c r="G27" t="str">
        <f>IF('Assignment Tool'!C27="","",IF('Assignment Tool'!C27="FST",'Assignment Tool'!D27,""))</f>
        <v>F 149-1 SCENIC DR</v>
      </c>
      <c r="H27">
        <v>27</v>
      </c>
      <c r="I27">
        <f t="shared" si="1"/>
        <v>145</v>
      </c>
      <c r="J27" t="str">
        <f t="array" ref="J27">IFERROR(INDEX($G$2:$G$2050,_xlfn.AGGREGATE(15,6,(ROW($G$2:$G$2050)-ROW($G$2)+1)/($G$2:$G$2050&lt;&gt;""),ROWS(J$1:J27))),"")</f>
        <v>F 2812-1 NORTH RD</v>
      </c>
      <c r="K27">
        <f>IF(J27="","",INDEX('Assignment Tool'!E43:E2076,MATCH(FA_DATA!J27,'Assignment Tool'!D43:D2076,0)))</f>
        <v>8</v>
      </c>
    </row>
    <row r="28" spans="1:11" x14ac:dyDescent="0.25">
      <c r="A28" s="118" t="str">
        <f t="shared" si="0"/>
        <v>F 148-1 SCENIC DR</v>
      </c>
      <c r="G28" t="str">
        <f>IF('Assignment Tool'!C28="","",IF('Assignment Tool'!C28="FST",'Assignment Tool'!D28,""))</f>
        <v>F 156-1 SCENIC DR</v>
      </c>
      <c r="H28">
        <v>28</v>
      </c>
      <c r="I28">
        <f t="shared" si="1"/>
        <v>153</v>
      </c>
      <c r="J28" t="str">
        <f t="array" ref="J28">IFERROR(INDEX($G$2:$G$2050,_xlfn.AGGREGATE(15,6,(ROW($G$2:$G$2050)-ROW($G$2)+1)/($G$2:$G$2050&lt;&gt;""),ROWS(J$1:J28))),"")</f>
        <v>F 2820-1 NORTH RD</v>
      </c>
      <c r="K28">
        <f>IF(J28="","",INDEX('Assignment Tool'!E44:E2077,MATCH(FA_DATA!J28,'Assignment Tool'!D44:D2077,0)))</f>
        <v>4</v>
      </c>
    </row>
    <row r="29" spans="1:11" x14ac:dyDescent="0.25">
      <c r="A29" s="118" t="str">
        <f t="shared" si="0"/>
        <v>F 149-1 SCENIC DR</v>
      </c>
      <c r="G29" t="str">
        <f>IF('Assignment Tool'!C29="","",IF('Assignment Tool'!C29="FST",'Assignment Tool'!D29,""))</f>
        <v>F 164-1 SCENIC DR</v>
      </c>
      <c r="H29">
        <v>29</v>
      </c>
      <c r="I29">
        <f t="shared" si="1"/>
        <v>157</v>
      </c>
      <c r="J29" t="str">
        <f t="array" ref="J29">IFERROR(INDEX($G$2:$G$2050,_xlfn.AGGREGATE(15,6,(ROW($G$2:$G$2050)-ROW($G$2)+1)/($G$2:$G$2050&lt;&gt;""),ROWS(J$1:J29))),"")</f>
        <v>F 509-1 FOXFIRE DR</v>
      </c>
      <c r="K29">
        <f>IF(J29="","",INDEX('Assignment Tool'!E45:E2078,MATCH(FA_DATA!J29,'Assignment Tool'!D45:D2078,0)))</f>
        <v>4</v>
      </c>
    </row>
    <row r="30" spans="1:11" x14ac:dyDescent="0.25">
      <c r="A30" s="118" t="str">
        <f t="shared" si="0"/>
        <v>F 149-1 SCENIC DR</v>
      </c>
      <c r="G30" t="str">
        <f>IF('Assignment Tool'!C30="","",IF('Assignment Tool'!C30="FST",'Assignment Tool'!D30,""))</f>
        <v>F 168-1 SCENIC DR</v>
      </c>
      <c r="H30">
        <v>30</v>
      </c>
      <c r="I30">
        <f t="shared" si="1"/>
        <v>161</v>
      </c>
      <c r="J30" t="str">
        <f t="array" ref="J30">IFERROR(INDEX($G$2:$G$2050,_xlfn.AGGREGATE(15,6,(ROW($G$2:$G$2050)-ROW($G$2)+1)/($G$2:$G$2050&lt;&gt;""),ROWS(J$1:J30))),"")</f>
        <v>F 517-1 FOXFIRE DR</v>
      </c>
      <c r="K30">
        <f>IF(J30="","",INDEX('Assignment Tool'!E46:E2079,MATCH(FA_DATA!J30,'Assignment Tool'!D46:D2079,0)))</f>
        <v>4</v>
      </c>
    </row>
    <row r="31" spans="1:11" x14ac:dyDescent="0.25">
      <c r="A31" s="118" t="str">
        <f t="shared" si="0"/>
        <v>F 149-1 SCENIC DR</v>
      </c>
      <c r="G31" t="str">
        <f>IF('Assignment Tool'!C31="","",IF('Assignment Tool'!C31="FST",'Assignment Tool'!D31,""))</f>
        <v>F 176-1 SCENIC DR</v>
      </c>
      <c r="H31">
        <v>31</v>
      </c>
      <c r="I31">
        <f t="shared" si="1"/>
        <v>165</v>
      </c>
      <c r="J31" t="str">
        <f t="array" ref="J31">IFERROR(INDEX($G$2:$G$2050,_xlfn.AGGREGATE(15,6,(ROW($G$2:$G$2050)-ROW($G$2)+1)/($G$2:$G$2050&lt;&gt;""),ROWS(J$1:J31))),"")</f>
        <v>F 525-1 FOXFIRE DR</v>
      </c>
      <c r="K31">
        <f>IF(J31="","",INDEX('Assignment Tool'!E47:E2080,MATCH(FA_DATA!J31,'Assignment Tool'!D47:D2080,0)))</f>
        <v>4</v>
      </c>
    </row>
    <row r="32" spans="1:11" x14ac:dyDescent="0.25">
      <c r="A32" s="118" t="str">
        <f t="shared" si="0"/>
        <v>F 149-1 SCENIC DR</v>
      </c>
      <c r="G32" t="str">
        <f>IF('Assignment Tool'!C32="","",IF('Assignment Tool'!C32="FST",'Assignment Tool'!D32,""))</f>
        <v/>
      </c>
      <c r="H32">
        <v>32</v>
      </c>
      <c r="I32">
        <f t="shared" si="1"/>
        <v>169</v>
      </c>
      <c r="J32" t="str">
        <f t="array" ref="J32">IFERROR(INDEX($G$2:$G$2050,_xlfn.AGGREGATE(15,6,(ROW($G$2:$G$2050)-ROW($G$2)+1)/($G$2:$G$2050&lt;&gt;""),ROWS(J$1:J32))),"")</f>
        <v>F 529-1 FOXFIRE DR</v>
      </c>
      <c r="K32">
        <f>IF(J32="","",INDEX('Assignment Tool'!E48:E2081,MATCH(FA_DATA!J32,'Assignment Tool'!D48:D2081,0)))</f>
        <v>4</v>
      </c>
    </row>
    <row r="33" spans="1:11" x14ac:dyDescent="0.25">
      <c r="A33" s="118" t="str">
        <f t="shared" si="0"/>
        <v>F 156-1 SCENIC DR</v>
      </c>
      <c r="G33" t="str">
        <f>IF('Assignment Tool'!C33="","",IF('Assignment Tool'!C33="FST",'Assignment Tool'!D33,""))</f>
        <v/>
      </c>
      <c r="H33">
        <v>33</v>
      </c>
      <c r="I33">
        <f t="shared" si="1"/>
        <v>173</v>
      </c>
      <c r="J33" t="str">
        <f t="array" ref="J33">IFERROR(INDEX($G$2:$G$2050,_xlfn.AGGREGATE(15,6,(ROW($G$2:$G$2050)-ROW($G$2)+1)/($G$2:$G$2050&lt;&gt;""),ROWS(J$1:J33))),"")</f>
        <v>F 531-1 FOXFIRE DR</v>
      </c>
      <c r="K33">
        <f>IF(J33="","",INDEX('Assignment Tool'!E49:E2082,MATCH(FA_DATA!J33,'Assignment Tool'!D49:D2082,0)))</f>
        <v>8</v>
      </c>
    </row>
    <row r="34" spans="1:11" x14ac:dyDescent="0.25">
      <c r="A34" s="118" t="str">
        <f t="shared" si="0"/>
        <v>F 156-1 SCENIC DR</v>
      </c>
      <c r="G34" t="str">
        <f>IF('Assignment Tool'!C34="","",IF('Assignment Tool'!C34="FST",'Assignment Tool'!D34,""))</f>
        <v/>
      </c>
      <c r="H34">
        <v>34</v>
      </c>
      <c r="I34">
        <f t="shared" si="1"/>
        <v>181</v>
      </c>
      <c r="J34" t="str">
        <f t="array" ref="J34">IFERROR(INDEX($G$2:$G$2050,_xlfn.AGGREGATE(15,6,(ROW($G$2:$G$2050)-ROW($G$2)+1)/($G$2:$G$2050&lt;&gt;""),ROWS(J$1:J34))),"")</f>
        <v>F 509-1 CATTAIL CIR</v>
      </c>
      <c r="K34">
        <f>IF(J34="","",INDEX('Assignment Tool'!E50:E2083,MATCH(FA_DATA!J34,'Assignment Tool'!D50:D2083,0)))</f>
        <v>4</v>
      </c>
    </row>
    <row r="35" spans="1:11" x14ac:dyDescent="0.25">
      <c r="A35" s="118" t="str">
        <f t="shared" si="0"/>
        <v>F 156-1 SCENIC DR</v>
      </c>
      <c r="G35" t="str">
        <f>IF('Assignment Tool'!C35="","",IF('Assignment Tool'!C35="FST",'Assignment Tool'!D35,""))</f>
        <v/>
      </c>
      <c r="H35">
        <v>35</v>
      </c>
      <c r="I35">
        <f t="shared" si="1"/>
        <v>185</v>
      </c>
      <c r="J35" t="str">
        <f t="array" ref="J35">IFERROR(INDEX($G$2:$G$2050,_xlfn.AGGREGATE(15,6,(ROW($G$2:$G$2050)-ROW($G$2)+1)/($G$2:$G$2050&lt;&gt;""),ROWS(J$1:J35))),"")</f>
        <v>F 513-1 CATTAIL CIR</v>
      </c>
      <c r="K35">
        <f>IF(J35="","",INDEX('Assignment Tool'!E51:E2084,MATCH(FA_DATA!J35,'Assignment Tool'!D51:D2084,0)))</f>
        <v>8</v>
      </c>
    </row>
    <row r="36" spans="1:11" x14ac:dyDescent="0.25">
      <c r="A36" s="118" t="str">
        <f t="shared" si="0"/>
        <v>F 156-1 SCENIC DR</v>
      </c>
      <c r="G36" t="str">
        <f>IF('Assignment Tool'!C36="","",IF('Assignment Tool'!C36="FST",'Assignment Tool'!D36,""))</f>
        <v/>
      </c>
      <c r="H36">
        <v>36</v>
      </c>
      <c r="I36">
        <f t="shared" si="1"/>
        <v>193</v>
      </c>
      <c r="J36" t="str">
        <f t="array" ref="J36">IFERROR(INDEX($G$2:$G$2050,_xlfn.AGGREGATE(15,6,(ROW($G$2:$G$2050)-ROW($G$2)+1)/($G$2:$G$2050&lt;&gt;""),ROWS(J$1:J36))),"")</f>
        <v>F 2832-1 NORTH RD</v>
      </c>
      <c r="K36">
        <f>IF(J36="","",INDEX('Assignment Tool'!E52:E2085,MATCH(FA_DATA!J36,'Assignment Tool'!D52:D2085,0)))</f>
        <v>4</v>
      </c>
    </row>
    <row r="37" spans="1:11" x14ac:dyDescent="0.25">
      <c r="A37" s="118" t="str">
        <f t="shared" si="0"/>
        <v>F 164-1 SCENIC DR</v>
      </c>
      <c r="G37" t="str">
        <f>IF('Assignment Tool'!C37="","",IF('Assignment Tool'!C37="FST",'Assignment Tool'!D37,""))</f>
        <v/>
      </c>
      <c r="H37">
        <v>37</v>
      </c>
      <c r="I37">
        <f t="shared" si="1"/>
        <v>197</v>
      </c>
      <c r="J37" t="str">
        <f t="array" ref="J37">IFERROR(INDEX($G$2:$G$2050,_xlfn.AGGREGATE(15,6,(ROW($G$2:$G$2050)-ROW($G$2)+1)/($G$2:$G$2050&lt;&gt;""),ROWS(J$1:J37))),"")</f>
        <v>F 2840-1 NORTH RD</v>
      </c>
      <c r="K37">
        <f>IF(J37="","",INDEX('Assignment Tool'!E53:E2086,MATCH(FA_DATA!J37,'Assignment Tool'!D53:D2086,0)))</f>
        <v>4</v>
      </c>
    </row>
    <row r="38" spans="1:11" x14ac:dyDescent="0.25">
      <c r="A38" s="118" t="str">
        <f t="shared" si="0"/>
        <v>F 164-1 SCENIC DR</v>
      </c>
      <c r="G38" t="str">
        <f>IF('Assignment Tool'!C38="","",IF('Assignment Tool'!C38="FST",'Assignment Tool'!D38,""))</f>
        <v/>
      </c>
      <c r="H38">
        <v>38</v>
      </c>
      <c r="I38">
        <f t="shared" si="1"/>
        <v>201</v>
      </c>
      <c r="J38" t="str">
        <f t="array" ref="J38">IFERROR(INDEX($G$2:$G$2050,_xlfn.AGGREGATE(15,6,(ROW($G$2:$G$2050)-ROW($G$2)+1)/($G$2:$G$2050&lt;&gt;""),ROWS(J$1:J38))),"")</f>
        <v>F 2852-1 NORTH RD</v>
      </c>
      <c r="K38">
        <f>IF(J38="","",INDEX('Assignment Tool'!E54:E2087,MATCH(FA_DATA!J38,'Assignment Tool'!D54:D2087,0)))</f>
        <v>4</v>
      </c>
    </row>
    <row r="39" spans="1:11" x14ac:dyDescent="0.25">
      <c r="A39" s="118" t="str">
        <f t="shared" si="0"/>
        <v>F 164-1 SCENIC DR</v>
      </c>
      <c r="G39" t="str">
        <f>IF('Assignment Tool'!C39="","",IF('Assignment Tool'!C39="FST",'Assignment Tool'!D39,""))</f>
        <v/>
      </c>
      <c r="H39">
        <v>39</v>
      </c>
      <c r="I39">
        <f t="shared" si="1"/>
        <v>205</v>
      </c>
      <c r="J39" t="str">
        <f t="array" ref="J39">IFERROR(INDEX($G$2:$G$2050,_xlfn.AGGREGATE(15,6,(ROW($G$2:$G$2050)-ROW($G$2)+1)/($G$2:$G$2050&lt;&gt;""),ROWS(J$1:J39))),"")</f>
        <v>F 2864-1 NORTH RD</v>
      </c>
      <c r="K39">
        <f>IF(J39="","",INDEX('Assignment Tool'!E55:E2088,MATCH(FA_DATA!J39,'Assignment Tool'!D55:D2088,0)))</f>
        <v>4</v>
      </c>
    </row>
    <row r="40" spans="1:11" x14ac:dyDescent="0.25">
      <c r="A40" s="118" t="str">
        <f t="shared" si="0"/>
        <v>F 164-1 SCENIC DR</v>
      </c>
      <c r="G40" t="str">
        <f>IF('Assignment Tool'!C40="","",IF('Assignment Tool'!C40="FST",'Assignment Tool'!D40,""))</f>
        <v/>
      </c>
      <c r="H40">
        <v>40</v>
      </c>
      <c r="I40">
        <f t="shared" si="1"/>
        <v>209</v>
      </c>
      <c r="J40" t="str">
        <f t="array" ref="J40">IFERROR(INDEX($G$2:$G$2050,_xlfn.AGGREGATE(15,6,(ROW($G$2:$G$2050)-ROW($G$2)+1)/($G$2:$G$2050&lt;&gt;""),ROWS(J$1:J40))),"")</f>
        <v>F 2884-1 NORTH RD</v>
      </c>
      <c r="K40">
        <f>IF(J40="","",INDEX('Assignment Tool'!E56:E2089,MATCH(FA_DATA!J40,'Assignment Tool'!D56:D2089,0)))</f>
        <v>4</v>
      </c>
    </row>
    <row r="41" spans="1:11" x14ac:dyDescent="0.25">
      <c r="A41" s="118" t="str">
        <f t="shared" si="0"/>
        <v>F 168-1 SCENIC DR</v>
      </c>
      <c r="G41" t="str">
        <f>IF('Assignment Tool'!C41="","",IF('Assignment Tool'!C41="FST",'Assignment Tool'!D41,""))</f>
        <v/>
      </c>
      <c r="H41">
        <v>41</v>
      </c>
      <c r="I41">
        <f t="shared" si="1"/>
        <v>213</v>
      </c>
      <c r="J41" t="str">
        <f t="array" ref="J41">IFERROR(INDEX($G$2:$G$2050,_xlfn.AGGREGATE(15,6,(ROW($G$2:$G$2050)-ROW($G$2)+1)/($G$2:$G$2050&lt;&gt;""),ROWS(J$1:J41))),"")</f>
        <v>F 2894-1 NORTH RD</v>
      </c>
      <c r="K41">
        <f>IF(J41="","",INDEX('Assignment Tool'!E57:E2090,MATCH(FA_DATA!J41,'Assignment Tool'!D57:D2090,0)))</f>
        <v>4</v>
      </c>
    </row>
    <row r="42" spans="1:11" x14ac:dyDescent="0.25">
      <c r="A42" s="118" t="str">
        <f t="shared" si="0"/>
        <v>F 168-1 SCENIC DR</v>
      </c>
      <c r="G42" t="str">
        <f>IF('Assignment Tool'!C42="","",IF('Assignment Tool'!C42="FST",'Assignment Tool'!D42,""))</f>
        <v/>
      </c>
      <c r="H42">
        <v>42</v>
      </c>
      <c r="I42">
        <f t="shared" si="1"/>
        <v>217</v>
      </c>
      <c r="J42" t="str">
        <f t="array" ref="J42">IFERROR(INDEX($G$2:$G$2050,_xlfn.AGGREGATE(15,6,(ROW($G$2:$G$2050)-ROW($G$2)+1)/($G$2:$G$2050&lt;&gt;""),ROWS(J$1:J42))),"")</f>
        <v>F 504-1 BUCKSKIN LN</v>
      </c>
      <c r="K42">
        <f>IF(J42="","",INDEX('Assignment Tool'!E58:E2091,MATCH(FA_DATA!J42,'Assignment Tool'!D58:D2091,0)))</f>
        <v>4</v>
      </c>
    </row>
    <row r="43" spans="1:11" x14ac:dyDescent="0.25">
      <c r="A43" s="118" t="str">
        <f t="shared" si="0"/>
        <v>F 168-1 SCENIC DR</v>
      </c>
      <c r="G43" t="str">
        <f>IF('Assignment Tool'!C43="","",IF('Assignment Tool'!C43="FST",'Assignment Tool'!D43,""))</f>
        <v/>
      </c>
      <c r="H43">
        <v>43</v>
      </c>
      <c r="I43">
        <f t="shared" si="1"/>
        <v>221</v>
      </c>
      <c r="J43" t="str">
        <f t="array" ref="J43">IFERROR(INDEX($G$2:$G$2050,_xlfn.AGGREGATE(15,6,(ROW($G$2:$G$2050)-ROW($G$2)+1)/($G$2:$G$2050&lt;&gt;""),ROWS(J$1:J43))),"")</f>
        <v>F 505-1 BUCKSKIN LN</v>
      </c>
      <c r="K43">
        <f>IF(J43="","",INDEX('Assignment Tool'!E59:E2092,MATCH(FA_DATA!J43,'Assignment Tool'!D59:D2092,0)))</f>
        <v>8</v>
      </c>
    </row>
    <row r="44" spans="1:11" x14ac:dyDescent="0.25">
      <c r="A44" s="118" t="str">
        <f t="shared" si="0"/>
        <v>F 168-1 SCENIC DR</v>
      </c>
      <c r="G44" t="str">
        <f>IF('Assignment Tool'!C44="","",IF('Assignment Tool'!C44="FST",'Assignment Tool'!D44,""))</f>
        <v/>
      </c>
      <c r="H44">
        <v>44</v>
      </c>
      <c r="I44">
        <f t="shared" si="1"/>
        <v>229</v>
      </c>
      <c r="J44" t="str">
        <f t="array" ref="J44">IFERROR(INDEX($G$2:$G$2050,_xlfn.AGGREGATE(15,6,(ROW($G$2:$G$2050)-ROW($G$2)+1)/($G$2:$G$2050&lt;&gt;""),ROWS(J$1:J44))),"")</f>
        <v>F 2832-1 BUCKSKIN DR</v>
      </c>
      <c r="K44">
        <f>IF(J44="","",INDEX('Assignment Tool'!E60:E2093,MATCH(FA_DATA!J44,'Assignment Tool'!D60:D2093,0)))</f>
        <v>4</v>
      </c>
    </row>
    <row r="45" spans="1:11" x14ac:dyDescent="0.25">
      <c r="A45" s="118" t="str">
        <f t="shared" si="0"/>
        <v>F 176-1 SCENIC DR</v>
      </c>
      <c r="G45" t="str">
        <f>IF('Assignment Tool'!C45="","",IF('Assignment Tool'!C45="FST",'Assignment Tool'!D45,""))</f>
        <v/>
      </c>
      <c r="H45">
        <v>45</v>
      </c>
      <c r="I45">
        <f t="shared" si="1"/>
        <v>233</v>
      </c>
      <c r="J45" t="str">
        <f t="array" ref="J45">IFERROR(INDEX($G$2:$G$2050,_xlfn.AGGREGATE(15,6,(ROW($G$2:$G$2050)-ROW($G$2)+1)/($G$2:$G$2050&lt;&gt;""),ROWS(J$1:J45))),"")</f>
        <v>F 2825-1 BUCKSKIN DR</v>
      </c>
      <c r="K45">
        <f>IF(J45="","",INDEX('Assignment Tool'!E61:E2094,MATCH(FA_DATA!J45,'Assignment Tool'!D61:D2094,0)))</f>
        <v>4</v>
      </c>
    </row>
    <row r="46" spans="1:11" x14ac:dyDescent="0.25">
      <c r="A46" s="118" t="str">
        <f t="shared" si="0"/>
        <v>F 176-1 SCENIC DR</v>
      </c>
      <c r="G46" t="str">
        <f>IF('Assignment Tool'!C46="","",IF('Assignment Tool'!C46="FST",'Assignment Tool'!D46,""))</f>
        <v/>
      </c>
      <c r="H46">
        <v>46</v>
      </c>
      <c r="I46">
        <f t="shared" si="1"/>
        <v>237</v>
      </c>
      <c r="J46" t="str">
        <f t="array" ref="J46">IFERROR(INDEX($G$2:$G$2050,_xlfn.AGGREGATE(15,6,(ROW($G$2:$G$2050)-ROW($G$2)+1)/($G$2:$G$2050&lt;&gt;""),ROWS(J$1:J46))),"")</f>
        <v>F 2833-1 BUCKSKIN DR</v>
      </c>
      <c r="K46">
        <f>IF(J46="","",INDEX('Assignment Tool'!E62:E2095,MATCH(FA_DATA!J46,'Assignment Tool'!D62:D2095,0)))</f>
        <v>4</v>
      </c>
    </row>
    <row r="47" spans="1:11" x14ac:dyDescent="0.25">
      <c r="A47" s="118" t="str">
        <f t="shared" si="0"/>
        <v>F 176-1 SCENIC DR</v>
      </c>
      <c r="G47" t="str">
        <f>IF('Assignment Tool'!C47="","",IF('Assignment Tool'!C47="FST",'Assignment Tool'!D47,""))</f>
        <v/>
      </c>
      <c r="H47">
        <v>47</v>
      </c>
      <c r="I47">
        <f t="shared" si="1"/>
        <v>241</v>
      </c>
      <c r="J47" t="str">
        <f t="array" ref="J47">IFERROR(INDEX($G$2:$G$2050,_xlfn.AGGREGATE(15,6,(ROW($G$2:$G$2050)-ROW($G$2)+1)/($G$2:$G$2050&lt;&gt;""),ROWS(J$1:J47))),"")</f>
        <v>OPP 6439-1 NORTH HILLS CIR</v>
      </c>
      <c r="K47">
        <f>IF(J47="","",INDEX('Assignment Tool'!E63:E2096,MATCH(FA_DATA!J47,'Assignment Tool'!D63:D2096,0)))</f>
        <v>4</v>
      </c>
    </row>
    <row r="48" spans="1:11" x14ac:dyDescent="0.25">
      <c r="A48" s="118" t="str">
        <f t="shared" si="0"/>
        <v>F 176-1 SCENIC DR</v>
      </c>
      <c r="G48" t="str">
        <f>IF('Assignment Tool'!C48="","",IF('Assignment Tool'!C48="FST",'Assignment Tool'!D48,""))</f>
        <v/>
      </c>
      <c r="H48">
        <v>48</v>
      </c>
      <c r="I48">
        <f t="shared" si="1"/>
        <v>245</v>
      </c>
      <c r="J48" t="str">
        <f t="array" ref="J48">IFERROR(INDEX($G$2:$G$2050,_xlfn.AGGREGATE(15,6,(ROW($G$2:$G$2050)-ROW($G$2)+1)/($G$2:$G$2050&lt;&gt;""),ROWS(J$1:J48))),"")</f>
        <v>F 6432-1 NORTH HILLS CIR</v>
      </c>
      <c r="K48">
        <f>IF(J48="","",INDEX('Assignment Tool'!E64:E2097,MATCH(FA_DATA!J48,'Assignment Tool'!D64:D2097,0)))</f>
        <v>4</v>
      </c>
    </row>
    <row r="49" spans="1:11" x14ac:dyDescent="0.25">
      <c r="A49" s="118" t="str">
        <f t="shared" si="0"/>
        <v>F 2704-1 WINDCREST CIR</v>
      </c>
      <c r="G49" t="str">
        <f>IF('Assignment Tool'!C49="","",IF('Assignment Tool'!C49="FST",'Assignment Tool'!D49,""))</f>
        <v/>
      </c>
      <c r="H49">
        <v>49</v>
      </c>
      <c r="I49">
        <f t="shared" si="1"/>
        <v>249</v>
      </c>
      <c r="J49" t="str">
        <f t="array" ref="J49">IFERROR(INDEX($G$2:$G$2050,_xlfn.AGGREGATE(15,6,(ROW($G$2:$G$2050)-ROW($G$2)+1)/($G$2:$G$2050&lt;&gt;""),ROWS(J$1:J49))),"")</f>
        <v>F 6429-1 NORTH HILLS CIR</v>
      </c>
      <c r="K49">
        <f>IF(J49="","",INDEX('Assignment Tool'!E65:E2098,MATCH(FA_DATA!J49,'Assignment Tool'!D65:D2098,0)))</f>
        <v>4</v>
      </c>
    </row>
    <row r="50" spans="1:11" x14ac:dyDescent="0.25">
      <c r="A50" s="118" t="str">
        <f t="shared" si="0"/>
        <v>F 2704-1 WINDCREST CIR</v>
      </c>
      <c r="G50" t="str">
        <f>IF('Assignment Tool'!C50="","",IF('Assignment Tool'!C50="FST",'Assignment Tool'!D50,""))</f>
        <v/>
      </c>
      <c r="H50">
        <v>50</v>
      </c>
      <c r="I50">
        <f t="shared" si="1"/>
        <v>253</v>
      </c>
      <c r="J50" t="str">
        <f t="array" ref="J50">IFERROR(INDEX($G$2:$G$2050,_xlfn.AGGREGATE(15,6,(ROW($G$2:$G$2050)-ROW($G$2)+1)/($G$2:$G$2050&lt;&gt;""),ROWS(J$1:J50))),"")</f>
        <v>F 6421-1 NORTH HILLS CIR</v>
      </c>
      <c r="K50">
        <f>IF(J50="","",INDEX('Assignment Tool'!E66:E2099,MATCH(FA_DATA!J50,'Assignment Tool'!D66:D2099,0)))</f>
        <v>4</v>
      </c>
    </row>
    <row r="51" spans="1:11" x14ac:dyDescent="0.25">
      <c r="A51" s="118" t="str">
        <f t="shared" si="0"/>
        <v>F 2704-1 WINDCREST CIR</v>
      </c>
      <c r="G51" t="str">
        <f>IF('Assignment Tool'!C51="","",IF('Assignment Tool'!C51="FST",'Assignment Tool'!D51,""))</f>
        <v/>
      </c>
      <c r="H51">
        <v>51</v>
      </c>
      <c r="I51">
        <f t="shared" si="1"/>
        <v>257</v>
      </c>
      <c r="J51" t="str">
        <f t="array" ref="J51">IFERROR(INDEX($G$2:$G$2050,_xlfn.AGGREGATE(15,6,(ROW($G$2:$G$2050)-ROW($G$2)+1)/($G$2:$G$2050&lt;&gt;""),ROWS(J$1:J51))),"")</f>
        <v>F 6409-1 NORTH HILLS CIR</v>
      </c>
      <c r="K51">
        <f>IF(J51="","",INDEX('Assignment Tool'!E67:E2100,MATCH(FA_DATA!J51,'Assignment Tool'!D67:D2100,0)))</f>
        <v>4</v>
      </c>
    </row>
    <row r="52" spans="1:11" x14ac:dyDescent="0.25">
      <c r="A52" s="118" t="str">
        <f t="shared" si="0"/>
        <v>F 2704-1 WINDCREST CIR</v>
      </c>
      <c r="G52" t="str">
        <f>IF('Assignment Tool'!C52="","",IF('Assignment Tool'!C52="FST",'Assignment Tool'!D52,""))</f>
        <v/>
      </c>
      <c r="H52">
        <v>52</v>
      </c>
      <c r="I52">
        <f t="shared" si="1"/>
        <v>261</v>
      </c>
      <c r="J52" t="str">
        <f t="array" ref="J52">IFERROR(INDEX($G$2:$G$2050,_xlfn.AGGREGATE(15,6,(ROW($G$2:$G$2050)-ROW($G$2)+1)/($G$2:$G$2050&lt;&gt;""),ROWS(J$1:J52))),"")</f>
        <v>F 6405-1 NORTH HILLS CIR</v>
      </c>
      <c r="K52">
        <f>IF(J52="","",INDEX('Assignment Tool'!E68:E2101,MATCH(FA_DATA!J52,'Assignment Tool'!D68:D2101,0)))</f>
        <v>4</v>
      </c>
    </row>
    <row r="53" spans="1:11" x14ac:dyDescent="0.25">
      <c r="A53" s="118" t="str">
        <f t="shared" si="0"/>
        <v>F 2712-1 WINDCREST CIR</v>
      </c>
      <c r="G53" t="str">
        <f>IF('Assignment Tool'!C53="","",IF('Assignment Tool'!C53="FST",'Assignment Tool'!D53,""))</f>
        <v/>
      </c>
      <c r="H53">
        <v>53</v>
      </c>
      <c r="I53">
        <f t="shared" si="1"/>
        <v>265</v>
      </c>
      <c r="J53" t="str">
        <f t="array" ref="J53">IFERROR(INDEX($G$2:$G$2050,_xlfn.AGGREGATE(15,6,(ROW($G$2:$G$2050)-ROW($G$2)+1)/($G$2:$G$2050&lt;&gt;""),ROWS(J$1:J53))),"")</f>
        <v>F 2820-1 BUCKSKIN DR</v>
      </c>
      <c r="K53">
        <f>IF(J53="","",INDEX('Assignment Tool'!E69:E2102,MATCH(FA_DATA!J53,'Assignment Tool'!D69:D2102,0)))</f>
        <v>4</v>
      </c>
    </row>
    <row r="54" spans="1:11" x14ac:dyDescent="0.25">
      <c r="A54" s="118" t="str">
        <f t="shared" si="0"/>
        <v>F 2712-1 WINDCREST CIR</v>
      </c>
      <c r="G54" t="str">
        <f>IF('Assignment Tool'!C54="","",IF('Assignment Tool'!C54="FST",'Assignment Tool'!D54,""))</f>
        <v/>
      </c>
      <c r="H54">
        <v>54</v>
      </c>
      <c r="I54">
        <f t="shared" si="1"/>
        <v>269</v>
      </c>
      <c r="J54" t="str">
        <f t="array" ref="J54">IFERROR(INDEX($G$2:$G$2050,_xlfn.AGGREGATE(15,6,(ROW($G$2:$G$2050)-ROW($G$2)+1)/($G$2:$G$2050&lt;&gt;""),ROWS(J$1:J54))),"")</f>
        <v>F 2812-1 BUCKSKIN DR</v>
      </c>
      <c r="K54">
        <f>IF(J54="","",INDEX('Assignment Tool'!E70:E2103,MATCH(FA_DATA!J54,'Assignment Tool'!D70:D2103,0)))</f>
        <v>8</v>
      </c>
    </row>
    <row r="55" spans="1:11" x14ac:dyDescent="0.25">
      <c r="A55" s="118" t="str">
        <f t="shared" si="0"/>
        <v>F 2712-1 WINDCREST CIR</v>
      </c>
      <c r="G55" t="str">
        <f>IF('Assignment Tool'!C55="","",IF('Assignment Tool'!C55="FST",'Assignment Tool'!D55,""))</f>
        <v/>
      </c>
      <c r="H55">
        <v>55</v>
      </c>
      <c r="I55">
        <f t="shared" si="1"/>
        <v>277</v>
      </c>
      <c r="J55" t="str">
        <f t="array" ref="J55">IFERROR(INDEX($G$2:$G$2050,_xlfn.AGGREGATE(15,6,(ROW($G$2:$G$2050)-ROW($G$2)+1)/($G$2:$G$2050&lt;&gt;""),ROWS(J$1:J55))),"")</f>
        <v/>
      </c>
      <c r="K55" t="str">
        <f>IF(J55="","",INDEX('Assignment Tool'!E71:E2104,MATCH(FA_DATA!J55,'Assignment Tool'!D71:D2104,0)))</f>
        <v/>
      </c>
    </row>
    <row r="56" spans="1:11" x14ac:dyDescent="0.25">
      <c r="A56" s="118" t="str">
        <f t="shared" si="0"/>
        <v>F 2712-1 WINDCREST CIR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2717-1 WINDCREST CIR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2717-1 WINDCREST CIR</v>
      </c>
      <c r="G58" t="str">
        <f>IF('Assignment Tool'!C58="","",IF('Assignment Tool'!C58="FST",'Assignment Tool'!D58,""))</f>
        <v>F 2704-1 WINDCREST CIR</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2717-1 WINDCREST CIR</v>
      </c>
      <c r="G59" t="str">
        <f>IF('Assignment Tool'!C59="","",IF('Assignment Tool'!C59="FST",'Assignment Tool'!D59,""))</f>
        <v>F 2712-1 WINDCREST CIR</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2717-1 WINDCREST CIR</v>
      </c>
      <c r="G60" t="str">
        <f>IF('Assignment Tool'!C60="","",IF('Assignment Tool'!C60="FST",'Assignment Tool'!D60,""))</f>
        <v>F 2717-1 WINDCREST CIR</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2724-1 WINDCREST CIR</v>
      </c>
      <c r="G61" t="str">
        <f>IF('Assignment Tool'!C61="","",IF('Assignment Tool'!C61="FST",'Assignment Tool'!D61,""))</f>
        <v>F 2724-1 WINDCREST CIR</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2724-1 WINDCREST CIR</v>
      </c>
      <c r="G62" t="str">
        <f>IF('Assignment Tool'!C62="","",IF('Assignment Tool'!C62="FST",'Assignment Tool'!D62,""))</f>
        <v>F 2725-1 WINDCREST CIR</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2724-1 WINDCREST CIR</v>
      </c>
      <c r="G63" t="str">
        <f>IF('Assignment Tool'!C63="","",IF('Assignment Tool'!C63="FST",'Assignment Tool'!D63,""))</f>
        <v>F 2736-1 WINDCREST CIR</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2724-1 WINDCREST CIR</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2725-1 WINDCREST CIR</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2725-1 WINDCREST CIR</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2725-1 WINDCREST CIR</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2725-1 WINDCREST CIR</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2736-1 WINDCREST CIR</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2736-1 WINDCREST CIR</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2736-1 WINDCREST CIR</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2736-1 WINDCREST CIR</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137-1 RED OAK CIR</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137-1 RED OAK CIR</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137-1 RED OAK CIR</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137-1 RED OAK CIR</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129-1 RED OAK CIR</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129-1 RED OAK CIR</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129-1 RED OAK CIR</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129-1 RED OAK CIR</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121-1 RED OAK CIR</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121-1 RED OAK CIR</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121-1 RED OAK CIR</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121-1 RED OAK CIR</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121-1 RED OAK CIR</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121-1 RED OAK CIR</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121-1 RED OAK CIR</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121-1 RED OAK CIR</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OPP 114-1 RED OAK CIR</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OPP 114-1 RED OAK CIR</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OPP 114-1 RED OAK CIR</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OPP 114-1 RED OAK CIR</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OPP 114-1 RED OAK CIR</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OPP 114-1 RED OAK CIR</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OPP 114-1 RED OAK CIR</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OPP 114-1 RED OAK CIR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2801-1 RICHIE AVE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2801-1 RICHIE AVE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2801-1 RICHIE AVE</v>
      </c>
      <c r="G99" t="str">
        <f>IF('Assignment Tool'!C99="","",IF('Assignment Tool'!C99="FST",'Assignment Tool'!D99,""))</f>
        <v>F 137-1 RED OAK CIR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2801-1 RICHIE AVE</v>
      </c>
      <c r="G100" t="str">
        <f>IF('Assignment Tool'!C100="","",IF('Assignment Tool'!C100="FST",'Assignment Tool'!D100,""))</f>
        <v>F 129-1 RED OAK CIR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2801-1 RICHIE AVE</v>
      </c>
      <c r="G101" t="str">
        <f>IF('Assignment Tool'!C101="","",IF('Assignment Tool'!C101="FST",'Assignment Tool'!D101,""))</f>
        <v>F 121-1 RED OAK CIR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2801-1 RICHIE AVE</v>
      </c>
      <c r="G102" t="str">
        <f>IF('Assignment Tool'!C102="","",IF('Assignment Tool'!C102="FST",'Assignment Tool'!D102,""))</f>
        <v>OPP 114-1 RED OAK CIR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2801-1 RICHIE AVE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2801-1 RICHIE AVE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2805-1 RICHIE AVE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2805-1 RICHIE AVE</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2805-1 RICHIE AVE</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2805-1 RICHIE AVE</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2805-1 RICHIE AVE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2805-1 RICHIE AVE</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2805-1 RICHIE AVE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2805-1 RICHIE AVE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2813-1 RICHIE AVE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2813-1 RICHIE AVE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2813-1 RICHIE AVE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2813-1 RICHIE AVE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2813-1 RICHIE AVE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2813-1 RICHIE AVE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2813-1 RICHIE AVE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2813-1 RICHIE AVE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2744-1 NORTH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2744-1 NORTH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2744-1 NORTH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2744-1 NORTH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2744-1 NORTH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2744-1 NORTH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2744-1 NORTH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2744-1 NORTH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2744-1 NORTH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Tool'!D144:D2178,0)))</f>
        <v/>
      </c>
    </row>
    <row r="130" spans="1:11" x14ac:dyDescent="0.25">
      <c r="A130" s="118" t="str">
        <f t="shared" ref="A130:A193" si="4">VLOOKUP(H130,$I$1:$J$1000,2)</f>
        <v>F 2744-1 NORTH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2744-1 NORTH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2744-1 NORTH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500-1 FOXFIRE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500-1 FOXFIRE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500-1 FOXFIRE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500-1 FOXFIRE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500-1 FOXFIRE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500-1 FOXFIRE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500-1 FOXFIRE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500-1 FOXFIRE DR</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500-1 FOXFIRE DR</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500-1 FOXFIRE DR</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500-1 FOXFIRE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500-1 FOXFIRE DR</v>
      </c>
      <c r="G144" t="str">
        <f>IF('Assignment Tool'!C144="","",IF('Assignment Tool'!C144="FST",'Assignment Tool'!#REF!,""))</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2812-1 NORTH RD</v>
      </c>
      <c r="G145" t="str">
        <f>IF('Assignment Tool'!C145="","",IF('Assignment Tool'!C145="FST",'Assignment Tool'!D144,""))</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2812-1 NORTH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2812-1 NORTH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2812-1 NORTH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2812-1 NORTH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2812-1 NORTH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2812-1 NORTH RD</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2812-1 NORTH RD</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2820-1 NORTH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2820-1 NORTH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2820-1 NORTH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2820-1 NORTH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509-1 FOXFIRE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509-1 FOXFIRE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509-1 FOXFIRE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509-1 FOXFIRE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517-1 FOXFIRE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517-1 FOXFIRE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517-1 FOXFIRE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517-1 FOXFIRE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525-1 FOXFIRE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525-1 FOXFIRE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525-1 FOXFIRE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525-1 FOXFIRE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529-1 FOXFIRE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529-1 FOXFIRE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529-1 FOXFIRE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529-1 FOXFIRE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531-1 FOXFIRE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531-1 FOXFIRE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531-1 FOXFIRE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531-1 FOXFIRE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531-1 FOXFIRE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531-1 FOXFIRE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531-1 FOXFIRE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531-1 FOXFIRE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509-1 CATTAIL CIR</v>
      </c>
      <c r="G181" t="str">
        <f>IF('Assignment Tool'!C181="","",IF('Assignment Tool'!C181="FST",'Assignment Tool'!D181,""))</f>
        <v>F 2801-1 RICHIE AVE</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509-1 CATTAIL CIR</v>
      </c>
      <c r="G182" t="str">
        <f>IF('Assignment Tool'!C182="","",IF('Assignment Tool'!C182="FST",'Assignment Tool'!D182,""))</f>
        <v>F 2805-1 RICHIE AVE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509-1 CATTAIL CIR</v>
      </c>
      <c r="G183" t="str">
        <f>IF('Assignment Tool'!C183="","",IF('Assignment Tool'!C183="FST",'Assignment Tool'!D183,""))</f>
        <v>F 2813-1 RICHIE AVE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509-1 CATTAIL CIR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513-1 CATTAIL CIR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513-1 CATTAIL CIR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513-1 CATTAIL CIR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513-1 CATTAIL CIR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513-1 CATTAIL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513-1 CATTAIL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513-1 CATTAIL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513-1 CATTAIL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2832-1 NORTH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2832-1 NORTH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2832-1 NORTH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2832-1 NORTH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2840-1 NORTH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2840-1 NORTH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2840-1 NORTH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2840-1 NORTH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2852-1 NORTH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2852-1 NORTH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2852-1 NORTH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2852-1 NORTH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2864-1 NORTH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2864-1 NORTH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2864-1 NORTH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2864-1 NORTH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2884-1 NORTH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2884-1 NORTH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2884-1 NORTH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2884-1 NORTH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2894-1 NORTH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2894-1 NORTH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2894-1 NORTH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2894-1 NORTH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504-1 BUCKSKIN LN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504-1 BUCKSKIN LN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504-1 BUCKSKIN LN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504-1 BUCKSKIN LN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505-1 BUCKSKIN LN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505-1 BUCKSKIN LN</v>
      </c>
      <c r="G222" t="str">
        <f>IF('Assignment Tool'!C222="","",IF('Assignment Tool'!C222="FST",'Assignment Tool'!D222,""))</f>
        <v>F 2744-1 NORTH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505-1 BUCKSKIN LN</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505-1 BUCKSKIN LN</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505-1 BUCKSKIN LN</v>
      </c>
      <c r="G225" t="str">
        <f>IF('Assignment Tool'!C225="","",IF('Assignment Tool'!C225="FST",'Assignment Tool'!D225,""))</f>
        <v>F 500-1 FOXFIRE DR</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505-1 BUCKSKIN LN</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505-1 BUCKSKIN LN</v>
      </c>
      <c r="G227" t="str">
        <f>IF('Assignment Tool'!C227="","",IF('Assignment Tool'!C227="FST",'Assignment Tool'!D227,""))</f>
        <v>F 2812-1 NORTH RD</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505-1 BUCKSKIN LN</v>
      </c>
      <c r="G228" t="str">
        <f>IF('Assignment Tool'!C228="","",IF('Assignment Tool'!C228="FST",'Assignment Tool'!D228,""))</f>
        <v>F 2820-1 NORTH RD</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2832-1 BUCKSKIN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2832-1 BUCKSKIN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2832-1 BUCKSKIN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2832-1 BUCKSKIN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2825-1 BUCKSKIN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2825-1 BUCKSKIN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2825-1 BUCKSKIN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2825-1 BUCKSKIN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2833-1 BUCKSKIN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2833-1 BUCKSKIN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2833-1 BUCKSKIN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2833-1 BUCKSKIN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OPP 6439-1 NORTH HILLS CIR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OPP 6439-1 NORTH HILLS CIR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OPP 6439-1 NORTH HILLS CIR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OPP 6439-1 NORTH HILLS CIR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6432-1 NORTH HILLS CIR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6432-1 NORTH HILLS CIR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6432-1 NORTH HILLS CIR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6432-1 NORTH HILLS CIR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6429-1 NORTH HILLS CIR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6429-1 NORTH HILLS CIR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6429-1 NORTH HILLS CIR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6429-1 NORTH HILLS CIR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6421-1 NORTH HILLS CIR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6421-1 NORTH HILLS CIR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6421-1 NORTH HILLS CIR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6421-1 NORTH HILLS CIR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6409-1 NORTH HILLS CIR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6409-1 NORTH HILLS CIR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6409-1 NORTH HILLS CIR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6409-1 NORTH HILLS CIR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6405-1 NORTH HILLS CIR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6405-1 NORTH HILLS CIR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6405-1 NORTH HILLS CIR</v>
      </c>
      <c r="G263" t="str">
        <f>IF('Assignment Tool'!C263="","",IF('Assignment Tool'!C263="FST",'Assignment Tool'!D263,""))</f>
        <v>F 509-1 FOXFIRE DR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6405-1 NORTH HILLS CIR</v>
      </c>
      <c r="G264" t="str">
        <f>IF('Assignment Tool'!C264="","",IF('Assignment Tool'!C264="FST",'Assignment Tool'!D264,""))</f>
        <v>F 517-1 FOXFIRE DR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2820-1 BUCKSKIN DR</v>
      </c>
      <c r="G265" t="str">
        <f>IF('Assignment Tool'!C265="","",IF('Assignment Tool'!C265="FST",'Assignment Tool'!D265,""))</f>
        <v>F 525-1 FOXFIRE DR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2820-1 BUCKSKIN DR</v>
      </c>
      <c r="G266" t="str">
        <f>IF('Assignment Tool'!C266="","",IF('Assignment Tool'!C266="FST",'Assignment Tool'!D266,""))</f>
        <v>F 529-1 FOXFIRE DR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2820-1 BUCKSKIN DR</v>
      </c>
      <c r="G267" t="str">
        <f>IF('Assignment Tool'!C267="","",IF('Assignment Tool'!C267="FST",'Assignment Tool'!D267,""))</f>
        <v>F 531-1 FOXFIRE DR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2820-1 BUCKSKIN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2812-1 BUCKSKIN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2812-1 BUCKSKIN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2812-1 BUCKSKIN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2812-1 BUCKSKIN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2812-1 BUCKSKIN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2812-1 BUCKSKIN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2812-1 BUCKSKIN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2812-1 BUCKSKIN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F 509-1 CATTAIL CIR</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513-1 CATTAIL CIR</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F 2832-1 NORTH RD</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2840-1 NORTH RD</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2852-1 NORTH RD</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2864-1 NORTH RD</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F 2884-1 NORTH RD</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F 2894-1 NORTH RD</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F 504-1 BUCKSKIN LN</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F 505-1 BUCKSKIN LN</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F 2832-1 BUCKSKIN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F 2825-1 BUCKSKIN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F 2833-1 BUCKSKIN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OPP 6439-1 NORTH HILLS CIR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F 6432-1 NORTH HILLS CIR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6429-1 NORTH HILLS CIR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F 6421-1 NORTH HILLS CIR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F 6409-1 NORTH HILLS CIR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F 6405-1 NORTH HILLS CIR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2820-1 BUCKSKIN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2812-1 BUCKSKIN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N20" sqref="N20"/>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32</v>
      </c>
      <c r="D15" s="4">
        <v>30</v>
      </c>
      <c r="E15" s="4"/>
      <c r="F15" s="4"/>
      <c r="G15" s="4"/>
      <c r="H15" s="4"/>
      <c r="I15" s="4"/>
      <c r="J15" s="4"/>
      <c r="K15" s="4"/>
      <c r="L15" s="4"/>
      <c r="M15" s="4"/>
      <c r="N15" s="4"/>
      <c r="O15" s="4"/>
      <c r="P15" s="4"/>
      <c r="Q15" s="4"/>
      <c r="R15" s="4"/>
      <c r="S15" s="4"/>
      <c r="T15" s="4"/>
      <c r="U15" s="4"/>
      <c r="V15" s="4"/>
      <c r="W15" s="4">
        <v>122</v>
      </c>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3" t="s">
        <v>63</v>
      </c>
      <c r="C2" s="263"/>
      <c r="D2" s="263"/>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4" t="s">
        <v>69</v>
      </c>
      <c r="C3" s="264"/>
      <c r="D3" s="143">
        <f>SUM('8645C Innerduct'!C2:AF499)</f>
        <v>184</v>
      </c>
      <c r="E3" s="129"/>
      <c r="F3" s="129"/>
      <c r="G3" s="266" t="s">
        <v>70</v>
      </c>
      <c r="H3" s="267"/>
      <c r="I3" s="137" t="str">
        <f>IFERROR(IF(AND(#REF!="Y",#REF!="N"),I4,IF(AND(I4&gt;0,End_Sections!B2="B"),IF(#REF!&lt;1000,I4+10,I4+20),I4)),"")</f>
        <v/>
      </c>
      <c r="J3" s="130"/>
      <c r="K3" s="131"/>
      <c r="L3" s="266" t="s">
        <v>70</v>
      </c>
      <c r="M3" s="267"/>
      <c r="N3" s="137" t="str">
        <f>IFERROR(IF(AND(#REF!="Y",#REF!="N"),N4,IF(AND(N4&gt;0,End_Sections!C2="B"),IF(#REF!&lt;1000,N4+10,N4+20),N4)),"")</f>
        <v/>
      </c>
      <c r="O3" s="130"/>
      <c r="P3" s="131"/>
      <c r="Q3" s="266" t="s">
        <v>70</v>
      </c>
      <c r="R3" s="267"/>
      <c r="S3" s="137" t="str">
        <f>IFERROR(IF(AND(#REF!="Y",#REF!="N"),S4,IF(AND(S4&gt;0,End_Sections!D2="B"),IF(#REF!&lt;1000,S4+10,S4+20),S4)),"")</f>
        <v/>
      </c>
      <c r="T3" s="130"/>
      <c r="U3" s="131"/>
      <c r="V3" s="266" t="s">
        <v>70</v>
      </c>
      <c r="W3" s="267"/>
      <c r="X3" s="137" t="str">
        <f>IFERROR(IF(AND(#REF!="Y",#REF!="N"),X4,IF(AND(X4&gt;0,End_Sections!E2="B"),IF(#REF!&lt;1000,X4+10,X4+20),X4)),"")</f>
        <v/>
      </c>
      <c r="Y3" s="130"/>
      <c r="Z3" s="131"/>
      <c r="AA3" s="266"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4" t="s">
        <v>71</v>
      </c>
      <c r="C4" s="264"/>
      <c r="D4" s="143">
        <f>D3-(COUNTA('8645C Innerduct'!C2:V499)*4)</f>
        <v>176</v>
      </c>
      <c r="E4" s="129"/>
      <c r="F4" s="129"/>
      <c r="G4" s="266" t="s">
        <v>72</v>
      </c>
      <c r="H4" s="267"/>
      <c r="I4" s="137" t="str">
        <f>IFERROR(IF(#REF!="","",IF(Aerial!D2="",#REF!,#REF!-(SUM(Aerial!D2,Aerial!D3,End_Sections!B4,End_Sections!B9)))),"")</f>
        <v/>
      </c>
      <c r="J4" s="130"/>
      <c r="K4" s="131"/>
      <c r="L4" s="266" t="s">
        <v>72</v>
      </c>
      <c r="M4" s="267"/>
      <c r="N4" s="137" t="str">
        <f>IFERROR(IF(#REF!="","",IF(Aerial!H2="",#REF!,#REF!-(SUM(Aerial!H2,Aerial!H3,End_Sections!C4,End_Sections!C9)))),"")</f>
        <v/>
      </c>
      <c r="O4" s="130"/>
      <c r="P4" s="131"/>
      <c r="Q4" s="266" t="s">
        <v>72</v>
      </c>
      <c r="R4" s="267"/>
      <c r="S4" s="137" t="str">
        <f>IFERROR(IF(#REF!="","",IF(Aerial!L2="",#REF!,#REF!-(SUM(Aerial!L2,Aerial!L3,End_Sections!D4,End_Sections!D9)))),"")</f>
        <v/>
      </c>
      <c r="T4" s="130"/>
      <c r="U4" s="131"/>
      <c r="V4" s="266" t="s">
        <v>72</v>
      </c>
      <c r="W4" s="267"/>
      <c r="X4" s="137" t="str">
        <f>IFERROR(IF(#REF!="","",IF(Aerial!P2="",#REF!,#REF!-(SUM(Aerial!P2,Aerial!P3,End_Sections!E4,End_Sections!E9)))),"")</f>
        <v/>
      </c>
      <c r="Y4" s="130"/>
      <c r="Z4" s="131"/>
      <c r="AA4" s="266"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4" t="s">
        <v>73</v>
      </c>
      <c r="C5" s="264"/>
      <c r="D5" s="143">
        <f>SUM('8645C Innerduct'!W2:AF499)</f>
        <v>122</v>
      </c>
      <c r="E5" s="129"/>
      <c r="F5" s="129"/>
      <c r="G5" s="266" t="s">
        <v>71</v>
      </c>
      <c r="H5" s="268"/>
      <c r="I5" s="137" t="str">
        <f>IFERROR(IF(#REF!="","",I4-(SUM(#REF!))-(SUM(End_Sections!B3,End_Sections!B8))),"")</f>
        <v/>
      </c>
      <c r="J5" s="130"/>
      <c r="K5" s="131"/>
      <c r="L5" s="266" t="s">
        <v>71</v>
      </c>
      <c r="M5" s="268"/>
      <c r="N5" s="137" t="str">
        <f>IFERROR(IF(#REF!="","",N4-(SUM(#REF!))-(SUM(End_Sections!C3,End_Sections!C8))),"")</f>
        <v/>
      </c>
      <c r="O5" s="130"/>
      <c r="P5" s="131"/>
      <c r="Q5" s="266" t="s">
        <v>71</v>
      </c>
      <c r="R5" s="268"/>
      <c r="S5" s="137" t="str">
        <f>IFERROR(IF(#REF!="","",S4-(SUM(#REF!))-(SUM(End_Sections!D3,End_Sections!D8))),"")</f>
        <v/>
      </c>
      <c r="T5" s="130"/>
      <c r="U5" s="131"/>
      <c r="V5" s="266" t="s">
        <v>71</v>
      </c>
      <c r="W5" s="268"/>
      <c r="X5" s="137" t="str">
        <f>IFERROR(IF(#REF!="","",X4-(SUM(#REF!))-(SUM(End_Sections!E3,End_Sections!E8))),"")</f>
        <v/>
      </c>
      <c r="Y5" s="130"/>
      <c r="Z5" s="131"/>
      <c r="AA5" s="266" t="s">
        <v>71</v>
      </c>
      <c r="AB5" s="268"/>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4" t="s">
        <v>74</v>
      </c>
      <c r="C6" s="264"/>
      <c r="D6" s="143">
        <f>SUM('8645C Innerduct'!AG2:AP499)</f>
        <v>0</v>
      </c>
      <c r="E6" s="129"/>
      <c r="F6" s="129"/>
      <c r="G6" s="266" t="s">
        <v>75</v>
      </c>
      <c r="H6" s="268"/>
      <c r="I6" s="137" t="str">
        <f>IFERROR(IF(AND(#REF!="Y",#REF!="N"),J6,IF(End_Sections!B2="A",IF(#REF!&lt;1000,J6+10,J6+20),J6)),"")</f>
        <v/>
      </c>
      <c r="J6" s="138" t="e">
        <f>IF(K6=0,"",K6)</f>
        <v>#REF!</v>
      </c>
      <c r="K6" s="131" t="e">
        <f>IF(I$4=0,#REF!,IF(Aerial!D3="",SUM(Aerial!D2,End_Sections!B4,End_Sections!B9),Aerial!D2))</f>
        <v>#REF!</v>
      </c>
      <c r="L6" s="266" t="s">
        <v>75</v>
      </c>
      <c r="M6" s="268"/>
      <c r="N6" s="137" t="str">
        <f>IFERROR(IF(AND(#REF!="Y",#REF!="N"),O6,IF(End_Sections!C2="A",IF(#REF!&lt;1000,O6+10,O6+20),O6)),"")</f>
        <v/>
      </c>
      <c r="O6" s="138" t="e">
        <f>IF(P6=0,"",P6)</f>
        <v>#REF!</v>
      </c>
      <c r="P6" s="131" t="e">
        <f>IF(N$4=0,#REF!,IF(Aerial!H3="",SUM(Aerial!H2,End_Sections!C4,End_Sections!C9),Aerial!H2))</f>
        <v>#REF!</v>
      </c>
      <c r="Q6" s="266" t="s">
        <v>75</v>
      </c>
      <c r="R6" s="268"/>
      <c r="S6" s="137" t="str">
        <f>IFERROR(IF(AND(#REF!="Y",#REF!="N"),T6,IF(End_Sections!D2="A",IF(#REF!&lt;1000,T6+10,T6+20),T6)),"")</f>
        <v/>
      </c>
      <c r="T6" s="138" t="e">
        <f>IF(U6=0,"",U6)</f>
        <v>#REF!</v>
      </c>
      <c r="U6" s="131" t="e">
        <f>IF(S$4=0,#REF!,IF(Aerial!L3="",SUM(Aerial!L2,End_Sections!D4,End_Sections!D9),Aerial!L2))</f>
        <v>#REF!</v>
      </c>
      <c r="V6" s="266" t="s">
        <v>75</v>
      </c>
      <c r="W6" s="268"/>
      <c r="X6" s="137" t="str">
        <f>IFERROR(IF(AND(#REF!="Y",#REF!="N"),Y6,IF(End_Sections!E2="A",IF(#REF!&lt;1000,Y6+10,Y6+20),Y6)),"")</f>
        <v/>
      </c>
      <c r="Y6" s="138" t="e">
        <f>IF(Z6=0,"",Z6)</f>
        <v>#REF!</v>
      </c>
      <c r="Z6" s="131" t="e">
        <f>IF(X$4=0,#REF!,IF(Aerial!P3="",SUM(Aerial!P2,End_Sections!E4,End_Sections!E9),Aerial!P2))</f>
        <v>#REF!</v>
      </c>
      <c r="AA6" s="266" t="s">
        <v>75</v>
      </c>
      <c r="AB6" s="268"/>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4" t="s">
        <v>76</v>
      </c>
      <c r="C7" s="264"/>
      <c r="D7" s="144">
        <f>SUM('8645C Innerduct'!B:B)</f>
        <v>2</v>
      </c>
      <c r="E7" s="129"/>
      <c r="F7" s="129"/>
      <c r="G7" s="266" t="s">
        <v>77</v>
      </c>
      <c r="H7" s="268"/>
      <c r="I7" s="137" t="e">
        <f>J7</f>
        <v>#REF!</v>
      </c>
      <c r="J7" s="138" t="e">
        <f>IF(K7="","",K7)</f>
        <v>#REF!</v>
      </c>
      <c r="K7" s="131" t="e">
        <f>IF(J6="","",IF(Aerial!D3="","",SUM(Aerial!D3,End_Sections!B9)))</f>
        <v>#REF!</v>
      </c>
      <c r="L7" s="266" t="s">
        <v>77</v>
      </c>
      <c r="M7" s="268"/>
      <c r="N7" s="137" t="e">
        <f>O7</f>
        <v>#REF!</v>
      </c>
      <c r="O7" s="138" t="e">
        <f>IF(P7="","",P7)</f>
        <v>#REF!</v>
      </c>
      <c r="P7" s="131" t="e">
        <f>IF(O6="","",IF(Aerial!H3="","",SUM(Aerial!H3,End_Sections!C9)))</f>
        <v>#REF!</v>
      </c>
      <c r="Q7" s="266" t="s">
        <v>77</v>
      </c>
      <c r="R7" s="268"/>
      <c r="S7" s="137" t="e">
        <f>T7</f>
        <v>#REF!</v>
      </c>
      <c r="T7" s="138" t="e">
        <f>IF(U7="","",U7)</f>
        <v>#REF!</v>
      </c>
      <c r="U7" s="131" t="e">
        <f>IF(T6="","",IF(Aerial!L3="","",SUM(Aerial!L3,End_Sections!D9)))</f>
        <v>#REF!</v>
      </c>
      <c r="V7" s="266" t="s">
        <v>77</v>
      </c>
      <c r="W7" s="268"/>
      <c r="X7" s="137" t="e">
        <f>Y7</f>
        <v>#REF!</v>
      </c>
      <c r="Y7" s="138" t="e">
        <f>IF(Z7="","",Z7)</f>
        <v>#REF!</v>
      </c>
      <c r="Z7" s="131" t="e">
        <f>IF(Y6="","",IF(Aerial!P3="","",SUM(Aerial!P3,End_Sections!E9)))</f>
        <v>#REF!</v>
      </c>
      <c r="AA7" s="266" t="s">
        <v>77</v>
      </c>
      <c r="AB7" s="268"/>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3" t="s">
        <v>83</v>
      </c>
      <c r="C11" s="263"/>
      <c r="D11" s="263"/>
      <c r="E11" s="129"/>
      <c r="F11" s="129"/>
      <c r="G11" s="266" t="s">
        <v>70</v>
      </c>
      <c r="H11" s="267"/>
      <c r="I11" s="137" t="str">
        <f>IFERROR(IF(AND(#REF!="Y",#REF!="N"),I12,IF(AND(I12&gt;0,End_Sections!G2="B"),IF(#REF!&lt;1000,I12+10,I12+20),I12)),"")</f>
        <v/>
      </c>
      <c r="J11" s="130"/>
      <c r="K11" s="131"/>
      <c r="L11" s="266" t="s">
        <v>70</v>
      </c>
      <c r="M11" s="267"/>
      <c r="N11" s="137" t="str">
        <f>IFERROR(IF(AND(#REF!="Y",#REF!="N"),N12,IF(AND(N12&gt;0,End_Sections!H2="B"),IF(#REF!&lt;1000,N12+10,N12+20),N12)),"")</f>
        <v/>
      </c>
      <c r="O11" s="130"/>
      <c r="P11" s="131"/>
      <c r="Q11" s="266" t="s">
        <v>70</v>
      </c>
      <c r="R11" s="267"/>
      <c r="S11" s="137" t="str">
        <f>IFERROR(IF(AND(#REF!="Y",#REF!="N"),S12,IF(AND(S12&gt;0,End_Sections!I2="B"),IF(#REF!&lt;1000,S12+10,S12+20),S12)),"")</f>
        <v/>
      </c>
      <c r="T11" s="130"/>
      <c r="U11" s="131"/>
      <c r="V11" s="266" t="s">
        <v>70</v>
      </c>
      <c r="W11" s="267"/>
      <c r="X11" s="137" t="str">
        <f>IFERROR(IF(AND(#REF!="Y",#REF!="N"),X12,IF(AND(X12&gt;0,End_Sections!J2="B"),IF(#REF!&lt;1000,X12+10,X12+20),X12)),"")</f>
        <v/>
      </c>
      <c r="Y11" s="130"/>
      <c r="Z11" s="131"/>
      <c r="AA11" s="266"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2" t="s">
        <v>84</v>
      </c>
      <c r="C12" s="272"/>
      <c r="D12" s="144">
        <f>Data!E2</f>
        <v>41</v>
      </c>
      <c r="E12" s="129"/>
      <c r="F12" s="129"/>
      <c r="G12" s="266" t="s">
        <v>72</v>
      </c>
      <c r="H12" s="267"/>
      <c r="I12" s="137" t="str">
        <f>IFERROR(IF(#REF!="","",IF(Aerial!X2="",#REF!,#REF!-(SUM(Aerial!X2,Aerial!X3,,End_Sections!G4,End_Sections!G9)))),"")</f>
        <v/>
      </c>
      <c r="J12" s="130"/>
      <c r="K12" s="131"/>
      <c r="L12" s="266" t="s">
        <v>72</v>
      </c>
      <c r="M12" s="267"/>
      <c r="N12" s="137" t="str">
        <f>IFERROR(IF(#REF!="","",IF(Aerial!AB2="",#REF!,#REF!-(SUM(Aerial!AB2,Aerial!AB3,End_Sections!H4,End_Sections!H9)))),"")</f>
        <v/>
      </c>
      <c r="O12" s="130"/>
      <c r="P12" s="131"/>
      <c r="Q12" s="266" t="s">
        <v>72</v>
      </c>
      <c r="R12" s="267"/>
      <c r="S12" s="137" t="str">
        <f>IFERROR(IF(#REF!="","",IF(Aerial!AF2="",#REF!,#REF!-(SUM(Aerial!AF2,Aerial!AF3,End_Sections!I4,End_Sections!I9)))),"")</f>
        <v/>
      </c>
      <c r="T12" s="130"/>
      <c r="U12" s="131"/>
      <c r="V12" s="266" t="s">
        <v>72</v>
      </c>
      <c r="W12" s="267"/>
      <c r="X12" s="137" t="str">
        <f>IFERROR(IF(#REF!="","",IF(Aerial!AJ2="",#REF!,#REF!-(SUM(Aerial!AJ2,Aerial!AJ3,End_Sections!J4,End_Sections!J9)))),"")</f>
        <v/>
      </c>
      <c r="Y12" s="130"/>
      <c r="Z12" s="131"/>
      <c r="AA12" s="266"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2" t="s">
        <v>85</v>
      </c>
      <c r="C13" s="272"/>
      <c r="D13" s="144">
        <f>Data!E3</f>
        <v>0</v>
      </c>
      <c r="E13" s="129"/>
      <c r="F13" s="129"/>
      <c r="G13" s="266" t="s">
        <v>71</v>
      </c>
      <c r="H13" s="268"/>
      <c r="I13" s="137" t="str">
        <f>IFERROR(IF(#REF!="","",I12-(SUM(#REF!))-(SUM(End_Sections!G3,End_Sections!G8))),"")</f>
        <v/>
      </c>
      <c r="J13" s="130"/>
      <c r="K13" s="131"/>
      <c r="L13" s="266" t="s">
        <v>71</v>
      </c>
      <c r="M13" s="268"/>
      <c r="N13" s="137" t="str">
        <f>IFERROR(IF(#REF!="","",N12-(SUM(#REF!))-(SUM(End_Sections!H3,End_Sections!H8))),"")</f>
        <v/>
      </c>
      <c r="O13" s="130"/>
      <c r="P13" s="131"/>
      <c r="Q13" s="266" t="s">
        <v>71</v>
      </c>
      <c r="R13" s="268"/>
      <c r="S13" s="137" t="str">
        <f>IFERROR(IF(#REF!="","",S12-(SUM(#REF!))-(SUM(End_Sections!I3,End_Sections!I8))),"")</f>
        <v/>
      </c>
      <c r="T13" s="130"/>
      <c r="U13" s="131"/>
      <c r="V13" s="266" t="s">
        <v>71</v>
      </c>
      <c r="W13" s="268"/>
      <c r="X13" s="137" t="str">
        <f>IFERROR(IF(#REF!="","",X12-(SUM(#REF!))-(SUM(End_Sections!J3,End_Sections!J8))),"")</f>
        <v/>
      </c>
      <c r="Y13" s="130"/>
      <c r="Z13" s="131"/>
      <c r="AA13" s="266" t="s">
        <v>71</v>
      </c>
      <c r="AB13" s="268"/>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2" t="s">
        <v>86</v>
      </c>
      <c r="C14" s="272"/>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2" t="s">
        <v>87</v>
      </c>
      <c r="C15" s="272"/>
      <c r="D15" s="144">
        <f>Data!E5</f>
        <v>2</v>
      </c>
      <c r="E15" s="129"/>
      <c r="F15" s="129"/>
      <c r="G15" s="266" t="s">
        <v>75</v>
      </c>
      <c r="H15" s="268"/>
      <c r="I15" s="137" t="str">
        <f>IFERROR(IF(AND(#REF!="Y",#REF!="N"),J15,IF(End_Sections!G2="A",IF(#REF!&lt;1000,J15+10,J15+20),J15)),"")</f>
        <v/>
      </c>
      <c r="J15" s="138" t="e">
        <f>IF(K15=0,"",K15)</f>
        <v>#REF!</v>
      </c>
      <c r="K15" s="131" t="e">
        <f>IF(I$12=0,#REF!,IF(Aerial!X3="",SUM(Aerial!X2,End_Sections!G4,End_Sections!G9),Aerial!X2))</f>
        <v>#REF!</v>
      </c>
      <c r="L15" s="266" t="s">
        <v>75</v>
      </c>
      <c r="M15" s="268"/>
      <c r="N15" s="137" t="str">
        <f>IFERROR(IF(AND(#REF!="Y",#REF!="N"),O15,IF(End_Sections!H2="A",IF(#REF!&lt;1000,O15+10,O15+20),O15)),"")</f>
        <v/>
      </c>
      <c r="O15" s="138" t="e">
        <f>IF(P15=0,"",P15)</f>
        <v>#REF!</v>
      </c>
      <c r="P15" s="131" t="e">
        <f>IF(N$12=0,#REF!,IF(Aerial!AB3="",SUM(Aerial!AB2,End_Sections!H4,End_Sections!H9),Aerial!AB2))</f>
        <v>#REF!</v>
      </c>
      <c r="Q15" s="266" t="s">
        <v>75</v>
      </c>
      <c r="R15" s="268"/>
      <c r="S15" s="137" t="str">
        <f>IFERROR(IF(AND(#REF!="Y",#REF!="N"),T15,IF(End_Sections!I2="A",IF(#REF!&lt;1000,T15+10,T15+20),T15)),"")</f>
        <v/>
      </c>
      <c r="T15" s="138" t="e">
        <f>IF(U15=0,"",U15)</f>
        <v>#REF!</v>
      </c>
      <c r="U15" s="131" t="e">
        <f>IF(S$12=0,#REF!,IF(Aerial!AF3="",SUM(Aerial!AF2,End_Sections!I4,End_Sections!I9),Aerial!AF2))</f>
        <v>#REF!</v>
      </c>
      <c r="V15" s="266" t="s">
        <v>75</v>
      </c>
      <c r="W15" s="268"/>
      <c r="X15" s="137" t="str">
        <f>IFERROR(IF(AND(#REF!="Y",#REF!="N"),Y15,IF(End_Sections!J2="A",IF(#REF!&lt;1000,Y15+10,Y15+20),Y15)),"")</f>
        <v/>
      </c>
      <c r="Y15" s="138" t="e">
        <f>IF(Z15=0,"",Z15)</f>
        <v>#REF!</v>
      </c>
      <c r="Z15" s="131" t="e">
        <f>IF(X$12=0,#REF!,IF(Aerial!AJ3="",SUM(Aerial!AJ2,End_Sections!J4,End_Sections!J9),Aerial!AJ2))</f>
        <v>#REF!</v>
      </c>
      <c r="AA15" s="266" t="s">
        <v>75</v>
      </c>
      <c r="AB15" s="268"/>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7"/>
      <c r="I16" s="137" t="str">
        <f>IFERROR(IF(AND(#REF!="Y",#REF!="N"),I17,IF(AND(I17&gt;0,End_Sections!L2="B"),IF(#REF!&lt;1000,I17+10,I17+20),I17)),"")</f>
        <v/>
      </c>
      <c r="J16" s="130"/>
      <c r="K16" s="131"/>
      <c r="L16" s="266" t="s">
        <v>70</v>
      </c>
      <c r="M16" s="267"/>
      <c r="N16" s="137" t="str">
        <f>IFERROR(IF(AND(#REF!="Y",#REF!="N"),N17,IF(AND(N17&gt;0,End_Sections!M2="B"),IF(#REF!&lt;1000,N17+10,N17+20),N17)),"")</f>
        <v/>
      </c>
      <c r="O16" s="130"/>
      <c r="P16" s="131"/>
      <c r="Q16" s="266" t="s">
        <v>70</v>
      </c>
      <c r="R16" s="267"/>
      <c r="S16" s="137" t="str">
        <f>IFERROR(IF(AND(#REF!="Y",#REF!="N"),S17,IF(AND(S17&gt;0,End_Sections!N2="B"),IF(#REF!&lt;1000,S17+10,S17+20),S17)),"")</f>
        <v/>
      </c>
      <c r="T16" s="130"/>
      <c r="U16" s="131"/>
      <c r="V16" s="266" t="s">
        <v>70</v>
      </c>
      <c r="W16" s="267"/>
      <c r="X16" s="137" t="str">
        <f>IFERROR(IF(AND(#REF!="Y",#REF!="N"),X17,IF(AND(X17&gt;0,End_Sections!O2="B"),IF(#REF!&lt;1000,X17+10,X17+20),X17)),"")</f>
        <v/>
      </c>
      <c r="Y16" s="130"/>
      <c r="Z16" s="131"/>
      <c r="AA16" s="266"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7"/>
      <c r="I17" s="137" t="str">
        <f>IFERROR(IF(#REF!="","",IF(Aerial!AR2="",#REF!,#REF!-(SUM(Aerial!AR2,Aerial!AR3,End_Sections!L4,End_Sections!L9)))),"")</f>
        <v/>
      </c>
      <c r="J17" s="130"/>
      <c r="K17" s="131"/>
      <c r="L17" s="266" t="s">
        <v>72</v>
      </c>
      <c r="M17" s="267"/>
      <c r="N17" s="137" t="str">
        <f>IFERROR(IF(#REF!="","",IF(Aerial!AV2="",#REF!,#REF!-(SUM(Aerial!AV2,Aerial!AV3,End_Sections!M4,End_Sections!M9)))),"")</f>
        <v/>
      </c>
      <c r="O17" s="130"/>
      <c r="P17" s="131"/>
      <c r="Q17" s="266" t="s">
        <v>72</v>
      </c>
      <c r="R17" s="267"/>
      <c r="S17" s="137" t="str">
        <f>IFERROR(IF(#REF!="","",IF(Aerial!AZ2="",#REF!,#REF!-(SUM(Aerial!AZ2,Aerial!AZ3,End_Sections!N4,End_Sections!N9)))),"")</f>
        <v/>
      </c>
      <c r="T17" s="130"/>
      <c r="U17" s="131"/>
      <c r="V17" s="266" t="s">
        <v>72</v>
      </c>
      <c r="W17" s="267"/>
      <c r="X17" s="137" t="str">
        <f>IFERROR(IF(#REF!="","",IF(Aerial!BD2="",#REF!,#REF!-(SUM(Aerial!BD2,Aerial!BD3,End_Sections!O4,End_Sections!O9)))),"")</f>
        <v/>
      </c>
      <c r="Y17" s="130"/>
      <c r="Z17" s="131"/>
      <c r="AA17" s="266"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8"/>
      <c r="I18" s="137" t="str">
        <f>IFERROR(IF(#REF!="","",I17-(SUM(#REF!))-(SUM(End_Sections!L3,End_Sections!L8))),"")</f>
        <v/>
      </c>
      <c r="J18" s="130"/>
      <c r="K18" s="131"/>
      <c r="L18" s="266" t="s">
        <v>71</v>
      </c>
      <c r="M18" s="268"/>
      <c r="N18" s="137" t="str">
        <f>IFERROR(IF(#REF!="","",N17-(SUM(#REF!))-(SUM(End_Sections!M3,End_Sections!M8))),"")</f>
        <v/>
      </c>
      <c r="O18" s="130"/>
      <c r="P18" s="131"/>
      <c r="Q18" s="266" t="s">
        <v>71</v>
      </c>
      <c r="R18" s="268"/>
      <c r="S18" s="137" t="str">
        <f>IFERROR(IF(#REF!="","",S17-(SUM(#REF!))-(SUM(End_Sections!N3,End_Sections!N8))),"")</f>
        <v/>
      </c>
      <c r="T18" s="130"/>
      <c r="U18" s="131"/>
      <c r="V18" s="266" t="s">
        <v>71</v>
      </c>
      <c r="W18" s="268"/>
      <c r="X18" s="137" t="str">
        <f>IFERROR(IF(#REF!="","",X17-(SUM(#REF!))-(SUM(End_Sections!O3,End_Sections!O8))),"")</f>
        <v/>
      </c>
      <c r="Y18" s="130"/>
      <c r="Z18" s="131"/>
      <c r="AA18" s="266" t="s">
        <v>71</v>
      </c>
      <c r="AB18" s="268"/>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3" t="s">
        <v>88</v>
      </c>
      <c r="C19" s="263"/>
      <c r="D19" s="263"/>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8"/>
      <c r="I23" s="137" t="e">
        <f>J23</f>
        <v>#REF!</v>
      </c>
      <c r="J23" s="138" t="e">
        <f>IF(K23=0,"",K23)</f>
        <v>#REF!</v>
      </c>
      <c r="K23" s="131" t="e">
        <f>IF(#REF!="","",IF(Aerial!AR3="","",SUM(Aerial!AR3,End_Sections!L9)))</f>
        <v>#REF!</v>
      </c>
      <c r="L23" s="266" t="s">
        <v>77</v>
      </c>
      <c r="M23" s="268"/>
      <c r="N23" s="137" t="e">
        <f>O23</f>
        <v>#REF!</v>
      </c>
      <c r="O23" s="138" t="e">
        <f>IF(P23=0,"",P23)</f>
        <v>#REF!</v>
      </c>
      <c r="P23" s="131" t="e">
        <f>IF(#REF!="","",IF(Aerial!AV3="","",SUM(Aerial!AV3,End_Sections!M9)))</f>
        <v>#REF!</v>
      </c>
      <c r="Q23" s="266" t="s">
        <v>77</v>
      </c>
      <c r="R23" s="268"/>
      <c r="S23" s="137" t="e">
        <f>T23</f>
        <v>#REF!</v>
      </c>
      <c r="T23" s="138" t="e">
        <f>IF(U23=0,"",U23)</f>
        <v>#REF!</v>
      </c>
      <c r="U23" s="131" t="e">
        <f>IF(#REF!="","",IF(Aerial!AZ3="","",SUM(Aerial!AZ3,End_Sections!N9)))</f>
        <v>#REF!</v>
      </c>
      <c r="V23" s="266" t="s">
        <v>77</v>
      </c>
      <c r="W23" s="268"/>
      <c r="X23" s="137" t="e">
        <f>Y23</f>
        <v>#REF!</v>
      </c>
      <c r="Y23" s="138" t="e">
        <f>IF(Z23=0,"",Z23)</f>
        <v>#REF!</v>
      </c>
      <c r="Z23" s="131" t="e">
        <f>IF(#REF!="","",IF(Aerial!BD3="","",SUM(Aerial!BD3,End_Sections!O9)))</f>
        <v>#REF!</v>
      </c>
      <c r="AA23" s="266" t="s">
        <v>77</v>
      </c>
      <c r="AB23" s="268"/>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3" t="s">
        <v>92</v>
      </c>
      <c r="C24" s="273"/>
      <c r="D24" s="27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4" t="s">
        <v>93</v>
      </c>
      <c r="C25" s="264"/>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5" t="s">
        <v>94</v>
      </c>
      <c r="C26" s="265"/>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4" t="s">
        <v>100</v>
      </c>
      <c r="C27" s="264"/>
      <c r="D27" s="145"/>
      <c r="E27" s="129"/>
      <c r="F27" s="129"/>
      <c r="G27" s="266" t="s">
        <v>70</v>
      </c>
      <c r="H27" s="267"/>
      <c r="I27" s="137" t="str">
        <f>IFERROR(IF(AND(#REF!="Y",#REF!="N"),#REF!,IF(AND(#REF!&gt;0,End_Sections!Q2="B"),IF(#REF!&lt;1000,#REF!+10,#REF!+20),#REF!)),"")</f>
        <v/>
      </c>
      <c r="J27" s="130"/>
      <c r="K27" s="131"/>
      <c r="L27" s="266" t="s">
        <v>70</v>
      </c>
      <c r="M27" s="267"/>
      <c r="N27" s="137" t="str">
        <f>IFERROR(IF(AND(#REF!="Y",#REF!="N"),#REF!,IF(AND(#REF!&gt;0,End_Sections!R2="B"),IF(#REF!&lt;1000,#REF!+10,#REF!+20),#REF!)),"")</f>
        <v/>
      </c>
      <c r="O27" s="130"/>
      <c r="P27" s="131"/>
      <c r="Q27" s="266" t="s">
        <v>70</v>
      </c>
      <c r="R27" s="267"/>
      <c r="S27" s="137" t="str">
        <f>IFERROR(IF(AND(#REF!="Y",#REF!="N"),#REF!,IF(AND(#REF!&gt;0,End_Sections!S2="B"),IF(#REF!&lt;1000,#REF!+10,#REF!+20),#REF!)),"")</f>
        <v/>
      </c>
      <c r="T27" s="130"/>
      <c r="U27" s="131"/>
      <c r="V27" s="266" t="s">
        <v>70</v>
      </c>
      <c r="W27" s="267"/>
      <c r="X27" s="137" t="str">
        <f>IFERROR(IF(AND(#REF!="Y",#REF!="N"),#REF!,IF(AND(#REF!&gt;0,End_Sections!T2="B"),IF(#REF!&lt;1000,#REF!+10,#REF!+20),#REF!)),"")</f>
        <v/>
      </c>
      <c r="Y27" s="130"/>
      <c r="Z27" s="131"/>
      <c r="AA27" s="266"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5" t="s">
        <v>101</v>
      </c>
      <c r="C28" s="265"/>
      <c r="D28" s="145"/>
      <c r="E28" s="129"/>
      <c r="F28" s="129"/>
      <c r="G28" s="266" t="s">
        <v>71</v>
      </c>
      <c r="H28" s="268"/>
      <c r="I28" s="137" t="str">
        <f>IFERROR(IF(#REF!="","",#REF!-(SUM(#REF!))-(SUM(End_Sections!Q3,End_Sections!Q8))),"")</f>
        <v/>
      </c>
      <c r="J28" s="130"/>
      <c r="K28" s="131"/>
      <c r="L28" s="266" t="s">
        <v>71</v>
      </c>
      <c r="M28" s="268"/>
      <c r="N28" s="137" t="str">
        <f>IFERROR(IF(#REF!="","",#REF!-(SUM(#REF!))-(SUM(End_Sections!R3,End_Sections!R8))),"")</f>
        <v/>
      </c>
      <c r="O28" s="130"/>
      <c r="P28" s="131"/>
      <c r="Q28" s="266" t="s">
        <v>71</v>
      </c>
      <c r="R28" s="268"/>
      <c r="S28" s="137" t="str">
        <f>IFERROR(IF(#REF!="","",#REF!-(SUM(#REF!))-(SUM(End_Sections!S3,End_Sections!S8))),"")</f>
        <v/>
      </c>
      <c r="T28" s="130"/>
      <c r="U28" s="131"/>
      <c r="V28" s="266" t="s">
        <v>71</v>
      </c>
      <c r="W28" s="268"/>
      <c r="X28" s="137" t="str">
        <f>IFERROR(IF(#REF!="","",#REF!-(SUM(#REF!))-(SUM(End_Sections!T3,End_Sections!T8))),"")</f>
        <v/>
      </c>
      <c r="Y28" s="130"/>
      <c r="Z28" s="131"/>
      <c r="AA28" s="266" t="s">
        <v>71</v>
      </c>
      <c r="AB28" s="268"/>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5" t="s">
        <v>102</v>
      </c>
      <c r="C29" s="265"/>
      <c r="D29" s="145"/>
      <c r="E29" s="129"/>
      <c r="F29" s="129"/>
      <c r="G29" s="266" t="s">
        <v>75</v>
      </c>
      <c r="H29" s="268"/>
      <c r="I29" s="137" t="str">
        <f>IFERROR(IF(AND(#REF!="Y",#REF!="N"),J29,IF(End_Sections!Q2="A",IF(#REF!&lt;1000,J29+10,J29+20),J29)),"")</f>
        <v/>
      </c>
      <c r="J29" s="138" t="e">
        <f>IF(K29=0,"",K29)</f>
        <v>#REF!</v>
      </c>
      <c r="K29" s="131" t="e">
        <f>IF(#REF!=0,#REF!,IF(Aerial!BL3="",SUM(Aerial!BL2,End_Sections!Q4,End_Sections!Q9),Aerial!BL2))</f>
        <v>#REF!</v>
      </c>
      <c r="L29" s="266" t="s">
        <v>75</v>
      </c>
      <c r="M29" s="268"/>
      <c r="N29" s="137" t="str">
        <f>IFERROR(IF(AND(#REF!="Y",#REF!="N"),O29,IF(End_Sections!R2="A",IF(#REF!&lt;1000,O29+10,O29+20),O29)),"")</f>
        <v/>
      </c>
      <c r="O29" s="138" t="e">
        <f>IF(P29=0,"",P29)</f>
        <v>#REF!</v>
      </c>
      <c r="P29" s="131" t="e">
        <f>IF(#REF!=0,#REF!,IF(Aerial!BP3="",SUM(Aerial!BP2,End_Sections!R4,End_Sections!R9),Aerial!BP2))</f>
        <v>#REF!</v>
      </c>
      <c r="Q29" s="266" t="s">
        <v>75</v>
      </c>
      <c r="R29" s="268"/>
      <c r="S29" s="137" t="str">
        <f>IFERROR(IF(AND(#REF!="Y",#REF!="N"),T29,IF(End_Sections!S2="A",IF(#REF!&lt;1000,T29+10,T29+20),T29)),"")</f>
        <v/>
      </c>
      <c r="T29" s="138" t="e">
        <f>IF(U29=0,"",U29)</f>
        <v>#REF!</v>
      </c>
      <c r="U29" s="131" t="e">
        <f>IF(#REF!=0,#REF!,IF(Aerial!BT3="",SUM(Aerial!BT2,End_Sections!S4,End_Sections!S9),Aerial!BT2))</f>
        <v>#REF!</v>
      </c>
      <c r="V29" s="266" t="s">
        <v>75</v>
      </c>
      <c r="W29" s="268"/>
      <c r="X29" s="137" t="str">
        <f>IFERROR(IF(AND(#REF!="Y",#REF!="N"),Y29,IF(End_Sections!T2="A",IF(#REF!&lt;1000,Y29+10,Y29+20),Y29)),"")</f>
        <v/>
      </c>
      <c r="Y29" s="138" t="e">
        <f>IF(Z29=0,"",Z29)</f>
        <v>#REF!</v>
      </c>
      <c r="Z29" s="131" t="e">
        <f>IF(#REF!=0,#REF!,IF(Aerial!BX3="",SUM(Aerial!BX2,End_Sections!T4,End_Sections!T9),Aerial!BX2))</f>
        <v>#REF!</v>
      </c>
      <c r="AA29" s="266" t="s">
        <v>75</v>
      </c>
      <c r="AB29" s="268"/>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0"/>
      <c r="C30" s="270"/>
      <c r="D30" s="270"/>
      <c r="E30" s="129"/>
      <c r="F30" s="129"/>
      <c r="G30" s="266" t="s">
        <v>77</v>
      </c>
      <c r="H30" s="268"/>
      <c r="I30" s="137" t="e">
        <f>J30</f>
        <v>#REF!</v>
      </c>
      <c r="J30" s="138" t="e">
        <f>IF(K30=0,"",K30)</f>
        <v>#REF!</v>
      </c>
      <c r="K30" s="131" t="e">
        <f>IF(J29="","",IF(Aerial!BL3="","",SUM(Aerial!BL3,End_Sections!Q9)))</f>
        <v>#REF!</v>
      </c>
      <c r="L30" s="266" t="s">
        <v>77</v>
      </c>
      <c r="M30" s="268"/>
      <c r="N30" s="137" t="e">
        <f>O30</f>
        <v>#REF!</v>
      </c>
      <c r="O30" s="138" t="e">
        <f>IF(P30=0,"",P30)</f>
        <v>#REF!</v>
      </c>
      <c r="P30" s="131" t="e">
        <f>IF(O29="","",IF(Aerial!BP3="","",SUM(Aerial!BP3,End_Sections!R9)))</f>
        <v>#REF!</v>
      </c>
      <c r="Q30" s="266" t="s">
        <v>77</v>
      </c>
      <c r="R30" s="268"/>
      <c r="S30" s="137" t="e">
        <f>T30</f>
        <v>#REF!</v>
      </c>
      <c r="T30" s="138" t="e">
        <f>IF(U30=0,"",U30)</f>
        <v>#REF!</v>
      </c>
      <c r="U30" s="131" t="e">
        <f>IF(T29="","",IF(Aerial!BT3="","",SUM(Aerial!BT3,End_Sections!S9)))</f>
        <v>#REF!</v>
      </c>
      <c r="V30" s="266" t="s">
        <v>77</v>
      </c>
      <c r="W30" s="268"/>
      <c r="X30" s="137" t="e">
        <f>Y30</f>
        <v>#REF!</v>
      </c>
      <c r="Y30" s="138" t="e">
        <f>IF(Z30=0,"",Z30)</f>
        <v>#REF!</v>
      </c>
      <c r="Z30" s="131" t="e">
        <f>IF(Y29="","",IF(Aerial!BX3="","",SUM(Aerial!BX3,End_Sections!T9)))</f>
        <v>#REF!</v>
      </c>
      <c r="AA30" s="266" t="s">
        <v>77</v>
      </c>
      <c r="AB30" s="268"/>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7"/>
      <c r="I34" s="137" t="str">
        <f>IFERROR(IF(AND(#REF!="Y",#REF!="N"),I35,IF(AND(I35&gt;0,End_Sections!V2="B"),IF(#REF!&lt;1000,I35+10,I35+20),I35)),"")</f>
        <v/>
      </c>
      <c r="J34" s="130"/>
      <c r="K34" s="131"/>
      <c r="L34" s="266" t="s">
        <v>70</v>
      </c>
      <c r="M34" s="267"/>
      <c r="N34" s="137" t="str">
        <f>IFERROR(IF(AND(#REF!="Y",#REF!="N"),N35,IF(AND(N35&gt;0,End_Sections!W2="B"),IF(#REF!&lt;1000,N35+10,N35+20),N35)),"")</f>
        <v/>
      </c>
      <c r="O34" s="130"/>
      <c r="P34" s="131"/>
      <c r="Q34" s="266" t="s">
        <v>70</v>
      </c>
      <c r="R34" s="267"/>
      <c r="S34" s="137" t="str">
        <f>IFERROR(IF(AND(#REF!="Y",#REF!="N"),S35,IF(AND(S35&gt;0,End_Sections!X2="B"),IF(#REF!&lt;1000,S35+10,S35+20),S35)),"")</f>
        <v/>
      </c>
      <c r="T34" s="130"/>
      <c r="U34" s="131"/>
      <c r="V34" s="266" t="s">
        <v>70</v>
      </c>
      <c r="W34" s="267"/>
      <c r="X34" s="137" t="str">
        <f>IFERROR(IF(AND(#REF!="Y",#REF!="N"),X35,IF(AND(X35&gt;0,End_Sections!Y2="B"),IF(#REF!&lt;1000,X35+10,X35+20),X35)),"")</f>
        <v/>
      </c>
      <c r="Y34" s="130"/>
      <c r="Z34" s="131"/>
      <c r="AA34" s="266"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7"/>
      <c r="I35" s="137" t="str">
        <f>IFERROR(IF(#REF!="","",IF(Aerial!CF2="",#REF!,#REF!-(SUM(Aerial!CF2,Aerial!CF3,End_Sections!V4,End_Sections!V9)))),"")</f>
        <v/>
      </c>
      <c r="J35" s="130"/>
      <c r="K35" s="131"/>
      <c r="L35" s="266" t="s">
        <v>72</v>
      </c>
      <c r="M35" s="267"/>
      <c r="N35" s="137" t="str">
        <f>IFERROR(IF(#REF!="","",IF(Aerial!CJ2="",#REF!,#REF!-(SUM(Aerial!CJ2,Aerial!CJ3,End_Sections!W4,End_Sections!W9)))),"")</f>
        <v/>
      </c>
      <c r="O35" s="130"/>
      <c r="P35" s="131"/>
      <c r="Q35" s="266" t="s">
        <v>72</v>
      </c>
      <c r="R35" s="267"/>
      <c r="S35" s="137" t="str">
        <f>IFERROR(IF(#REF!="","",IF(Aerial!CN2="",#REF!,#REF!-(SUM(Aerial!CN2,Aerial!CN3,End_Sections!X4,End_Sections!X9)))),"")</f>
        <v/>
      </c>
      <c r="T35" s="130"/>
      <c r="U35" s="131"/>
      <c r="V35" s="266" t="s">
        <v>72</v>
      </c>
      <c r="W35" s="267"/>
      <c r="X35" s="137" t="str">
        <f>IFERROR(IF(#REF!="","",IF(Aerial!CR2="",#REF!,#REF!-(SUM(Aerial!CR2,Aerial!CR3,End_Sections!Y4,End_Sections!Y9)))),"")</f>
        <v/>
      </c>
      <c r="Y35" s="130"/>
      <c r="Z35" s="131"/>
      <c r="AA35" s="266"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8"/>
      <c r="I36" s="137" t="str">
        <f>IFERROR(IF(#REF!="","",I35-(SUM(#REF!))-(SUM(End_Sections!V3,End_Sections!V8))),"")</f>
        <v/>
      </c>
      <c r="J36" s="130"/>
      <c r="K36" s="131"/>
      <c r="L36" s="266" t="s">
        <v>71</v>
      </c>
      <c r="M36" s="268"/>
      <c r="N36" s="137" t="str">
        <f>IFERROR(IF(#REF!="","",N35-(SUM(#REF!))-(SUM(End_Sections!W3,End_Sections!W8))),"")</f>
        <v/>
      </c>
      <c r="O36" s="130"/>
      <c r="P36" s="131"/>
      <c r="Q36" s="266" t="s">
        <v>71</v>
      </c>
      <c r="R36" s="268"/>
      <c r="S36" s="137" t="str">
        <f>IFERROR(IF(#REF!="","",S35-(SUM(#REF!))-(SUM(End_Sections!X3,End_Sections!X8))),"")</f>
        <v/>
      </c>
      <c r="T36" s="130"/>
      <c r="U36" s="131"/>
      <c r="V36" s="266" t="s">
        <v>71</v>
      </c>
      <c r="W36" s="268"/>
      <c r="X36" s="137" t="str">
        <f>IFERROR(IF(#REF!="","",X35-(SUM(#REF!))-(SUM(End_Sections!Y3,End_Sections!Y8))),"")</f>
        <v/>
      </c>
      <c r="Y36" s="130"/>
      <c r="Z36" s="131"/>
      <c r="AA36" s="266" t="s">
        <v>71</v>
      </c>
      <c r="AB36" s="268"/>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8"/>
      <c r="I37" s="137" t="str">
        <f>IFERROR(IF(AND(#REF!="Y",#REF!="N"),J37,IF(End_Sections!V2="A",IF(#REF!&lt;1000,J37+10,J37+20),J37)),"")</f>
        <v/>
      </c>
      <c r="J37" s="138" t="e">
        <f>IF(K37=0,"",K37)</f>
        <v>#REF!</v>
      </c>
      <c r="K37" s="131" t="e">
        <f>IF(I35=0,#REF!,IF(Aerial!CF3="",SUM(Aerial!CF2,End_Sections!V4,End_Sections!V9),Aerial!CF2))</f>
        <v>#REF!</v>
      </c>
      <c r="L37" s="266" t="s">
        <v>75</v>
      </c>
      <c r="M37" s="268"/>
      <c r="N37" s="137" t="str">
        <f>IFERROR(IF(AND(#REF!="Y",#REF!="N"),O37,IF(End_Sections!W2="A",IF(#REF!&lt;1000,O37+10,O37+20),O37)),"")</f>
        <v/>
      </c>
      <c r="O37" s="138" t="e">
        <f>IF(P37=0,"",P37)</f>
        <v>#REF!</v>
      </c>
      <c r="P37" s="131" t="e">
        <f>IF(N35=0,#REF!,IF(Aerial!CJ3="",SUM(Aerial!CJ2,End_Sections!W4,End_Sections!W9),Aerial!CJ2))</f>
        <v>#REF!</v>
      </c>
      <c r="Q37" s="266" t="s">
        <v>75</v>
      </c>
      <c r="R37" s="268"/>
      <c r="S37" s="137" t="str">
        <f>IFERROR(IF(AND(#REF!="Y",#REF!="N"),T37,IF(End_Sections!X2="A",IF(#REF!&lt;1000,T37+10,T37+20),T37)),"")</f>
        <v/>
      </c>
      <c r="T37" s="138" t="e">
        <f>IF(U37=0,"",U37)</f>
        <v>#REF!</v>
      </c>
      <c r="U37" s="131" t="e">
        <f>IF(S35=0,#REF!,IF(Aerial!CN3="",SUM(Aerial!CN2,End_Sections!X4,End_Sections!X9),Aerial!CN2))</f>
        <v>#REF!</v>
      </c>
      <c r="V37" s="266" t="s">
        <v>75</v>
      </c>
      <c r="W37" s="268"/>
      <c r="X37" s="137" t="str">
        <f>IFERROR(IF(AND(#REF!="Y",#REF!="N"),Y37,IF(End_Sections!Y2="A",IF(#REF!&lt;1000,Y37+10,Y37+20),Y37)),"")</f>
        <v/>
      </c>
      <c r="Y37" s="138" t="e">
        <f>IF(Z37=0,"",Z37)</f>
        <v>#REF!</v>
      </c>
      <c r="Z37" s="131" t="e">
        <f>IF(X35=0,#REF!,IF(Aerial!CR3="",SUM(Aerial!CR2,End_Sections!Y4,End_Sections!Y9),Aerial!CR2))</f>
        <v>#REF!</v>
      </c>
      <c r="AA37" s="266" t="s">
        <v>75</v>
      </c>
      <c r="AB37" s="268"/>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8"/>
      <c r="I38" s="137" t="e">
        <f>J38</f>
        <v>#REF!</v>
      </c>
      <c r="J38" s="138" t="e">
        <f>IF(K38="","",K38)</f>
        <v>#REF!</v>
      </c>
      <c r="K38" s="131" t="e">
        <f>IF(J37="","",IF(Aerial!CF3="","",SUM(Aerial!CF3,End_Sections!V9)))</f>
        <v>#REF!</v>
      </c>
      <c r="L38" s="266" t="s">
        <v>77</v>
      </c>
      <c r="M38" s="268"/>
      <c r="N38" s="137" t="e">
        <f>O38</f>
        <v>#REF!</v>
      </c>
      <c r="O38" s="138" t="e">
        <f>IF(P38="","",P38)</f>
        <v>#REF!</v>
      </c>
      <c r="P38" s="131" t="e">
        <f>IF(O37="","",IF(Aerial!CJ3="","",SUM(Aerial!CJ3,End_Sections!W9)))</f>
        <v>#REF!</v>
      </c>
      <c r="Q38" s="266" t="s">
        <v>77</v>
      </c>
      <c r="R38" s="268"/>
      <c r="S38" s="137" t="e">
        <f>T38</f>
        <v>#REF!</v>
      </c>
      <c r="T38" s="138" t="e">
        <f>IF(U38="","",U38)</f>
        <v>#REF!</v>
      </c>
      <c r="U38" s="131" t="e">
        <f>IF(T37="","",IF(Aerial!CN3="","",SUM(Aerial!CN3,End_Sections!X9)))</f>
        <v>#REF!</v>
      </c>
      <c r="V38" s="266" t="s">
        <v>77</v>
      </c>
      <c r="W38" s="268"/>
      <c r="X38" s="137" t="e">
        <f>Y38</f>
        <v>#REF!</v>
      </c>
      <c r="Y38" s="138" t="e">
        <f>IF(Z38="","",Z38)</f>
        <v>#REF!</v>
      </c>
      <c r="Z38" s="131" t="e">
        <f>IF(Y37="","",IF(Aerial!CR3="","",SUM(Aerial!CR3,End_Sections!Y9)))</f>
        <v>#REF!</v>
      </c>
      <c r="AA38" s="266" t="s">
        <v>77</v>
      </c>
      <c r="AB38" s="268"/>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7"/>
      <c r="I42" s="137" t="str">
        <f>IFERROR(IF(AND(#REF!="Y",#REF!="N"),I43,IF(AND(I43&gt;0,End_Sections!AA2="B"),IF(#REF!&lt;1000,I43+10,I43+20),I43)),"")</f>
        <v/>
      </c>
      <c r="J42" s="130"/>
      <c r="K42" s="131"/>
      <c r="L42" s="266" t="s">
        <v>70</v>
      </c>
      <c r="M42" s="267"/>
      <c r="N42" s="137" t="str">
        <f>IFERROR(IF(AND(#REF!="Y",#REF!="N"),N43,IF(AND(N43&gt;0,End_Sections!AB2="B"),IF(#REF!&lt;1000,N43+10,N43+20),N43)),"")</f>
        <v/>
      </c>
      <c r="O42" s="130"/>
      <c r="P42" s="131"/>
      <c r="Q42" s="266" t="s">
        <v>70</v>
      </c>
      <c r="R42" s="267"/>
      <c r="S42" s="137" t="str">
        <f>IFERROR(IF(AND(#REF!="Y",#REF!="N"),S43,IF(AND(S43&gt;0,End_Sections!AC2="B"),IF(#REF!&lt;1000,S43+10,S43+20),S43)),"")</f>
        <v/>
      </c>
      <c r="T42" s="130"/>
      <c r="U42" s="131"/>
      <c r="V42" s="266" t="s">
        <v>70</v>
      </c>
      <c r="W42" s="267"/>
      <c r="X42" s="137" t="str">
        <f>IFERROR(IF(AND(#REF!="Y",#REF!="N"),X43,IF(AND(X43&gt;0,End_Sections!AD2="B"),IF(#REF!&lt;1000,X43+10,X43+20),X43)),"")</f>
        <v/>
      </c>
      <c r="Y42" s="130"/>
      <c r="Z42" s="131"/>
      <c r="AA42" s="266"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7"/>
      <c r="I43" s="137" t="str">
        <f>IFERROR(IF(#REF!="","",IF(Aerial!CZ2="",#REF!,#REF!-(SUM(Aerial!CZ2,Aerial!CZ3,End_Sections!AA4,End_Sections!AA9)))),"")</f>
        <v/>
      </c>
      <c r="J43" s="130"/>
      <c r="K43" s="131"/>
      <c r="L43" s="266" t="s">
        <v>72</v>
      </c>
      <c r="M43" s="267"/>
      <c r="N43" s="137" t="str">
        <f>IFERROR(IF(#REF!="","",IF(Aerial!DD2="",#REF!,#REF!-(SUM(Aerial!DD2,Aerial!DD3,End_Sections!AB4,End_Sections!AB9)))),"")</f>
        <v/>
      </c>
      <c r="O43" s="130"/>
      <c r="P43" s="131"/>
      <c r="Q43" s="266" t="s">
        <v>72</v>
      </c>
      <c r="R43" s="267"/>
      <c r="S43" s="137" t="str">
        <f>IFERROR(IF(#REF!="","",IF(Aerial!DH2="",#REF!,#REF!-(SUM(Aerial!DH2,Aerial!DH3,End_Sections!AC4,End_Sections!AC9)))),"")</f>
        <v/>
      </c>
      <c r="T43" s="130"/>
      <c r="U43" s="131"/>
      <c r="V43" s="266" t="s">
        <v>72</v>
      </c>
      <c r="W43" s="267"/>
      <c r="X43" s="137" t="str">
        <f>IFERROR(IF(#REF!="","",IF(Aerial!DN2="",#REF!,#REF!-(SUM(Aerial!DL2,Aerial!DL3,End_Sections!AD4,End_Sections!AD9)))),"")</f>
        <v/>
      </c>
      <c r="Y43" s="130"/>
      <c r="Z43" s="131"/>
      <c r="AA43" s="266"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8"/>
      <c r="I44" s="137" t="str">
        <f>IFERROR(IF(#REF!="","",I43-(SUM(#REF!))-(SUM(End_Sections!AA3,End_Sections!AA8))),"")</f>
        <v/>
      </c>
      <c r="J44" s="130"/>
      <c r="K44" s="131"/>
      <c r="L44" s="266" t="s">
        <v>71</v>
      </c>
      <c r="M44" s="268"/>
      <c r="N44" s="137" t="str">
        <f>IFERROR(IF(#REF!="","",N43-(SUM(#REF!))-(SUM(End_Sections!AB3,End_Sections!AB8))),"")</f>
        <v/>
      </c>
      <c r="O44" s="130"/>
      <c r="P44" s="131"/>
      <c r="Q44" s="266" t="s">
        <v>71</v>
      </c>
      <c r="R44" s="268"/>
      <c r="S44" s="137" t="str">
        <f>IFERROR(IF(#REF!="","",S43-(SUM(#REF!))-(SUM(End_Sections!AC3,End_Sections!AC8))),"")</f>
        <v/>
      </c>
      <c r="T44" s="130"/>
      <c r="U44" s="131"/>
      <c r="V44" s="266" t="s">
        <v>71</v>
      </c>
      <c r="W44" s="268"/>
      <c r="X44" s="137" t="str">
        <f>IFERROR(IF(#REF!="","",X43-(SUM(#REF!))-(SUM(End_Sections!AD3,End_Sections!AD8))),"")</f>
        <v/>
      </c>
      <c r="Y44" s="130"/>
      <c r="Z44" s="131"/>
      <c r="AA44" s="266" t="s">
        <v>71</v>
      </c>
      <c r="AB44" s="268"/>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8"/>
      <c r="I45" s="137" t="str">
        <f>IFERROR(IF(AND(#REF!="Y",#REF!="N"),J45,IF(End_Sections!AA2="A",IF(#REF!&lt;1000,J45+10,J45+20),J45)),"")</f>
        <v/>
      </c>
      <c r="J45" s="138" t="e">
        <f>IF(K45=0,"",K45)</f>
        <v>#REF!</v>
      </c>
      <c r="K45" s="131" t="e">
        <f>IF(I43=0,#REF!,IF(Aerial!CZ3="",SUM(Aerial!CZ2,End_Sections!AA4,End_Sections!AA9),Aerial!CZ2))</f>
        <v>#REF!</v>
      </c>
      <c r="L45" s="266" t="s">
        <v>75</v>
      </c>
      <c r="M45" s="268"/>
      <c r="N45" s="137" t="str">
        <f>IFERROR(IF(AND(#REF!="Y",#REF!="N"),O45,IF(End_Sections!AB2="A",IF(#REF!&lt;1000,O45+10,O45+20),O45)),"")</f>
        <v/>
      </c>
      <c r="O45" s="138" t="e">
        <f>IF(P45=0,"",P45)</f>
        <v>#REF!</v>
      </c>
      <c r="P45" s="131" t="e">
        <f>IF(N43=0,#REF!,IF(Aerial!DD3="",SUM(Aerial!DD2,End_Sections!AB4,End_Sections!AB9),Aerial!DD2))</f>
        <v>#REF!</v>
      </c>
      <c r="Q45" s="266" t="s">
        <v>75</v>
      </c>
      <c r="R45" s="268"/>
      <c r="S45" s="137" t="str">
        <f>IFERROR(IF(AND(#REF!="Y",#REF!="N"),T45,IF(End_Sections!AC2="A",IF(#REF!&lt;1000,T45+10,T45+20),T45)),"")</f>
        <v/>
      </c>
      <c r="T45" s="138" t="e">
        <f>IF(U45=0,"",U45)</f>
        <v>#REF!</v>
      </c>
      <c r="U45" s="131" t="e">
        <f>IF(S43=0,#REF!,IF(Aerial!DH3="",SUM(Aerial!DH2,End_Sections!AC4,End_Sections!AC9),Aerial!DH2))</f>
        <v>#REF!</v>
      </c>
      <c r="V45" s="266" t="s">
        <v>75</v>
      </c>
      <c r="W45" s="268"/>
      <c r="X45" s="137" t="str">
        <f>IFERROR(IF(AND(#REF!="Y",#REF!="N"),Y45,IF(End_Sections!AD2="A",IF(#REF!&lt;1000,Y45+10,Y45+20),Y45)),"")</f>
        <v/>
      </c>
      <c r="Y45" s="138" t="e">
        <f>IF(Z45=0,"",Z45)</f>
        <v>#REF!</v>
      </c>
      <c r="Z45" s="131" t="e">
        <f>IF(X43=0,#REF!,IF(Aerial!DL3="",SUM(Aerial!DL2,End_Sections!AD4,End_Sections!AD9),Aerial!DL2))</f>
        <v>#REF!</v>
      </c>
      <c r="AA45" s="266" t="s">
        <v>75</v>
      </c>
      <c r="AB45" s="268"/>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8"/>
      <c r="I46" s="137" t="e">
        <f>J46</f>
        <v>#REF!</v>
      </c>
      <c r="J46" s="138" t="e">
        <f>IF(K46=0,"",K46)</f>
        <v>#REF!</v>
      </c>
      <c r="K46" s="131" t="e">
        <f>IF(J45="","",IF(Aerial!CZ3="","",SUM(Aerial!CZ3,End_Sections!AA9)))</f>
        <v>#REF!</v>
      </c>
      <c r="L46" s="266" t="s">
        <v>77</v>
      </c>
      <c r="M46" s="268"/>
      <c r="N46" s="137" t="e">
        <f>O46</f>
        <v>#REF!</v>
      </c>
      <c r="O46" s="138" t="e">
        <f>IF(P46=0,"",P46)</f>
        <v>#REF!</v>
      </c>
      <c r="P46" s="131" t="e">
        <f>IF(O45="","",IF(Aerial!DD3="","",SUM(Aerial!DD3,End_Sections!AB9)))</f>
        <v>#REF!</v>
      </c>
      <c r="Q46" s="266" t="s">
        <v>77</v>
      </c>
      <c r="R46" s="268"/>
      <c r="S46" s="137" t="e">
        <f>T46</f>
        <v>#REF!</v>
      </c>
      <c r="T46" s="138" t="e">
        <f>IF(U46=0,"",U46)</f>
        <v>#REF!</v>
      </c>
      <c r="U46" s="131" t="e">
        <f>IF(T45="","",IF(Aerial!DH3="","",SUM(Aerial!DH3,End_Sections!AC9)))</f>
        <v>#REF!</v>
      </c>
      <c r="V46" s="266" t="s">
        <v>77</v>
      </c>
      <c r="W46" s="268"/>
      <c r="X46" s="137" t="e">
        <f>Y46</f>
        <v>#REF!</v>
      </c>
      <c r="Y46" s="138" t="e">
        <f>IF(Z46=0,"",Z46)</f>
        <v>#REF!</v>
      </c>
      <c r="Z46" s="131" t="e">
        <f>IF(Y45="","",IF(Aerial!DL3="","",SUM(Aerial!DL3,End_Sections!AD9)))</f>
        <v>#REF!</v>
      </c>
      <c r="AA46" s="266" t="s">
        <v>77</v>
      </c>
      <c r="AB46" s="268"/>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7"/>
      <c r="I50" s="137" t="str">
        <f>IFERROR(IF(AND(#REF!="Y",#REF!="N"),I51,IF(AND(I51&gt;0,End_Sections!AF2="B"),IF(#REF!&lt;1000,I51+10,I51+20),I51)),"")</f>
        <v/>
      </c>
      <c r="J50" s="130"/>
      <c r="K50" s="131"/>
      <c r="L50" s="266" t="s">
        <v>70</v>
      </c>
      <c r="M50" s="267"/>
      <c r="N50" s="137" t="str">
        <f>IFERROR(IF(AND(#REF!="Y",#REF!="N"),N51,IF(AND(N51&gt;0,End_Sections!AG2="B"),IF(#REF!&lt;1000,N51+10,N51+20),N51)),"")</f>
        <v/>
      </c>
      <c r="O50" s="130"/>
      <c r="P50" s="131"/>
      <c r="Q50" s="266" t="s">
        <v>70</v>
      </c>
      <c r="R50" s="267"/>
      <c r="S50" s="137" t="str">
        <f>IFERROR(IF(AND(#REF!="Y",#REF!="N"),S51,IF(AND(S51&gt;0,End_Sections!AH2="B"),IF(#REF!&lt;1000,S51+10,S51+20),S51)),"")</f>
        <v/>
      </c>
      <c r="T50" s="130"/>
      <c r="U50" s="131"/>
      <c r="V50" s="266" t="s">
        <v>70</v>
      </c>
      <c r="W50" s="267"/>
      <c r="X50" s="137" t="str">
        <f>IFERROR(IF(AND(#REF!="Y",#REF!="N"),X51,IF(AND(X51&gt;0,End_Sections!AI2="B"),IF(#REF!&lt;1000,X51+10,X51+20),X51)),"")</f>
        <v/>
      </c>
      <c r="Y50" s="130"/>
      <c r="Z50" s="131"/>
      <c r="AA50" s="266"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7"/>
      <c r="I51" s="137" t="str">
        <f>IFERROR(IF(#REF!="","",IF(Aerial!DT2="",#REF!,#REF!-(SUM(Aerial!DT2,Aerial!DT3,End_Sections!AF4,End_Sections!AF9)))),"")</f>
        <v/>
      </c>
      <c r="J51" s="130"/>
      <c r="K51" s="131"/>
      <c r="L51" s="266" t="s">
        <v>72</v>
      </c>
      <c r="M51" s="267"/>
      <c r="N51" s="137" t="str">
        <f>IFERROR(IF(#REF!="","",IF(Aerial!DX2="",#REF!,#REF!-(SUM(Aerial!DX2,Aerial!DX3,End_Sections!AG4,End_Sections!AG9)))),"")</f>
        <v/>
      </c>
      <c r="O51" s="130"/>
      <c r="P51" s="131"/>
      <c r="Q51" s="266" t="s">
        <v>72</v>
      </c>
      <c r="R51" s="267"/>
      <c r="S51" s="137" t="str">
        <f>IFERROR(IF(#REF!="","",IF(Aerial!EB2="",#REF!,#REF!-(SUM(Aerial!EB2,Aerial!EB3,End_Sections!AH4,End_Sections!AH9)))),"")</f>
        <v/>
      </c>
      <c r="T51" s="130"/>
      <c r="U51" s="131"/>
      <c r="V51" s="266" t="s">
        <v>72</v>
      </c>
      <c r="W51" s="267"/>
      <c r="X51" s="137" t="str">
        <f>IFERROR(IF(#REF!="","",IF(Aerial!EF2="",#REF!,#REF!-(SUM(Aerial!EF2,Aerial!EF3,End_Sections!AI4,End_Sections!AI9)))),"")</f>
        <v/>
      </c>
      <c r="Y51" s="130"/>
      <c r="Z51" s="131"/>
      <c r="AA51" s="266"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8"/>
      <c r="I52" s="137" t="str">
        <f>IFERROR(IF(#REF!="","",I51-(SUM(#REF!))-(SUM(End_Sections!AF3,End_Sections!AF8))),"")</f>
        <v/>
      </c>
      <c r="J52" s="130"/>
      <c r="K52" s="131"/>
      <c r="L52" s="266" t="s">
        <v>71</v>
      </c>
      <c r="M52" s="268"/>
      <c r="N52" s="137" t="str">
        <f>IFERROR(IF(#REF!="","",N51-(SUM(#REF!))-(SUM(End_Sections!AG3,End_Sections!AG8))),"")</f>
        <v/>
      </c>
      <c r="O52" s="130"/>
      <c r="P52" s="131"/>
      <c r="Q52" s="266" t="s">
        <v>71</v>
      </c>
      <c r="R52" s="268"/>
      <c r="S52" s="137" t="str">
        <f>IFERROR(IF(#REF!="","",S51-(SUM(#REF!))-(SUM(End_Sections!AH3,End_Sections!AH8))),"")</f>
        <v/>
      </c>
      <c r="T52" s="130"/>
      <c r="U52" s="131"/>
      <c r="V52" s="266" t="s">
        <v>71</v>
      </c>
      <c r="W52" s="268"/>
      <c r="X52" s="137" t="str">
        <f>IFERROR(IF(#REF!="","",X51-(SUM(#REF!))-(SUM(End_Sections!AI3,End_Sections!AI8))),"")</f>
        <v/>
      </c>
      <c r="Y52" s="130"/>
      <c r="Z52" s="131"/>
      <c r="AA52" s="266" t="s">
        <v>71</v>
      </c>
      <c r="AB52" s="268"/>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8"/>
      <c r="I53" s="137" t="str">
        <f>IFERROR(IF(AND(#REF!="Y",#REF!="N"),J53,IF(End_Sections!AF2="A",IF(#REF!&lt;1000,J53+10,J53+20),J53)),"")</f>
        <v/>
      </c>
      <c r="J53" s="138" t="e">
        <f>IF(K53=0,"",K53)</f>
        <v>#REF!</v>
      </c>
      <c r="K53" s="131" t="e">
        <f>IF(I51=0,#REF!,IF(Aerial!DT3="",SUM(Aerial!DT2,End_Sections!AF4,End_Sections!AF9),Aerial!DT2))</f>
        <v>#REF!</v>
      </c>
      <c r="L53" s="266" t="s">
        <v>75</v>
      </c>
      <c r="M53" s="268"/>
      <c r="N53" s="137" t="str">
        <f>IFERROR(IF(AND(#REF!="Y",#REF!="N"),O53,IF(End_Sections!AG2="A",IF(#REF!&lt;1000,O53+10,O53+20),O53)),"")</f>
        <v/>
      </c>
      <c r="O53" s="138" t="e">
        <f>IF(P53=0,"",P53)</f>
        <v>#REF!</v>
      </c>
      <c r="P53" s="131" t="e">
        <f>IF(N51=0,#REF!,IF(Aerial!DX3="",SUM(Aerial!DX2,End_Sections!AG4,End_Sections!AG9),Aerial!DX2))</f>
        <v>#REF!</v>
      </c>
      <c r="Q53" s="266" t="s">
        <v>75</v>
      </c>
      <c r="R53" s="268"/>
      <c r="S53" s="137" t="str">
        <f>IFERROR(IF(AND(#REF!="Y",#REF!="N"),T53,IF(End_Sections!AH2="A",IF(#REF!&lt;1000,T53+10,T53+20),T53)),"")</f>
        <v/>
      </c>
      <c r="T53" s="138" t="e">
        <f>IF(U53=0,"",U53)</f>
        <v>#REF!</v>
      </c>
      <c r="U53" s="131" t="e">
        <f>IF(S51=0,#REF!,IF(Aerial!EB3="",SUM(Aerial!EB2,End_Sections!AH4,End_Sections!AH9),Aerial!EB2))</f>
        <v>#REF!</v>
      </c>
      <c r="V53" s="266" t="s">
        <v>75</v>
      </c>
      <c r="W53" s="268"/>
      <c r="X53" s="137" t="str">
        <f>IFERROR(IF(AND(#REF!="Y",#REF!="N"),Y53,IF(End_Sections!AI2="A",IF(#REF!&lt;1000,Y53+10,Y53+20),Y53)),"")</f>
        <v/>
      </c>
      <c r="Y53" s="138" t="e">
        <f>IF(Z53=0,"",Z53)</f>
        <v>#REF!</v>
      </c>
      <c r="Z53" s="131" t="e">
        <f>IF(X51=0,#REF!,IF(Aerial!EF3="",SUM(Aerial!EF2,End_Sections!AI4,End_Sections!AI9),Aerial!EF2))</f>
        <v>#REF!</v>
      </c>
      <c r="AA53" s="266" t="s">
        <v>75</v>
      </c>
      <c r="AB53" s="268"/>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8"/>
      <c r="I54" s="137" t="e">
        <f>J54</f>
        <v>#REF!</v>
      </c>
      <c r="J54" s="138" t="e">
        <f>IF(K54=0,"",K54)</f>
        <v>#REF!</v>
      </c>
      <c r="K54" s="131" t="e">
        <f>IF(J53="","",IF(Aerial!DT3="","",SUM(Aerial!DT3,End_Sections!AF9)))</f>
        <v>#REF!</v>
      </c>
      <c r="L54" s="266" t="s">
        <v>77</v>
      </c>
      <c r="M54" s="268"/>
      <c r="N54" s="137" t="e">
        <f>O54</f>
        <v>#REF!</v>
      </c>
      <c r="O54" s="138" t="e">
        <f>IF(P54=0,"",P54)</f>
        <v>#REF!</v>
      </c>
      <c r="P54" s="131" t="e">
        <f>IF(O53="","",IF(Aerial!DX3="","",SUM(Aerial!DX3,End_Sections!AG9)))</f>
        <v>#REF!</v>
      </c>
      <c r="Q54" s="266" t="s">
        <v>77</v>
      </c>
      <c r="R54" s="268"/>
      <c r="S54" s="137" t="e">
        <f>T54</f>
        <v>#REF!</v>
      </c>
      <c r="T54" s="138" t="e">
        <f>IF(U54=0,"",U54)</f>
        <v>#REF!</v>
      </c>
      <c r="U54" s="131" t="e">
        <f>IF(T53="","",IF(Aerial!EB3="","",SUM(Aerial!EB3,End_Sections!AH9)))</f>
        <v>#REF!</v>
      </c>
      <c r="V54" s="266" t="s">
        <v>77</v>
      </c>
      <c r="W54" s="268"/>
      <c r="X54" s="137" t="e">
        <f>Y54</f>
        <v>#REF!</v>
      </c>
      <c r="Y54" s="138" t="e">
        <f>IF(Z54=0,"",Z54)</f>
        <v>#REF!</v>
      </c>
      <c r="Z54" s="131" t="e">
        <f>IF(Y53="","",IF(Aerial!EF3="","",SUM(Aerial!EF3,End_Sections!AI9)))</f>
        <v>#REF!</v>
      </c>
      <c r="AA54" s="266" t="s">
        <v>77</v>
      </c>
      <c r="AB54" s="268"/>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7"/>
      <c r="I58" s="137" t="str">
        <f>IFERROR(IF(AND(#REF!="Y",#REF!="N"),I59,IF(AND(I59&gt;0,End_Sections!AK2="B"),IF(#REF!&lt;1000,I59+10,I59+20),I59)),"")</f>
        <v/>
      </c>
      <c r="J58" s="130"/>
      <c r="K58" s="131"/>
      <c r="L58" s="266" t="s">
        <v>70</v>
      </c>
      <c r="M58" s="267"/>
      <c r="N58" s="137" t="str">
        <f>IFERROR(IF(AND(#REF!="Y",#REF!="N"),N59,IF(AND(N59&gt;0,End_Sections!AL2="B"),IF(#REF!&lt;1000,N59+10,N59+20),N59)),"")</f>
        <v/>
      </c>
      <c r="O58" s="130"/>
      <c r="P58" s="131"/>
      <c r="Q58" s="266" t="s">
        <v>70</v>
      </c>
      <c r="R58" s="267"/>
      <c r="S58" s="137" t="str">
        <f>IFERROR(IF(AND(#REF!="Y",#REF!="N"),S59,IF(AND(S59&gt;0,End_Sections!AM2="B"),IF(#REF!&lt;1000,S59+10,S59+20),S59)),"")</f>
        <v/>
      </c>
      <c r="T58" s="130"/>
      <c r="U58" s="131"/>
      <c r="V58" s="266" t="s">
        <v>70</v>
      </c>
      <c r="W58" s="267"/>
      <c r="X58" s="137" t="str">
        <f>IFERROR(IF(AND(#REF!="Y",#REF!="N"),X59,IF(AND(X59&gt;0,End_Sections!AN2="B"),IF(#REF!&lt;1000,X59+10,X59+20),X59)),"")</f>
        <v/>
      </c>
      <c r="Y58" s="130"/>
      <c r="Z58" s="131"/>
      <c r="AA58" s="266"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7"/>
      <c r="I59" s="137" t="str">
        <f>IFERROR(IF(#REF!="","",IF(Aerial!EN2="",#REF!,#REF!-(SUM(Aerial!EN2,Aerial!EN3,End_Sections!AK4,End_Sections!AK9)))),"")</f>
        <v/>
      </c>
      <c r="J59" s="130"/>
      <c r="K59" s="131"/>
      <c r="L59" s="266" t="s">
        <v>72</v>
      </c>
      <c r="M59" s="267"/>
      <c r="N59" s="137" t="str">
        <f>IFERROR(IF(#REF!="","",IF(Aerial!ER2="",#REF!,#REF!-(SUM(Aerial!ER2,Aerial!ER3,End_Sections!AL4,End_Sections!AL9)))),"")</f>
        <v/>
      </c>
      <c r="O59" s="130"/>
      <c r="P59" s="131"/>
      <c r="Q59" s="266" t="s">
        <v>72</v>
      </c>
      <c r="R59" s="267"/>
      <c r="S59" s="137" t="str">
        <f>IFERROR(IF(#REF!="","",IF(Aerial!EV2="",#REF!,#REF!-(SUM(Aerial!EV2,Aerial!EV3,End_Sections!AM4,End_Sections!AM9)))),"")</f>
        <v/>
      </c>
      <c r="T59" s="130"/>
      <c r="U59" s="131"/>
      <c r="V59" s="266" t="s">
        <v>72</v>
      </c>
      <c r="W59" s="267"/>
      <c r="X59" s="137" t="str">
        <f>IFERROR(IF(#REF!="","",IF(Aerial!EZ2="",#REF!,#REF!-(SUM(Aerial!EZ2,Aerial!EZ3,End_Sections!AN4,End_Sections!AN9)))),"")</f>
        <v/>
      </c>
      <c r="Y59" s="130"/>
      <c r="Z59" s="131"/>
      <c r="AA59" s="266"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8"/>
      <c r="I60" s="137" t="str">
        <f>IFERROR(IF(#REF!="","",I59-(SUM(#REF!))-(SUM(End_Sections!AK3,End_Sections!AK8))),"")</f>
        <v/>
      </c>
      <c r="J60" s="130"/>
      <c r="K60" s="131"/>
      <c r="L60" s="266" t="s">
        <v>71</v>
      </c>
      <c r="M60" s="268"/>
      <c r="N60" s="137" t="str">
        <f>IFERROR(IF(#REF!="","",N59-(SUM(#REF!))-(SUM(End_Sections!AL3,End_Sections!AL8))),"")</f>
        <v/>
      </c>
      <c r="O60" s="130"/>
      <c r="P60" s="131"/>
      <c r="Q60" s="266" t="s">
        <v>71</v>
      </c>
      <c r="R60" s="268"/>
      <c r="S60" s="137" t="str">
        <f>IFERROR(IF(#REF!="","",S59-(SUM(#REF!))-(SUM(End_Sections!AM3,End_Sections!AM8))),"")</f>
        <v/>
      </c>
      <c r="T60" s="130"/>
      <c r="U60" s="131"/>
      <c r="V60" s="266" t="s">
        <v>71</v>
      </c>
      <c r="W60" s="268"/>
      <c r="X60" s="137" t="str">
        <f>IFERROR(IF(#REF!="","",X59-(SUM(#REF!))-(SUM(End_Sections!AN3,End_Sections!AN8))),"")</f>
        <v/>
      </c>
      <c r="Y60" s="130"/>
      <c r="Z60" s="131"/>
      <c r="AA60" s="266" t="s">
        <v>71</v>
      </c>
      <c r="AB60" s="268"/>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8"/>
      <c r="I61" s="137" t="str">
        <f>IFERROR(IF(AND(#REF!="Y",#REF!="N"),J61,IF(End_Sections!AK2="A",IF(#REF!&lt;1000,J61+10,J61+20),J61)),"")</f>
        <v/>
      </c>
      <c r="J61" s="138" t="e">
        <f>IF(K61=0,"",K61)</f>
        <v>#REF!</v>
      </c>
      <c r="K61" s="131" t="e">
        <f>IF(I59=0,#REF!,IF(Aerial!EN3="",SUM(Aerial!EN2,End_Sections!AK4,End_Sections!AK9),Aerial!EN2))</f>
        <v>#REF!</v>
      </c>
      <c r="L61" s="266" t="s">
        <v>75</v>
      </c>
      <c r="M61" s="268"/>
      <c r="N61" s="137" t="str">
        <f>IFERROR(IF(AND(#REF!="Y",#REF!="N"),O61,IF(End_Sections!AL2="A",IF(#REF!&lt;1000,O61+10,O61+20),O61)),"")</f>
        <v/>
      </c>
      <c r="O61" s="138" t="e">
        <f>IF(P61=0,"",P61)</f>
        <v>#REF!</v>
      </c>
      <c r="P61" s="131" t="e">
        <f>IF(N59=0,#REF!,IF(Aerial!ER3="",SUM(Aerial!ER2,End_Sections!AL4,End_Sections!AL9),Aerial!ER2))</f>
        <v>#REF!</v>
      </c>
      <c r="Q61" s="266" t="s">
        <v>75</v>
      </c>
      <c r="R61" s="268"/>
      <c r="S61" s="137" t="str">
        <f>IFERROR(IF(AND(#REF!="Y",#REF!="N"),T61,IF(End_Sections!AM2="A",IF(#REF!&lt;1000,T61+10,T61+20),T61)),"")</f>
        <v/>
      </c>
      <c r="T61" s="138" t="e">
        <f>IF(U61=0,"",U61)</f>
        <v>#REF!</v>
      </c>
      <c r="U61" s="131" t="e">
        <f>IF(S59=0,#REF!,IF(Aerial!EV3="",SUM(Aerial!EV2,End_Sections!AM4,End_Sections!AM9),Aerial!EV2))</f>
        <v>#REF!</v>
      </c>
      <c r="V61" s="266" t="s">
        <v>75</v>
      </c>
      <c r="W61" s="268"/>
      <c r="X61" s="137" t="str">
        <f>IFERROR(IF(AND(#REF!="Y",#REF!="N"),Y61,IF(End_Sections!AN2="A",IF(#REF!&lt;1000,Y61+10,Y61+20),Y61)),"")</f>
        <v/>
      </c>
      <c r="Y61" s="138" t="e">
        <f>IF(Z61=0,"",Z61)</f>
        <v>#REF!</v>
      </c>
      <c r="Z61" s="131" t="e">
        <f>IF(X59=0,#REF!,IF(Aerial!EZ3="",SUM(Aerial!EZ2,End_Sections!AN4,End_Sections!AN9),Aerial!EZ2))</f>
        <v>#REF!</v>
      </c>
      <c r="AA61" s="266" t="s">
        <v>75</v>
      </c>
      <c r="AB61" s="268"/>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8"/>
      <c r="I62" s="137" t="e">
        <f>J62</f>
        <v>#REF!</v>
      </c>
      <c r="J62" s="138" t="e">
        <f>IF(K62=0,"",K62)</f>
        <v>#REF!</v>
      </c>
      <c r="K62" s="131" t="e">
        <f>IF(J61="","",IF(Aerial!EN3="","",SUM(Aerial!EN3,End_Sections!AK9)))</f>
        <v>#REF!</v>
      </c>
      <c r="L62" s="266" t="s">
        <v>77</v>
      </c>
      <c r="M62" s="268"/>
      <c r="N62" s="137" t="e">
        <f>O62</f>
        <v>#REF!</v>
      </c>
      <c r="O62" s="138" t="e">
        <f>IF(P62=0,"",P62)</f>
        <v>#REF!</v>
      </c>
      <c r="P62" s="131" t="e">
        <f>IF(O61="","",IF(Aerial!ER3="","",SUM(Aerial!ER3,End_Sections!AL9)))</f>
        <v>#REF!</v>
      </c>
      <c r="Q62" s="266" t="s">
        <v>77</v>
      </c>
      <c r="R62" s="268"/>
      <c r="S62" s="137" t="e">
        <f>T62</f>
        <v>#REF!</v>
      </c>
      <c r="T62" s="138" t="e">
        <f>IF(U62=0,"",U62)</f>
        <v>#REF!</v>
      </c>
      <c r="U62" s="131" t="e">
        <f>IF(T61="","",IF(Aerial!EV3="","",SUM(Aerial!EV3,End_Sections!AM9)))</f>
        <v>#REF!</v>
      </c>
      <c r="V62" s="266" t="s">
        <v>77</v>
      </c>
      <c r="W62" s="268"/>
      <c r="X62" s="137" t="e">
        <f>Y62</f>
        <v>#REF!</v>
      </c>
      <c r="Y62" s="138" t="e">
        <f>IF(Z62=0,"",Z62)</f>
        <v>#REF!</v>
      </c>
      <c r="Z62" s="131" t="e">
        <f>IF(Y61="","",IF(Aerial!EZ3="","",SUM(Aerial!EZ3,End_Sections!AN9)))</f>
        <v>#REF!</v>
      </c>
      <c r="AA62" s="266" t="s">
        <v>77</v>
      </c>
      <c r="AB62" s="268"/>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AN1" zoomScale="115" zoomScaleNormal="115" workbookViewId="0">
      <pane ySplit="8" topLeftCell="A9" activePane="bottomLeft" state="frozen"/>
      <selection pane="bottomLeft" activeCell="BA21" sqref="BA21"/>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7" t="s">
        <v>123</v>
      </c>
      <c r="B1" s="277"/>
      <c r="C1" s="277"/>
      <c r="D1" s="277"/>
      <c r="F1" s="277" t="s">
        <v>124</v>
      </c>
      <c r="G1" s="277"/>
      <c r="H1" s="277"/>
      <c r="I1" s="277"/>
      <c r="K1" s="277" t="s">
        <v>125</v>
      </c>
      <c r="L1" s="277"/>
      <c r="M1" s="277"/>
      <c r="N1" s="277"/>
      <c r="P1" s="277" t="s">
        <v>126</v>
      </c>
      <c r="Q1" s="277"/>
      <c r="R1" s="277"/>
      <c r="S1" s="277"/>
      <c r="U1" s="277" t="s">
        <v>127</v>
      </c>
      <c r="V1" s="277"/>
      <c r="W1" s="277"/>
      <c r="X1" s="277"/>
      <c r="Z1" s="277" t="s">
        <v>128</v>
      </c>
      <c r="AA1" s="277"/>
      <c r="AB1" s="277"/>
      <c r="AC1" s="277"/>
      <c r="AE1" s="277" t="s">
        <v>129</v>
      </c>
      <c r="AF1" s="277"/>
      <c r="AG1" s="277"/>
      <c r="AH1" s="277"/>
      <c r="AJ1" s="277" t="s">
        <v>130</v>
      </c>
      <c r="AK1" s="277"/>
      <c r="AL1" s="277"/>
      <c r="AM1" s="277"/>
      <c r="AO1" s="277" t="s">
        <v>131</v>
      </c>
      <c r="AP1" s="277"/>
      <c r="AQ1" s="277"/>
      <c r="AR1" s="277"/>
      <c r="AT1" s="277" t="s">
        <v>132</v>
      </c>
      <c r="AU1" s="277"/>
      <c r="AV1" s="277"/>
      <c r="AW1" s="277"/>
      <c r="AY1" s="277" t="s">
        <v>133</v>
      </c>
      <c r="AZ1" s="277"/>
      <c r="BA1" s="277"/>
      <c r="BB1" s="277"/>
      <c r="BD1" s="277" t="s">
        <v>134</v>
      </c>
      <c r="BE1" s="277"/>
      <c r="BF1" s="277"/>
      <c r="BG1" s="277"/>
      <c r="BI1" s="277" t="s">
        <v>135</v>
      </c>
      <c r="BJ1" s="277"/>
      <c r="BK1" s="277"/>
      <c r="BL1" s="277"/>
      <c r="BN1" s="277" t="s">
        <v>136</v>
      </c>
      <c r="BO1" s="277"/>
      <c r="BP1" s="277"/>
      <c r="BQ1" s="277"/>
      <c r="BS1" s="277" t="s">
        <v>137</v>
      </c>
      <c r="BT1" s="277"/>
      <c r="BU1" s="277"/>
      <c r="BV1" s="277"/>
      <c r="BX1" s="277" t="s">
        <v>138</v>
      </c>
      <c r="BY1" s="277"/>
      <c r="BZ1" s="277"/>
      <c r="CA1" s="277"/>
      <c r="CC1" s="277" t="s">
        <v>139</v>
      </c>
      <c r="CD1" s="277"/>
      <c r="CE1" s="277"/>
      <c r="CF1" s="277"/>
      <c r="CH1" s="277" t="s">
        <v>140</v>
      </c>
      <c r="CI1" s="277"/>
      <c r="CJ1" s="277"/>
      <c r="CK1" s="277"/>
      <c r="CM1" s="277" t="s">
        <v>141</v>
      </c>
      <c r="CN1" s="277"/>
      <c r="CO1" s="277"/>
      <c r="CP1" s="277"/>
      <c r="CR1" s="277" t="s">
        <v>142</v>
      </c>
      <c r="CS1" s="277"/>
      <c r="CT1" s="277"/>
      <c r="CU1" s="277"/>
      <c r="CW1" s="277" t="s">
        <v>143</v>
      </c>
      <c r="CX1" s="277"/>
      <c r="CY1" s="277"/>
      <c r="CZ1" s="277"/>
      <c r="DB1" s="277" t="s">
        <v>144</v>
      </c>
      <c r="DC1" s="277"/>
      <c r="DD1" s="277"/>
      <c r="DE1" s="277"/>
      <c r="DG1" s="277" t="s">
        <v>145</v>
      </c>
      <c r="DH1" s="277"/>
      <c r="DI1" s="277"/>
      <c r="DJ1" s="277"/>
      <c r="DL1" s="277" t="s">
        <v>146</v>
      </c>
      <c r="DM1" s="277"/>
      <c r="DN1" s="277"/>
      <c r="DO1" s="277"/>
      <c r="DQ1" s="277" t="s">
        <v>147</v>
      </c>
      <c r="DR1" s="277"/>
      <c r="DS1" s="277"/>
      <c r="DT1" s="277"/>
      <c r="DV1" s="277" t="s">
        <v>148</v>
      </c>
      <c r="DW1" s="277"/>
      <c r="DX1" s="277"/>
      <c r="DY1" s="277"/>
      <c r="EA1" s="277" t="s">
        <v>149</v>
      </c>
      <c r="EB1" s="277"/>
      <c r="EC1" s="277"/>
      <c r="ED1" s="277"/>
      <c r="EF1" s="277" t="s">
        <v>150</v>
      </c>
      <c r="EG1" s="277"/>
      <c r="EH1" s="277"/>
      <c r="EI1" s="277"/>
      <c r="EK1" s="277" t="s">
        <v>151</v>
      </c>
      <c r="EL1" s="277"/>
      <c r="EM1" s="277"/>
      <c r="EN1" s="277"/>
      <c r="EP1" s="277" t="s">
        <v>152</v>
      </c>
      <c r="EQ1" s="277"/>
      <c r="ER1" s="277"/>
      <c r="ES1" s="277"/>
      <c r="EU1" s="277" t="s">
        <v>153</v>
      </c>
      <c r="EV1" s="277"/>
      <c r="EW1" s="277"/>
      <c r="EX1" s="277"/>
      <c r="EZ1" s="277" t="s">
        <v>154</v>
      </c>
      <c r="FA1" s="277"/>
      <c r="FB1" s="277"/>
      <c r="FC1" s="277"/>
      <c r="FE1" s="277" t="s">
        <v>155</v>
      </c>
      <c r="FF1" s="277"/>
      <c r="FG1" s="277"/>
      <c r="FH1" s="277"/>
      <c r="FJ1" s="277" t="s">
        <v>156</v>
      </c>
      <c r="FK1" s="277"/>
      <c r="FL1" s="277"/>
      <c r="FM1" s="277"/>
      <c r="FO1" s="277" t="s">
        <v>157</v>
      </c>
      <c r="FP1" s="277"/>
      <c r="FQ1" s="277"/>
      <c r="FR1" s="277"/>
      <c r="FT1" s="277" t="s">
        <v>158</v>
      </c>
      <c r="FU1" s="277"/>
      <c r="FV1" s="277"/>
      <c r="FW1" s="277"/>
      <c r="FY1" s="277" t="s">
        <v>159</v>
      </c>
      <c r="FZ1" s="277"/>
      <c r="GA1" s="277"/>
      <c r="GB1" s="277"/>
      <c r="GD1" s="277" t="s">
        <v>160</v>
      </c>
      <c r="GE1" s="277"/>
      <c r="GF1" s="277"/>
      <c r="GG1" s="277"/>
      <c r="GI1" s="277" t="s">
        <v>161</v>
      </c>
      <c r="GJ1" s="277"/>
      <c r="GK1" s="277"/>
      <c r="GL1" s="277"/>
      <c r="GN1" s="277" t="s">
        <v>162</v>
      </c>
      <c r="GO1" s="277"/>
      <c r="GP1" s="277"/>
      <c r="GQ1" s="277"/>
      <c r="GS1" s="277" t="s">
        <v>163</v>
      </c>
      <c r="GT1" s="277"/>
      <c r="GU1" s="277"/>
      <c r="GV1" s="277"/>
      <c r="GX1" s="277" t="s">
        <v>164</v>
      </c>
      <c r="GY1" s="277"/>
      <c r="GZ1" s="277"/>
      <c r="HA1" s="277"/>
      <c r="HC1" s="277" t="s">
        <v>165</v>
      </c>
      <c r="HD1" s="277"/>
      <c r="HE1" s="277"/>
      <c r="HF1" s="277"/>
      <c r="HH1" s="277" t="s">
        <v>166</v>
      </c>
      <c r="HI1" s="277"/>
      <c r="HJ1" s="277"/>
      <c r="HK1" s="277"/>
      <c r="HM1" s="277" t="s">
        <v>167</v>
      </c>
      <c r="HN1" s="277"/>
      <c r="HO1" s="277"/>
      <c r="HP1" s="277"/>
      <c r="HR1" s="277" t="s">
        <v>168</v>
      </c>
      <c r="HS1" s="277"/>
      <c r="HT1" s="277"/>
      <c r="HU1" s="277"/>
      <c r="HW1" s="277" t="s">
        <v>169</v>
      </c>
      <c r="HX1" s="277"/>
      <c r="HY1" s="277"/>
      <c r="HZ1" s="277"/>
      <c r="IB1" s="277" t="s">
        <v>170</v>
      </c>
      <c r="IC1" s="277"/>
      <c r="ID1" s="277"/>
      <c r="IE1" s="277"/>
      <c r="IG1" s="277" t="s">
        <v>171</v>
      </c>
      <c r="IH1" s="277"/>
      <c r="II1" s="277"/>
      <c r="IJ1" s="277"/>
      <c r="IL1" s="277" t="s">
        <v>172</v>
      </c>
      <c r="IM1" s="277"/>
      <c r="IN1" s="277"/>
      <c r="IO1" s="277"/>
    </row>
    <row r="2" spans="1:250" x14ac:dyDescent="0.25">
      <c r="A2" s="278" t="s">
        <v>173</v>
      </c>
      <c r="B2" s="278"/>
      <c r="C2" s="278"/>
      <c r="D2" s="14">
        <f>IF(D3="","",IF(AND(D5="Y",D6="N"),D3,IF(D3&lt;1000,D3+10,D3+20)))</f>
        <v>2570</v>
      </c>
      <c r="F2" s="278" t="s">
        <v>173</v>
      </c>
      <c r="G2" s="278"/>
      <c r="H2" s="278"/>
      <c r="I2" s="14">
        <f>IF(I3="","",IF(AND(I5="Y",I6="N"),I3,IF(I3&lt;1000,I3+10,I3+20)))</f>
        <v>1292</v>
      </c>
      <c r="K2" s="278" t="s">
        <v>173</v>
      </c>
      <c r="L2" s="278"/>
      <c r="M2" s="278"/>
      <c r="N2" s="14">
        <f>IF(N3="","",IF(AND(N5="Y",N6="N"),N3,IF(N3&lt;1000,N3+10,N3+20)))</f>
        <v>704</v>
      </c>
      <c r="P2" s="278" t="s">
        <v>173</v>
      </c>
      <c r="Q2" s="278"/>
      <c r="R2" s="278"/>
      <c r="S2" s="14">
        <f>IF(S3="","",IF(AND(S5="Y",S6="N"),S3,IF(S3&lt;1000,S3+10,S3+20)))</f>
        <v>682</v>
      </c>
      <c r="U2" s="278" t="s">
        <v>173</v>
      </c>
      <c r="V2" s="278"/>
      <c r="W2" s="278"/>
      <c r="X2" s="14">
        <f>IF(X3="","",IF(AND(X5="Y",X6="N"),X3,IF(X3&lt;1000,X3+10,X3+20)))</f>
        <v>476</v>
      </c>
      <c r="Z2" s="278" t="s">
        <v>173</v>
      </c>
      <c r="AA2" s="278"/>
      <c r="AB2" s="278"/>
      <c r="AC2" s="14">
        <f>IF(AC3="","",IF(AND(AC5="Y",AC6="N"),AC3,IF(AC3&lt;1000,AC3+10,AC3+20)))</f>
        <v>1391</v>
      </c>
      <c r="AE2" s="278" t="s">
        <v>173</v>
      </c>
      <c r="AF2" s="278"/>
      <c r="AG2" s="278"/>
      <c r="AH2" s="14">
        <f>IF(AH3="","",IF(AND(AH5="Y",AH6="N"),AH3,IF(AH3&lt;1000,AH3+10,AH3+20)))</f>
        <v>1204</v>
      </c>
      <c r="AJ2" s="278" t="s">
        <v>173</v>
      </c>
      <c r="AK2" s="278"/>
      <c r="AL2" s="278"/>
      <c r="AM2" s="14">
        <f>IF(AM3="","",IF(AND(AM5="Y",AM6="N"),AM3,IF(AM3&lt;1000,AM3+10,AM3+20)))</f>
        <v>360</v>
      </c>
      <c r="AO2" s="278" t="s">
        <v>173</v>
      </c>
      <c r="AP2" s="278"/>
      <c r="AQ2" s="278"/>
      <c r="AR2" s="14">
        <f>IF(AR3="","",IF(AND(AR5="Y",AR6="N"),AR3,IF(AR3&lt;1000,AR3+10,AR3+20)))</f>
        <v>2186</v>
      </c>
      <c r="AT2" s="278" t="s">
        <v>173</v>
      </c>
      <c r="AU2" s="278"/>
      <c r="AV2" s="278"/>
      <c r="AW2" s="14">
        <f>IF(AW3="","",IF(AND(AW5="Y",AW6="N"),AW3,IF(AW3&lt;1000,AW3+10,AW3+20)))</f>
        <v>1276</v>
      </c>
      <c r="AY2" s="278" t="s">
        <v>173</v>
      </c>
      <c r="AZ2" s="278"/>
      <c r="BA2" s="278"/>
      <c r="BB2" s="14">
        <f>IF(BB3="","",IF(AND(BB5="Y",BB6="N"),BB3,IF(BB3&lt;1000,BB3+10,BB3+20)))</f>
        <v>1233</v>
      </c>
      <c r="BD2" s="278" t="s">
        <v>173</v>
      </c>
      <c r="BE2" s="278"/>
      <c r="BF2" s="278"/>
      <c r="BG2" s="14">
        <f>IF(BG3="","",IF(AND(BG5="Y",BG6="N"),BG3,IF(BG3&lt;1000,BG3+10,BG3+20)))</f>
        <v>280</v>
      </c>
      <c r="BI2" s="278" t="s">
        <v>173</v>
      </c>
      <c r="BJ2" s="278"/>
      <c r="BK2" s="278"/>
      <c r="BL2" s="14" t="str">
        <f>IF(BL3="","",IF(AND(BL5="Y",BL6="N"),BL3,IF(BL3&lt;1000,BL3+10,BL3+20)))</f>
        <v/>
      </c>
      <c r="BN2" s="278" t="s">
        <v>173</v>
      </c>
      <c r="BO2" s="278"/>
      <c r="BP2" s="278"/>
      <c r="BQ2" s="14" t="str">
        <f>IF(BQ3="","",IF(AND(BQ5="Y",BQ6="N"),BQ3,IF(BQ3&lt;1000,BQ3+10,BQ3+20)))</f>
        <v/>
      </c>
      <c r="BS2" s="278" t="s">
        <v>173</v>
      </c>
      <c r="BT2" s="278"/>
      <c r="BU2" s="278"/>
      <c r="BV2" s="14" t="str">
        <f>IF(BV3="","",IF(AND(BV5="Y",BV6="N"),BV3,IF(BV3&lt;1000,BV3+10,BV3+20)))</f>
        <v/>
      </c>
      <c r="BX2" s="278" t="s">
        <v>173</v>
      </c>
      <c r="BY2" s="278"/>
      <c r="BZ2" s="278"/>
      <c r="CA2" s="14" t="str">
        <f>IF(CA3="","",IF(AND(CA5="Y",CA6="N"),CA3,IF(CA3&lt;1000,CA3+10,CA3+20)))</f>
        <v/>
      </c>
      <c r="CC2" s="278" t="s">
        <v>173</v>
      </c>
      <c r="CD2" s="278"/>
      <c r="CE2" s="278"/>
      <c r="CF2" s="14" t="str">
        <f>IF(CF3="","",IF(AND(CF5="Y",CF6="N"),CF3,IF(CF3&lt;1000,CF3+10,CF3+20)))</f>
        <v/>
      </c>
      <c r="CH2" s="278" t="s">
        <v>173</v>
      </c>
      <c r="CI2" s="278"/>
      <c r="CJ2" s="278"/>
      <c r="CK2" s="14" t="str">
        <f>IF(CK3="","",IF(AND(CK5="Y",CK6="N"),CK3,IF(CK3&lt;1000,CK3+10,CK3+20)))</f>
        <v/>
      </c>
      <c r="CM2" s="278" t="s">
        <v>173</v>
      </c>
      <c r="CN2" s="278"/>
      <c r="CO2" s="278"/>
      <c r="CP2" s="14" t="str">
        <f>IF(CP3="","",IF(AND(CP5="Y",CP6="N"),CP3,IF(CP3&lt;1000,CP3+10,CP3+20)))</f>
        <v/>
      </c>
      <c r="CR2" s="278" t="s">
        <v>173</v>
      </c>
      <c r="CS2" s="278"/>
      <c r="CT2" s="278"/>
      <c r="CU2" s="14" t="str">
        <f>IF(CU3="","",IF(AND(CU5="Y",CU6="N"),CU3,IF(CU3&lt;1000,CU3+10,CU3+20)))</f>
        <v/>
      </c>
      <c r="CW2" s="278" t="s">
        <v>173</v>
      </c>
      <c r="CX2" s="278"/>
      <c r="CY2" s="278"/>
      <c r="CZ2" s="14" t="str">
        <f>IF(CZ3="","",IF(AND(CZ5="Y",CZ6="N"),CZ3,IF(CZ3&lt;1000,CZ3+10,CZ3+20)))</f>
        <v/>
      </c>
      <c r="DB2" s="278" t="s">
        <v>173</v>
      </c>
      <c r="DC2" s="278"/>
      <c r="DD2" s="278"/>
      <c r="DE2" s="14" t="str">
        <f>IF(DE3="","",IF(AND(DE5="Y",DE6="N"),DE3,IF(DE3&lt;1000,DE3+10,DE3+20)))</f>
        <v/>
      </c>
      <c r="DG2" s="278" t="s">
        <v>173</v>
      </c>
      <c r="DH2" s="278"/>
      <c r="DI2" s="278"/>
      <c r="DJ2" s="14" t="str">
        <f>IF(DJ3="","",IF(AND(DJ5="Y",DJ6="N"),DJ3,IF(DJ3&lt;1000,DJ3+10,DJ3+20)))</f>
        <v/>
      </c>
      <c r="DL2" s="278" t="s">
        <v>173</v>
      </c>
      <c r="DM2" s="278"/>
      <c r="DN2" s="278"/>
      <c r="DO2" s="14" t="str">
        <f>IF(DO3="","",IF(AND(DO5="Y",DO6="N"),DO3,IF(DO3&lt;1000,DO3+10,DO3+20)))</f>
        <v/>
      </c>
      <c r="DQ2" s="278" t="s">
        <v>173</v>
      </c>
      <c r="DR2" s="278"/>
      <c r="DS2" s="278"/>
      <c r="DT2" s="14" t="str">
        <f>IF(DT3="","",IF(AND(DT5="Y",DT6="N"),DT3,IF(DT3&lt;1000,DT3+10,DT3+20)))</f>
        <v/>
      </c>
      <c r="DV2" s="278" t="s">
        <v>173</v>
      </c>
      <c r="DW2" s="278"/>
      <c r="DX2" s="278"/>
      <c r="DY2" s="14" t="str">
        <f>IF(DY3="","",IF(AND(DY5="Y",DY6="N"),DY3,IF(DY3&lt;1000,DY3+10,DY3+20)))</f>
        <v/>
      </c>
      <c r="EA2" s="278" t="s">
        <v>173</v>
      </c>
      <c r="EB2" s="278"/>
      <c r="EC2" s="278"/>
      <c r="ED2" s="14" t="str">
        <f>IF(ED3="","",IF(AND(ED5="Y",ED6="N"),ED3,IF(ED3&lt;1000,ED3+10,ED3+20)))</f>
        <v/>
      </c>
      <c r="EF2" s="278" t="s">
        <v>173</v>
      </c>
      <c r="EG2" s="278"/>
      <c r="EH2" s="278"/>
      <c r="EI2" s="14" t="str">
        <f>IF(EI3="","",IF(AND(EI5="Y",EI6="N"),EI3,IF(EI3&lt;1000,EI3+10,EI3+20)))</f>
        <v/>
      </c>
      <c r="EK2" s="278" t="s">
        <v>173</v>
      </c>
      <c r="EL2" s="278"/>
      <c r="EM2" s="278"/>
      <c r="EN2" s="14" t="str">
        <f>IF(EN3="","",IF(AND(EN5="Y",EN6="N"),EN3,IF(EN3&lt;1000,EN3+10,EN3+20)))</f>
        <v/>
      </c>
      <c r="EP2" s="278" t="s">
        <v>173</v>
      </c>
      <c r="EQ2" s="278"/>
      <c r="ER2" s="278"/>
      <c r="ES2" s="14" t="str">
        <f>IF(ES3="","",IF(AND(ES5="Y",ES6="N"),ES3,IF(ES3&lt;1000,ES3+10,ES3+20)))</f>
        <v/>
      </c>
      <c r="EU2" s="278" t="s">
        <v>173</v>
      </c>
      <c r="EV2" s="278"/>
      <c r="EW2" s="278"/>
      <c r="EX2" s="14" t="str">
        <f>IF(EX3="","",IF(AND(EX5="Y",EX6="N"),EX3,IF(EX3&lt;1000,EX3+10,EX3+20)))</f>
        <v/>
      </c>
      <c r="EZ2" s="278" t="s">
        <v>173</v>
      </c>
      <c r="FA2" s="278"/>
      <c r="FB2" s="278"/>
      <c r="FC2" s="14" t="str">
        <f>IF(FC3="","",IF(AND(FC5="Y",FC6="N"),FC3,IF(FC3&lt;1000,FC3+10,FC3+20)))</f>
        <v/>
      </c>
      <c r="FE2" s="278" t="s">
        <v>173</v>
      </c>
      <c r="FF2" s="278"/>
      <c r="FG2" s="278"/>
      <c r="FH2" s="14" t="str">
        <f>IF(FH3="","",IF(AND(FH5="Y",FH6="N"),FH3,IF(FH3&lt;1000,FH3+10,FH3+20)))</f>
        <v/>
      </c>
      <c r="FJ2" s="278" t="s">
        <v>173</v>
      </c>
      <c r="FK2" s="278"/>
      <c r="FL2" s="278"/>
      <c r="FM2" s="14" t="str">
        <f>IF(FM3="","",IF(AND(FM5="Y",FM6="N"),FM3,IF(FM3&lt;1000,FM3+10,FM3+20)))</f>
        <v/>
      </c>
      <c r="FO2" s="278" t="s">
        <v>173</v>
      </c>
      <c r="FP2" s="278"/>
      <c r="FQ2" s="278"/>
      <c r="FR2" s="14" t="str">
        <f>IF(FR3="","",IF(AND(FR5="Y",FR6="N"),FR3,IF(FR3&lt;1000,FR3+10,FR3+20)))</f>
        <v/>
      </c>
      <c r="FT2" s="278" t="s">
        <v>173</v>
      </c>
      <c r="FU2" s="278"/>
      <c r="FV2" s="278"/>
      <c r="FW2" s="14" t="str">
        <f>IF(FW3="","",IF(AND(FW5="Y",FW6="N"),FW3,IF(FW3&lt;1000,FW3+10,FW3+20)))</f>
        <v/>
      </c>
      <c r="FY2" s="278" t="s">
        <v>173</v>
      </c>
      <c r="FZ2" s="278"/>
      <c r="GA2" s="278"/>
      <c r="GB2" s="14" t="str">
        <f>IF(GB3="","",IF(AND(GB5="Y",GB6="N"),GB3,IF(GB3&lt;1000,GB3+10,GB3+20)))</f>
        <v/>
      </c>
      <c r="GD2" s="278" t="s">
        <v>173</v>
      </c>
      <c r="GE2" s="278"/>
      <c r="GF2" s="278"/>
      <c r="GG2" s="14" t="str">
        <f>IF(GG3="","",IF(AND(GG5="Y",GG6="N"),GG3,IF(GG3&lt;1000,GG3+10,GG3+20)))</f>
        <v/>
      </c>
      <c r="GI2" s="278" t="s">
        <v>173</v>
      </c>
      <c r="GJ2" s="278"/>
      <c r="GK2" s="278"/>
      <c r="GL2" s="14" t="str">
        <f>IF(GL3="","",IF(AND(GL5="Y",GL6="N"),GL3,IF(GL3&lt;1000,GL3+10,GL3+20)))</f>
        <v/>
      </c>
      <c r="GN2" s="278" t="s">
        <v>173</v>
      </c>
      <c r="GO2" s="278"/>
      <c r="GP2" s="278"/>
      <c r="GQ2" s="14" t="str">
        <f>IF(GQ3="","",IF(AND(GQ5="Y",GQ6="N"),GQ3,IF(GQ3&lt;1000,GQ3+10,GQ3+20)))</f>
        <v/>
      </c>
      <c r="GS2" s="278" t="s">
        <v>173</v>
      </c>
      <c r="GT2" s="278"/>
      <c r="GU2" s="278"/>
      <c r="GV2" s="14" t="str">
        <f>IF(GV3="","",IF(AND(GV5="Y",GV6="N"),GV3,IF(GV3&lt;1000,GV3+10,GV3+20)))</f>
        <v/>
      </c>
      <c r="GX2" s="278" t="s">
        <v>173</v>
      </c>
      <c r="GY2" s="278"/>
      <c r="GZ2" s="278"/>
      <c r="HA2" s="14" t="str">
        <f>IF(HA3="","",IF(AND(HA5="Y",HA6="N"),HA3,IF(HA3&lt;1000,HA3+10,HA3+20)))</f>
        <v/>
      </c>
      <c r="HC2" s="278" t="s">
        <v>173</v>
      </c>
      <c r="HD2" s="278"/>
      <c r="HE2" s="278"/>
      <c r="HF2" s="14" t="str">
        <f>IF(HF3="","",IF(AND(HF5="Y",HF6="N"),HF3,IF(HF3&lt;1000,HF3+10,HF3+20)))</f>
        <v/>
      </c>
      <c r="HH2" s="278" t="s">
        <v>173</v>
      </c>
      <c r="HI2" s="278"/>
      <c r="HJ2" s="278"/>
      <c r="HK2" s="14" t="str">
        <f>IF(HK3="","",IF(AND(HK5="Y",HK6="N"),HK3,IF(HK3&lt;1000,HK3+10,HK3+20)))</f>
        <v/>
      </c>
      <c r="HM2" s="278" t="s">
        <v>173</v>
      </c>
      <c r="HN2" s="278"/>
      <c r="HO2" s="278"/>
      <c r="HP2" s="14" t="str">
        <f>IF(HP3="","",IF(AND(HP5="Y",HP6="N"),HP3,IF(HP3&lt;1000,HP3+10,HP3+20)))</f>
        <v/>
      </c>
      <c r="HR2" s="278" t="s">
        <v>173</v>
      </c>
      <c r="HS2" s="278"/>
      <c r="HT2" s="278"/>
      <c r="HU2" s="14" t="str">
        <f>IF(HU3="","",IF(AND(HU5="Y",HU6="N"),HU3,IF(HU3&lt;1000,HU3+10,HU3+20)))</f>
        <v/>
      </c>
      <c r="HW2" s="278" t="s">
        <v>173</v>
      </c>
      <c r="HX2" s="278"/>
      <c r="HY2" s="278"/>
      <c r="HZ2" s="14" t="str">
        <f>IF(HZ3="","",IF(AND(HZ5="Y",HZ6="N"),HZ3,IF(HZ3&lt;1000,HZ3+10,HZ3+20)))</f>
        <v/>
      </c>
      <c r="IB2" s="278" t="s">
        <v>173</v>
      </c>
      <c r="IC2" s="278"/>
      <c r="ID2" s="278"/>
      <c r="IE2" s="14" t="str">
        <f>IF(IE3="","",IF(AND(IE5="Y",IE6="N"),IE3,IF(IE3&lt;1000,IE3+10,IE3+20)))</f>
        <v/>
      </c>
      <c r="IG2" s="278" t="s">
        <v>173</v>
      </c>
      <c r="IH2" s="278"/>
      <c r="II2" s="278"/>
      <c r="IJ2" s="14" t="str">
        <f>IF(IJ3="","",IF(AND(IJ5="Y",IJ6="N"),IJ3,IF(IJ3&lt;1000,IJ3+10,IJ3+20)))</f>
        <v/>
      </c>
      <c r="IL2" s="278" t="s">
        <v>173</v>
      </c>
      <c r="IM2" s="278"/>
      <c r="IN2" s="278"/>
      <c r="IO2" s="14" t="str">
        <f>IF(IO3="","",IF(AND(IO5="Y",IO6="N"),IO3,IF(IO3&lt;1000,IO3+10,IO3+20)))</f>
        <v/>
      </c>
    </row>
    <row r="3" spans="1:250" x14ac:dyDescent="0.25">
      <c r="A3" s="278" t="s">
        <v>174</v>
      </c>
      <c r="B3" s="278"/>
      <c r="C3" s="278"/>
      <c r="D3" s="15">
        <f>IF(E3="","",SUM(E3,E5,E6))</f>
        <v>2550</v>
      </c>
      <c r="E3" s="16">
        <f>IF(E9="","",SUM(E9:E208,B9:B208,D9:D208))</f>
        <v>2525</v>
      </c>
      <c r="F3" s="278" t="s">
        <v>174</v>
      </c>
      <c r="G3" s="278"/>
      <c r="H3" s="278"/>
      <c r="I3" s="15">
        <f>IF(J3="","",SUM(J3,J5,J6))</f>
        <v>1292</v>
      </c>
      <c r="J3" s="16">
        <f>IF(J9="","",SUM(J9:J208,G9:G208,I9:I208))</f>
        <v>1262</v>
      </c>
      <c r="K3" s="278" t="s">
        <v>174</v>
      </c>
      <c r="L3" s="278"/>
      <c r="M3" s="278"/>
      <c r="N3" s="15">
        <f>IF(O3="","",SUM(O3,O5,O6))</f>
        <v>704</v>
      </c>
      <c r="O3" s="16">
        <f>IF(O9="","",SUM(O9:O208,L9:L208,N9:N208))</f>
        <v>674</v>
      </c>
      <c r="P3" s="278" t="s">
        <v>174</v>
      </c>
      <c r="Q3" s="278"/>
      <c r="R3" s="278"/>
      <c r="S3" s="15">
        <f>IF(T3="","",SUM(T3,T5,T6))</f>
        <v>672</v>
      </c>
      <c r="T3" s="16">
        <f>IF(T9="","",SUM(T9:T208,Q9:Q208,S9:S208))</f>
        <v>672</v>
      </c>
      <c r="U3" s="278" t="s">
        <v>174</v>
      </c>
      <c r="V3" s="278"/>
      <c r="W3" s="278"/>
      <c r="X3" s="15">
        <f>IF(Y3="","",SUM(Y3,Y5,Y6))</f>
        <v>466</v>
      </c>
      <c r="Y3" s="16">
        <f>IF(Y9="","",SUM(Y9:Y208,V9:V208,X9:X208))</f>
        <v>451</v>
      </c>
      <c r="Z3" s="278" t="s">
        <v>174</v>
      </c>
      <c r="AA3" s="278"/>
      <c r="AB3" s="278"/>
      <c r="AC3" s="15">
        <f>IF(AD3="","",SUM(AD3,AD5,AD6))</f>
        <v>1371</v>
      </c>
      <c r="AD3" s="16">
        <f>IF(AD9="","",SUM(AD9:AD208,AA9:AA208,AC9:AC208))</f>
        <v>1371</v>
      </c>
      <c r="AE3" s="278" t="s">
        <v>174</v>
      </c>
      <c r="AF3" s="278"/>
      <c r="AG3" s="278"/>
      <c r="AH3" s="15">
        <f>IF(AI3="","",SUM(AI3,AI5,AI6))</f>
        <v>1204</v>
      </c>
      <c r="AI3" s="16">
        <f>IF(AI9="","",SUM(AI9:AI208,AF9:AF208,AH9:AH208))</f>
        <v>1174</v>
      </c>
      <c r="AJ3" s="278" t="s">
        <v>174</v>
      </c>
      <c r="AK3" s="278"/>
      <c r="AL3" s="278"/>
      <c r="AM3" s="15">
        <f>IF(AN3="","",SUM(AN3,AN5,AN6))</f>
        <v>360</v>
      </c>
      <c r="AN3" s="16">
        <f>IF(AN9="","",SUM(AN9:AN208,AK9:AK208,AM9:AM208))</f>
        <v>330</v>
      </c>
      <c r="AO3" s="278" t="s">
        <v>174</v>
      </c>
      <c r="AP3" s="278"/>
      <c r="AQ3" s="278"/>
      <c r="AR3" s="15">
        <f>IF(AS3="","",SUM(AS3,AS5,AS6))</f>
        <v>2166</v>
      </c>
      <c r="AS3" s="16">
        <f>IF(AS9="","",SUM(AS9:AS208,AP9:AP208,AR9:AR208))</f>
        <v>2166</v>
      </c>
      <c r="AT3" s="278" t="s">
        <v>174</v>
      </c>
      <c r="AU3" s="278"/>
      <c r="AV3" s="278"/>
      <c r="AW3" s="15">
        <f>IF(AX3="","",SUM(AX3,AX5,AX6))</f>
        <v>1256</v>
      </c>
      <c r="AX3" s="16">
        <f>IF(AX9="","",SUM(AX9:AX208,AU9:AU208,AW9:AW208))</f>
        <v>1241</v>
      </c>
      <c r="AY3" s="278" t="s">
        <v>174</v>
      </c>
      <c r="AZ3" s="278"/>
      <c r="BA3" s="278"/>
      <c r="BB3" s="15">
        <f>IF(BC3="","",SUM(BC3,BC5,BC6))</f>
        <v>1213</v>
      </c>
      <c r="BC3" s="16">
        <f>IF(BC9="","",SUM(BC9:BC208,AZ9:AZ208,BB9:BB208))</f>
        <v>1198</v>
      </c>
      <c r="BD3" s="278" t="s">
        <v>174</v>
      </c>
      <c r="BE3" s="278"/>
      <c r="BF3" s="278"/>
      <c r="BG3" s="15">
        <f>IF(BH3="","",SUM(BH3,BH5,BH6))</f>
        <v>280</v>
      </c>
      <c r="BH3" s="16">
        <f>IF(BH9="","",SUM(BH9:BH208,BE9:BE208,BG9:BG208))</f>
        <v>250</v>
      </c>
      <c r="BI3" s="278" t="s">
        <v>174</v>
      </c>
      <c r="BJ3" s="278"/>
      <c r="BK3" s="278"/>
      <c r="BL3" s="15" t="str">
        <f>IF(BM3="","",SUM(BM3,BM5,BM6))</f>
        <v/>
      </c>
      <c r="BM3" s="16" t="str">
        <f>IF(BM9="","",SUM(BM9:BM208,BJ9:BJ208,BL9:BL208))</f>
        <v/>
      </c>
      <c r="BN3" s="278" t="s">
        <v>174</v>
      </c>
      <c r="BO3" s="278"/>
      <c r="BP3" s="278"/>
      <c r="BQ3" s="15" t="str">
        <f>IF(BR3="","",SUM(BR3,BR5,BR6))</f>
        <v/>
      </c>
      <c r="BR3" s="16" t="str">
        <f>IF(BR9="","",SUM(BR9:BR208,BO9:BO208,BQ9:BQ208))</f>
        <v/>
      </c>
      <c r="BS3" s="278" t="s">
        <v>174</v>
      </c>
      <c r="BT3" s="278"/>
      <c r="BU3" s="278"/>
      <c r="BV3" s="15" t="str">
        <f>IF(BW3="","",SUM(BW3,BW5,BW6))</f>
        <v/>
      </c>
      <c r="BW3" s="16" t="str">
        <f>IF(BW9="","",SUM(BW9:BW208,BT9:BT208,BV9:BV208))</f>
        <v/>
      </c>
      <c r="BX3" s="278" t="s">
        <v>174</v>
      </c>
      <c r="BY3" s="278"/>
      <c r="BZ3" s="278"/>
      <c r="CA3" s="15" t="str">
        <f>IF(CB3="","",SUM(CB3,CB5,CB6))</f>
        <v/>
      </c>
      <c r="CB3" s="16" t="str">
        <f>IF(CB9="","",SUM(CB9:CB208,BY9:BY208,CA9:CA208))</f>
        <v/>
      </c>
      <c r="CC3" s="278" t="s">
        <v>174</v>
      </c>
      <c r="CD3" s="278"/>
      <c r="CE3" s="278"/>
      <c r="CF3" s="15" t="str">
        <f>IF(CG3="","",SUM(CG3,CG5,CG6))</f>
        <v/>
      </c>
      <c r="CG3" s="16" t="str">
        <f>IF(CG9="","",SUM(CG9:CG208,CD9:CD208,CF9:CF208))</f>
        <v/>
      </c>
      <c r="CH3" s="278" t="s">
        <v>174</v>
      </c>
      <c r="CI3" s="278"/>
      <c r="CJ3" s="278"/>
      <c r="CK3" s="15" t="str">
        <f>IF(CL3="","",SUM(CL3,CL5,CL6))</f>
        <v/>
      </c>
      <c r="CL3" s="16" t="str">
        <f>IF(CL9="","",SUM(CL9:CL208,CI9:CI208,CK9:CK208))</f>
        <v/>
      </c>
      <c r="CM3" s="278" t="s">
        <v>174</v>
      </c>
      <c r="CN3" s="278"/>
      <c r="CO3" s="278"/>
      <c r="CP3" s="15" t="str">
        <f>IF(CQ3="","",SUM(CQ3,CQ5,CQ6))</f>
        <v/>
      </c>
      <c r="CQ3" s="16" t="str">
        <f>IF(CQ9="","",SUM(CQ9:CQ208,CN9:CN208,CP9:CP208))</f>
        <v/>
      </c>
      <c r="CR3" s="278" t="s">
        <v>174</v>
      </c>
      <c r="CS3" s="278"/>
      <c r="CT3" s="278"/>
      <c r="CU3" s="15" t="str">
        <f>IF(CV3="","",SUM(CV3,CV5,CV6))</f>
        <v/>
      </c>
      <c r="CV3" s="16" t="str">
        <f>IF(CV9="","",SUM(CV9:CV208,CS9:CS208,CU9:CU208))</f>
        <v/>
      </c>
      <c r="CW3" s="278" t="s">
        <v>174</v>
      </c>
      <c r="CX3" s="278"/>
      <c r="CY3" s="278"/>
      <c r="CZ3" s="15" t="str">
        <f>IF(DA3="","",SUM(DA3,DA5,DA6))</f>
        <v/>
      </c>
      <c r="DA3" s="16" t="str">
        <f>IF(DA9="","",SUM(DA9:DA208,CX9:CX208,CZ9:CZ208))</f>
        <v/>
      </c>
      <c r="DB3" s="278" t="s">
        <v>174</v>
      </c>
      <c r="DC3" s="278"/>
      <c r="DD3" s="278"/>
      <c r="DE3" s="15" t="str">
        <f>IF(DF3="","",SUM(DF3,DF5,DF6))</f>
        <v/>
      </c>
      <c r="DF3" s="16" t="str">
        <f>IF(DF9="","",SUM(DF9:DF208,DC9:DC208,DE9:DE208))</f>
        <v/>
      </c>
      <c r="DG3" s="278" t="s">
        <v>174</v>
      </c>
      <c r="DH3" s="278"/>
      <c r="DI3" s="278"/>
      <c r="DJ3" s="15" t="str">
        <f>IF(DK3="","",SUM(DK3,DK5,DK6))</f>
        <v/>
      </c>
      <c r="DK3" s="16" t="str">
        <f>IF(DK9="","",SUM(DK9:DK208,DH9:DH208,DJ9:DJ208))</f>
        <v/>
      </c>
      <c r="DL3" s="278" t="s">
        <v>174</v>
      </c>
      <c r="DM3" s="278"/>
      <c r="DN3" s="278"/>
      <c r="DO3" s="15" t="str">
        <f>IF(DP3="","",SUM(DP3,DP5,DP6))</f>
        <v/>
      </c>
      <c r="DP3" s="16" t="str">
        <f>IF(DP9="","",SUM(DP9:DP208,DM9:DM208,DO9:DO208))</f>
        <v/>
      </c>
      <c r="DQ3" s="278" t="s">
        <v>174</v>
      </c>
      <c r="DR3" s="278"/>
      <c r="DS3" s="278"/>
      <c r="DT3" s="15" t="str">
        <f>IF(DU3="","",SUM(DU3,DU5,DU6))</f>
        <v/>
      </c>
      <c r="DU3" s="16" t="str">
        <f>IF(DU9="","",SUM(DU9:DU208,DR9:DR208,DT9:DT208))</f>
        <v/>
      </c>
      <c r="DV3" s="278" t="s">
        <v>174</v>
      </c>
      <c r="DW3" s="278"/>
      <c r="DX3" s="278"/>
      <c r="DY3" s="15" t="str">
        <f>IF(DZ3="","",SUM(DZ3,DZ5,DZ6))</f>
        <v/>
      </c>
      <c r="DZ3" s="16" t="str">
        <f>IF(DZ9="","",SUM(DZ9:DZ208,DW9:DW208,DY9:DY208))</f>
        <v/>
      </c>
      <c r="EA3" s="278" t="s">
        <v>174</v>
      </c>
      <c r="EB3" s="278"/>
      <c r="EC3" s="278"/>
      <c r="ED3" s="15" t="str">
        <f>IF(EE3="","",SUM(EE3,EE5,EE6))</f>
        <v/>
      </c>
      <c r="EE3" s="16" t="str">
        <f>IF(EE9="","",SUM(EE9:EE208,EB9:EB208,ED9:ED208))</f>
        <v/>
      </c>
      <c r="EF3" s="278" t="s">
        <v>174</v>
      </c>
      <c r="EG3" s="278"/>
      <c r="EH3" s="278"/>
      <c r="EI3" s="15" t="str">
        <f>IF(EJ3="","",SUM(EJ3,EJ5,EJ6))</f>
        <v/>
      </c>
      <c r="EJ3" s="16" t="str">
        <f>IF(EJ9="","",SUM(EJ9:EJ208,EG9:EG208,EI9:EI208))</f>
        <v/>
      </c>
      <c r="EK3" s="278" t="s">
        <v>174</v>
      </c>
      <c r="EL3" s="278"/>
      <c r="EM3" s="278"/>
      <c r="EN3" s="15" t="str">
        <f>IF(EO3="","",SUM(EO3,EO5,EO6))</f>
        <v/>
      </c>
      <c r="EO3" s="16" t="str">
        <f>IF(EO9="","",SUM(EO9:EO208,EL9:EL208,EN9:EN208))</f>
        <v/>
      </c>
      <c r="EP3" s="278" t="s">
        <v>174</v>
      </c>
      <c r="EQ3" s="278"/>
      <c r="ER3" s="278"/>
      <c r="ES3" s="15" t="str">
        <f>IF(ET3="","",SUM(ET3,ET5,ET6))</f>
        <v/>
      </c>
      <c r="ET3" s="16" t="str">
        <f>IF(ET9="","",SUM(ET9:ET208,EQ9:EQ208,ES9:ES208))</f>
        <v/>
      </c>
      <c r="EU3" s="278" t="s">
        <v>174</v>
      </c>
      <c r="EV3" s="278"/>
      <c r="EW3" s="278"/>
      <c r="EX3" s="15" t="str">
        <f>IF(EY3="","",SUM(EY3,EY5,EY6))</f>
        <v/>
      </c>
      <c r="EY3" s="16" t="str">
        <f>IF(EY9="","",SUM(EY9:EY208,EV9:EV208,EX9:EX208))</f>
        <v/>
      </c>
      <c r="EZ3" s="278" t="s">
        <v>174</v>
      </c>
      <c r="FA3" s="278"/>
      <c r="FB3" s="278"/>
      <c r="FC3" s="15" t="str">
        <f>IF(FD3="","",SUM(FD3,FD5,FD6))</f>
        <v/>
      </c>
      <c r="FD3" s="16" t="str">
        <f>IF(FD9="","",SUM(FD9:FD208,FA9:FA208,FC9:FC208))</f>
        <v/>
      </c>
      <c r="FE3" s="278" t="s">
        <v>174</v>
      </c>
      <c r="FF3" s="278"/>
      <c r="FG3" s="278"/>
      <c r="FH3" s="15" t="str">
        <f>IF(FI3="","",SUM(FI3,FI5,FI6))</f>
        <v/>
      </c>
      <c r="FI3" s="16" t="str">
        <f>IF(FI9="","",SUM(FI9:FI208,FF9:FF208,FH9:FH208))</f>
        <v/>
      </c>
      <c r="FJ3" s="278" t="s">
        <v>174</v>
      </c>
      <c r="FK3" s="278"/>
      <c r="FL3" s="278"/>
      <c r="FM3" s="15" t="str">
        <f>IF(FN3="","",SUM(FN3,FN5,FN6))</f>
        <v/>
      </c>
      <c r="FN3" s="16" t="str">
        <f>IF(FN9="","",SUM(FN9:FN208,FK9:FK208,FM9:FM208))</f>
        <v/>
      </c>
      <c r="FO3" s="278" t="s">
        <v>174</v>
      </c>
      <c r="FP3" s="278"/>
      <c r="FQ3" s="278"/>
      <c r="FR3" s="15" t="str">
        <f>IF(FS3="","",SUM(FS3,FS5,FS6))</f>
        <v/>
      </c>
      <c r="FS3" s="16" t="str">
        <f>IF(FS9="","",SUM(FS9:FS208,FP9:FP208,FR9:FR208))</f>
        <v/>
      </c>
      <c r="FT3" s="278" t="s">
        <v>174</v>
      </c>
      <c r="FU3" s="278"/>
      <c r="FV3" s="278"/>
      <c r="FW3" s="15" t="str">
        <f>IF(FX3="","",SUM(FX3,FX5,FX6))</f>
        <v/>
      </c>
      <c r="FX3" s="16" t="str">
        <f>IF(FX9="","",SUM(FX9:FX208,FU9:FU208,FW9:FW208))</f>
        <v/>
      </c>
      <c r="FY3" s="278" t="s">
        <v>174</v>
      </c>
      <c r="FZ3" s="278"/>
      <c r="GA3" s="278"/>
      <c r="GB3" s="15" t="str">
        <f>IF(GC3="","",SUM(GC3,GC5,GC6))</f>
        <v/>
      </c>
      <c r="GC3" s="16" t="str">
        <f>IF(GC9="","",SUM(GC9:GC208,FZ9:FZ208,GB9:GB208))</f>
        <v/>
      </c>
      <c r="GD3" s="278" t="s">
        <v>174</v>
      </c>
      <c r="GE3" s="278"/>
      <c r="GF3" s="278"/>
      <c r="GG3" s="15" t="str">
        <f>IF(GH3="","",SUM(GH3,GH5,GH6))</f>
        <v/>
      </c>
      <c r="GH3" s="16" t="str">
        <f>IF(GH9="","",SUM(GH9:GH208,GE9:GE208,GG9:GG208))</f>
        <v/>
      </c>
      <c r="GI3" s="278" t="s">
        <v>174</v>
      </c>
      <c r="GJ3" s="278"/>
      <c r="GK3" s="278"/>
      <c r="GL3" s="15" t="str">
        <f>IF(GM3="","",SUM(GM3,GM5,GM6))</f>
        <v/>
      </c>
      <c r="GM3" s="16" t="str">
        <f>IF(GM9="","",SUM(GM9:GM208,GJ9:GJ208,GL9:GL208))</f>
        <v/>
      </c>
      <c r="GN3" s="278" t="s">
        <v>174</v>
      </c>
      <c r="GO3" s="278"/>
      <c r="GP3" s="278"/>
      <c r="GQ3" s="15" t="str">
        <f>IF(GR3="","",SUM(GR3,GR5,GR6))</f>
        <v/>
      </c>
      <c r="GR3" s="16" t="str">
        <f>IF(GR9="","",SUM(GR9:GR208,GO9:GO208,GQ9:GQ208))</f>
        <v/>
      </c>
      <c r="GS3" s="278" t="s">
        <v>174</v>
      </c>
      <c r="GT3" s="278"/>
      <c r="GU3" s="278"/>
      <c r="GV3" s="15" t="str">
        <f>IF(GW3="","",SUM(GW3,GW5,GW6))</f>
        <v/>
      </c>
      <c r="GW3" s="16" t="str">
        <f>IF(GW9="","",SUM(GW9:GW208,GT9:GT208,GV9:GV208))</f>
        <v/>
      </c>
      <c r="GX3" s="278" t="s">
        <v>174</v>
      </c>
      <c r="GY3" s="278"/>
      <c r="GZ3" s="278"/>
      <c r="HA3" s="15" t="str">
        <f>IF(HB3="","",SUM(HB3,HB5,HB6))</f>
        <v/>
      </c>
      <c r="HB3" s="16" t="str">
        <f>IF(HB9="","",SUM(HB9:HB208,GY9:GY208,HA9:HA208))</f>
        <v/>
      </c>
      <c r="HC3" s="278" t="s">
        <v>174</v>
      </c>
      <c r="HD3" s="278"/>
      <c r="HE3" s="278"/>
      <c r="HF3" s="15" t="str">
        <f>IF(HG3="","",SUM(HG3,HG5,HG6))</f>
        <v/>
      </c>
      <c r="HG3" s="16" t="str">
        <f>IF(HG9="","",SUM(HG9:HG208,HD9:HD208,HF9:HF208))</f>
        <v/>
      </c>
      <c r="HH3" s="278" t="s">
        <v>174</v>
      </c>
      <c r="HI3" s="278"/>
      <c r="HJ3" s="278"/>
      <c r="HK3" s="15" t="str">
        <f>IF(HL3="","",SUM(HL3,HL5,HL6))</f>
        <v/>
      </c>
      <c r="HL3" s="16" t="str">
        <f>IF(HL9="","",SUM(HL9:HL208,HI9:HI208,HK9:HK208))</f>
        <v/>
      </c>
      <c r="HM3" s="278" t="s">
        <v>174</v>
      </c>
      <c r="HN3" s="278"/>
      <c r="HO3" s="278"/>
      <c r="HP3" s="15" t="str">
        <f>IF(HQ3="","",SUM(HQ3,HQ5,HQ6))</f>
        <v/>
      </c>
      <c r="HQ3" s="16" t="str">
        <f>IF(HQ9="","",SUM(HQ9:HQ208,HN9:HN208,HP9:HP208))</f>
        <v/>
      </c>
      <c r="HR3" s="278" t="s">
        <v>174</v>
      </c>
      <c r="HS3" s="278"/>
      <c r="HT3" s="278"/>
      <c r="HU3" s="15" t="str">
        <f>IF(HV3="","",SUM(HV3,HV5,HV6))</f>
        <v/>
      </c>
      <c r="HV3" s="16" t="str">
        <f>IF(HV9="","",SUM(HV9:HV208,HS9:HS208,HU9:HU208))</f>
        <v/>
      </c>
      <c r="HW3" s="278" t="s">
        <v>174</v>
      </c>
      <c r="HX3" s="278"/>
      <c r="HY3" s="278"/>
      <c r="HZ3" s="15" t="str">
        <f>IF(IA3="","",SUM(IA3,IA5,IA6))</f>
        <v/>
      </c>
      <c r="IA3" s="16" t="str">
        <f>IF(IA9="","",SUM(IA9:IA208,HX9:HX208,HZ9:HZ208))</f>
        <v/>
      </c>
      <c r="IB3" s="278" t="s">
        <v>174</v>
      </c>
      <c r="IC3" s="278"/>
      <c r="ID3" s="278"/>
      <c r="IE3" s="15" t="str">
        <f>IF(IF3="","",SUM(IF3,IF5,IF6))</f>
        <v/>
      </c>
      <c r="IF3" s="16" t="str">
        <f>IF(IF9="","",SUM(IF9:IF208,IC9:IC208,IE9:IE208))</f>
        <v/>
      </c>
      <c r="IG3" s="278" t="s">
        <v>174</v>
      </c>
      <c r="IH3" s="278"/>
      <c r="II3" s="278"/>
      <c r="IJ3" s="15" t="str">
        <f>IF(IK3="","",SUM(IK3,IK5,IK6))</f>
        <v/>
      </c>
      <c r="IK3" s="16" t="str">
        <f>IF(IK9="","",SUM(IK9:IK208,IH9:IH208,IJ9:IJ208))</f>
        <v/>
      </c>
      <c r="IL3" s="278" t="s">
        <v>174</v>
      </c>
      <c r="IM3" s="278"/>
      <c r="IN3" s="278"/>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178</v>
      </c>
      <c r="U4" s="274" t="s">
        <v>175</v>
      </c>
      <c r="V4" s="275"/>
      <c r="W4" s="276"/>
      <c r="X4" s="117" t="s">
        <v>179</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179</v>
      </c>
      <c r="J5" s="16">
        <f>IF(I4="N","0",IF(I5="Y",J7/2,"0"))</f>
        <v>15</v>
      </c>
      <c r="K5" s="274" t="s">
        <v>176</v>
      </c>
      <c r="L5" s="275"/>
      <c r="M5" s="276"/>
      <c r="N5" s="117" t="s">
        <v>179</v>
      </c>
      <c r="O5" s="16">
        <f>IF(N4="N","0",IF(N5="Y",O7/2,"0"))</f>
        <v>15</v>
      </c>
      <c r="P5" s="274" t="s">
        <v>176</v>
      </c>
      <c r="Q5" s="275"/>
      <c r="R5" s="276"/>
      <c r="S5" s="117" t="s">
        <v>178</v>
      </c>
      <c r="T5" s="16" t="str">
        <f>IF(S4="N","0",IF(S5="Y",T7/2,"0"))</f>
        <v>0</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179</v>
      </c>
      <c r="AI5" s="16">
        <f>IF(AH4="N","0",IF(AH5="Y",AI7/2,"0"))</f>
        <v>15</v>
      </c>
      <c r="AJ5" s="274" t="s">
        <v>176</v>
      </c>
      <c r="AK5" s="275"/>
      <c r="AL5" s="276"/>
      <c r="AM5" s="117" t="s">
        <v>179</v>
      </c>
      <c r="AN5" s="16">
        <f>IF(AM4="N","0",IF(AM5="Y",AN7/2,"0"))</f>
        <v>15</v>
      </c>
      <c r="AO5" s="274" t="s">
        <v>176</v>
      </c>
      <c r="AP5" s="275"/>
      <c r="AQ5" s="276"/>
      <c r="AR5" s="117" t="s">
        <v>178</v>
      </c>
      <c r="AS5" s="16" t="str">
        <f>IF(AR4="N","0",IF(AR5="Y",AS7/2,"0"))</f>
        <v>0</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179</v>
      </c>
      <c r="BH5" s="16">
        <f>IF(BG4="N","0",IF(BG5="Y",BH7/2,"0"))</f>
        <v>15</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178</v>
      </c>
      <c r="E6" s="16">
        <f>IF(D4="N","0",IF(D6="N",E7/2,"0"))</f>
        <v>25</v>
      </c>
      <c r="F6" s="274" t="s">
        <v>177</v>
      </c>
      <c r="G6" s="275"/>
      <c r="H6" s="276"/>
      <c r="I6" s="117" t="s">
        <v>178</v>
      </c>
      <c r="J6" s="16">
        <f>IF(I4="N","0",IF(I6="N",J7/2,"0"))</f>
        <v>15</v>
      </c>
      <c r="K6" s="274" t="s">
        <v>177</v>
      </c>
      <c r="L6" s="275"/>
      <c r="M6" s="276"/>
      <c r="N6" s="117" t="s">
        <v>178</v>
      </c>
      <c r="O6" s="16">
        <f>IF(N4="N","0",IF(N6="N",O7/2,"0"))</f>
        <v>15</v>
      </c>
      <c r="P6" s="274" t="s">
        <v>177</v>
      </c>
      <c r="Q6" s="275"/>
      <c r="R6" s="276"/>
      <c r="S6" s="117" t="s">
        <v>179</v>
      </c>
      <c r="T6" s="16" t="str">
        <f>IF(S4="N","0",IF(S6="N",T7/2,"0"))</f>
        <v>0</v>
      </c>
      <c r="U6" s="274" t="s">
        <v>177</v>
      </c>
      <c r="V6" s="275"/>
      <c r="W6" s="276"/>
      <c r="X6" s="117" t="s">
        <v>178</v>
      </c>
      <c r="Y6" s="16">
        <f>IF(X4="N","0",IF(X6="N",Y7/2,"0"))</f>
        <v>15</v>
      </c>
      <c r="Z6" s="274" t="s">
        <v>177</v>
      </c>
      <c r="AA6" s="275"/>
      <c r="AB6" s="276"/>
      <c r="AC6" s="117" t="s">
        <v>179</v>
      </c>
      <c r="AD6" s="16" t="str">
        <f>IF(AC4="N","0",IF(AC6="N",AD7/2,"0"))</f>
        <v>0</v>
      </c>
      <c r="AE6" s="274" t="s">
        <v>177</v>
      </c>
      <c r="AF6" s="275"/>
      <c r="AG6" s="276"/>
      <c r="AH6" s="117" t="s">
        <v>178</v>
      </c>
      <c r="AI6" s="16">
        <f>IF(AH4="N","0",IF(AH6="N",AI7/2,"0"))</f>
        <v>15</v>
      </c>
      <c r="AJ6" s="274" t="s">
        <v>177</v>
      </c>
      <c r="AK6" s="275"/>
      <c r="AL6" s="276"/>
      <c r="AM6" s="117" t="s">
        <v>178</v>
      </c>
      <c r="AN6" s="16">
        <f>IF(AM4="N","0",IF(AM6="N",AN7/2,"0"))</f>
        <v>15</v>
      </c>
      <c r="AO6" s="274" t="s">
        <v>177</v>
      </c>
      <c r="AP6" s="275"/>
      <c r="AQ6" s="276"/>
      <c r="AR6" s="117" t="s">
        <v>179</v>
      </c>
      <c r="AS6" s="16" t="str">
        <f>IF(AR4="N","0",IF(AR6="N",AS7/2,"0"))</f>
        <v>0</v>
      </c>
      <c r="AT6" s="274" t="s">
        <v>177</v>
      </c>
      <c r="AU6" s="275"/>
      <c r="AV6" s="276"/>
      <c r="AW6" s="117" t="s">
        <v>178</v>
      </c>
      <c r="AX6" s="16">
        <f>IF(AW4="N","0",IF(AW6="N",AX7/2,"0"))</f>
        <v>15</v>
      </c>
      <c r="AY6" s="274" t="s">
        <v>177</v>
      </c>
      <c r="AZ6" s="275"/>
      <c r="BA6" s="276"/>
      <c r="BB6" s="117" t="s">
        <v>178</v>
      </c>
      <c r="BC6" s="16">
        <f>IF(BB4="N","0",IF(BB6="N",BC7/2,"0"))</f>
        <v>15</v>
      </c>
      <c r="BD6" s="274" t="s">
        <v>177</v>
      </c>
      <c r="BE6" s="275"/>
      <c r="BF6" s="276"/>
      <c r="BG6" s="117" t="s">
        <v>178</v>
      </c>
      <c r="BH6" s="16">
        <f>IF(BG4="N","0",IF(BG6="N",BH7/2,"0"))</f>
        <v>15</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487</v>
      </c>
      <c r="J7" s="16">
        <f>IF(OR(I7="RPX",I7="SS"),30,IF(OR(I7="RPX-T",I7="EUC"),50,0))</f>
        <v>30</v>
      </c>
      <c r="K7" s="274" t="s">
        <v>180</v>
      </c>
      <c r="L7" s="275"/>
      <c r="M7" s="276"/>
      <c r="N7" s="117" t="s">
        <v>487</v>
      </c>
      <c r="O7" s="16">
        <f>IF(OR(N7="RPX",N7="SS"),30,IF(OR(N7="RPX-T",N7="EUC"),50,0))</f>
        <v>30</v>
      </c>
      <c r="P7" s="274" t="s">
        <v>180</v>
      </c>
      <c r="Q7" s="275"/>
      <c r="R7" s="276"/>
      <c r="S7" s="117"/>
      <c r="T7" s="16">
        <f>IF(OR(S7="RPX",S7="SS"),30,IF(OR(S7="RPX-T",S7="EUC"),50,0))</f>
        <v>0</v>
      </c>
      <c r="U7" s="274" t="s">
        <v>180</v>
      </c>
      <c r="V7" s="275"/>
      <c r="W7" s="276"/>
      <c r="X7" s="117" t="s">
        <v>487</v>
      </c>
      <c r="Y7" s="16">
        <f>IF(OR(X7="RPX",X7="SS"),30,IF(OR(X7="RPX-T",X7="EUC"),50,0))</f>
        <v>30</v>
      </c>
      <c r="Z7" s="274" t="s">
        <v>180</v>
      </c>
      <c r="AA7" s="275"/>
      <c r="AB7" s="276"/>
      <c r="AC7" s="117" t="s">
        <v>492</v>
      </c>
      <c r="AD7" s="16">
        <f>IF(OR(AC7="RPX",AC7="SS"),30,IF(OR(AC7="RPX-T",AC7="EUC"),50,0))</f>
        <v>50</v>
      </c>
      <c r="AE7" s="274" t="s">
        <v>180</v>
      </c>
      <c r="AF7" s="275"/>
      <c r="AG7" s="276"/>
      <c r="AH7" s="117" t="s">
        <v>487</v>
      </c>
      <c r="AI7" s="16">
        <f>IF(OR(AH7="RPX",AH7="SS"),30,IF(OR(AH7="RPX-T",AH7="EUC"),50,0))</f>
        <v>30</v>
      </c>
      <c r="AJ7" s="274" t="s">
        <v>180</v>
      </c>
      <c r="AK7" s="275"/>
      <c r="AL7" s="276"/>
      <c r="AM7" s="117" t="s">
        <v>487</v>
      </c>
      <c r="AN7" s="16">
        <f>IF(OR(AM7="RPX",AM7="SS"),30,IF(OR(AM7="RPX-T",AM7="EUC"),50,0))</f>
        <v>30</v>
      </c>
      <c r="AO7" s="274" t="s">
        <v>180</v>
      </c>
      <c r="AP7" s="275"/>
      <c r="AQ7" s="276"/>
      <c r="AR7" s="117" t="s">
        <v>492</v>
      </c>
      <c r="AS7" s="16">
        <f>IF(OR(AR7="RPX",AR7="SS"),30,IF(OR(AR7="RPX-T",AR7="EUC"),50,0))</f>
        <v>50</v>
      </c>
      <c r="AT7" s="274" t="s">
        <v>180</v>
      </c>
      <c r="AU7" s="275"/>
      <c r="AV7" s="276"/>
      <c r="AW7" s="117" t="s">
        <v>487</v>
      </c>
      <c r="AX7" s="16">
        <f>IF(OR(AW7="RPX",AW7="SS"),30,IF(OR(AW7="RPX-T",AW7="EUC"),50,0))</f>
        <v>30</v>
      </c>
      <c r="AY7" s="274" t="s">
        <v>180</v>
      </c>
      <c r="AZ7" s="275"/>
      <c r="BA7" s="276"/>
      <c r="BB7" s="117" t="s">
        <v>487</v>
      </c>
      <c r="BC7" s="16">
        <f>IF(OR(BB7="RPX",BB7="SS"),30,IF(OR(BB7="RPX-T",BB7="EUC"),50,0))</f>
        <v>30</v>
      </c>
      <c r="BD7" s="274" t="s">
        <v>180</v>
      </c>
      <c r="BE7" s="275"/>
      <c r="BF7" s="276"/>
      <c r="BG7" s="117" t="s">
        <v>487</v>
      </c>
      <c r="BH7" s="16">
        <f>IF(OR(BG7="RPX",BG7="SS"),30,IF(OR(BG7="RPX-T",BG7="EUC"),50,0))</f>
        <v>30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96</v>
      </c>
      <c r="B11" s="90"/>
      <c r="C11" s="116"/>
      <c r="D11" s="116"/>
      <c r="E11" s="16">
        <f t="shared" ref="E11:E74" si="1">IF(A11="",C11,A11)</f>
        <v>96</v>
      </c>
      <c r="F11" s="90"/>
      <c r="G11" s="90"/>
      <c r="H11" s="90">
        <v>197</v>
      </c>
      <c r="I11" s="116"/>
      <c r="J11" s="16">
        <f t="shared" ref="J11:J74" si="2">IF(F11="",H11,F11)</f>
        <v>197</v>
      </c>
      <c r="K11" s="90"/>
      <c r="L11" s="90"/>
      <c r="M11" s="90">
        <v>164</v>
      </c>
      <c r="N11" s="116"/>
      <c r="O11" s="16">
        <f t="shared" ref="O11:O74" si="3">IF(K11="",M11,K11)</f>
        <v>164</v>
      </c>
      <c r="P11" s="90">
        <v>96</v>
      </c>
      <c r="Q11" s="90"/>
      <c r="R11" s="90"/>
      <c r="S11" s="116"/>
      <c r="T11" s="16">
        <f t="shared" ref="T11:T74" si="4">IF(P11="",R11,P11)</f>
        <v>96</v>
      </c>
      <c r="U11" s="90"/>
      <c r="V11" s="90"/>
      <c r="W11" s="90">
        <v>70</v>
      </c>
      <c r="X11" s="116"/>
      <c r="Y11" s="16">
        <f t="shared" ref="Y11:Y74" si="5">IF(U11="",W11,U11)</f>
        <v>70</v>
      </c>
      <c r="Z11" s="90"/>
      <c r="AA11" s="90"/>
      <c r="AB11" s="90">
        <v>220</v>
      </c>
      <c r="AC11" s="116"/>
      <c r="AD11" s="16">
        <f t="shared" ref="AD11:AD74" si="6">IF(Z11="",AB11,Z11)</f>
        <v>220</v>
      </c>
      <c r="AE11" s="90"/>
      <c r="AF11" s="90"/>
      <c r="AG11" s="90">
        <v>217</v>
      </c>
      <c r="AH11" s="116"/>
      <c r="AI11" s="16">
        <f t="shared" ref="AI11:AI74" si="7">IF(AE11="",AG11,AE11)</f>
        <v>217</v>
      </c>
      <c r="AJ11" s="90"/>
      <c r="AK11" s="90"/>
      <c r="AL11" s="90">
        <v>203</v>
      </c>
      <c r="AM11" s="116"/>
      <c r="AN11" s="16">
        <f t="shared" ref="AN11:AN74" si="8">IF(AJ11="",AL11,AJ11)</f>
        <v>203</v>
      </c>
      <c r="AO11" s="90"/>
      <c r="AP11" s="90"/>
      <c r="AQ11" s="90">
        <v>186</v>
      </c>
      <c r="AR11" s="116"/>
      <c r="AS11" s="16">
        <f t="shared" ref="AS11:AS74" si="9">IF(AO11="",AQ11,AO11)</f>
        <v>186</v>
      </c>
      <c r="AT11" s="90"/>
      <c r="AU11" s="90"/>
      <c r="AV11" s="90">
        <v>207</v>
      </c>
      <c r="AW11" s="116"/>
      <c r="AX11" s="16">
        <f t="shared" ref="AX11:AX74" si="10">IF(AT11="",AV11,AT11)</f>
        <v>207</v>
      </c>
      <c r="AY11" s="90"/>
      <c r="AZ11" s="90"/>
      <c r="BA11" s="90">
        <v>185</v>
      </c>
      <c r="BB11" s="116"/>
      <c r="BC11" s="16">
        <f t="shared" ref="BC11:BC74" si="11">IF(AY11="",BA11,AY11)</f>
        <v>185</v>
      </c>
      <c r="BD11" s="90"/>
      <c r="BE11" s="90"/>
      <c r="BF11" s="90">
        <v>200</v>
      </c>
      <c r="BG11" s="116"/>
      <c r="BH11" s="16">
        <f t="shared" ref="BH11:BH74" si="12">IF(BD11="",BF11,BD11)</f>
        <v>200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422</v>
      </c>
      <c r="B12" s="90"/>
      <c r="C12" s="255"/>
      <c r="D12" s="116"/>
      <c r="E12" s="16">
        <f t="shared" si="1"/>
        <v>422</v>
      </c>
      <c r="F12" s="90"/>
      <c r="G12" s="90"/>
      <c r="H12" s="90">
        <v>200</v>
      </c>
      <c r="I12" s="116"/>
      <c r="J12" s="16">
        <f t="shared" si="2"/>
        <v>200</v>
      </c>
      <c r="K12" s="90"/>
      <c r="L12" s="90"/>
      <c r="M12" s="90">
        <v>186</v>
      </c>
      <c r="N12" s="116"/>
      <c r="O12" s="16">
        <f t="shared" si="3"/>
        <v>186</v>
      </c>
      <c r="P12" s="90">
        <v>453</v>
      </c>
      <c r="Q12" s="90"/>
      <c r="R12" s="90"/>
      <c r="S12" s="116"/>
      <c r="T12" s="16">
        <f t="shared" si="4"/>
        <v>453</v>
      </c>
      <c r="U12" s="90"/>
      <c r="V12" s="90"/>
      <c r="W12" s="90">
        <v>134</v>
      </c>
      <c r="X12" s="116"/>
      <c r="Y12" s="16">
        <f t="shared" si="5"/>
        <v>134</v>
      </c>
      <c r="Z12" s="90"/>
      <c r="AA12" s="90"/>
      <c r="AB12" s="90">
        <v>124</v>
      </c>
      <c r="AC12" s="116"/>
      <c r="AD12" s="16">
        <f t="shared" si="6"/>
        <v>124</v>
      </c>
      <c r="AE12" s="90"/>
      <c r="AF12" s="90"/>
      <c r="AG12" s="90">
        <v>196</v>
      </c>
      <c r="AH12" s="116"/>
      <c r="AI12" s="16">
        <f t="shared" si="7"/>
        <v>196</v>
      </c>
      <c r="AJ12" s="90"/>
      <c r="AK12" s="90"/>
      <c r="AL12" s="90">
        <v>77</v>
      </c>
      <c r="AM12" s="116"/>
      <c r="AN12" s="16">
        <f t="shared" si="8"/>
        <v>77</v>
      </c>
      <c r="AO12" s="90"/>
      <c r="AP12" s="90"/>
      <c r="AQ12" s="90">
        <v>204</v>
      </c>
      <c r="AR12" s="116"/>
      <c r="AS12" s="16">
        <f t="shared" si="9"/>
        <v>204</v>
      </c>
      <c r="AT12" s="90"/>
      <c r="AU12" s="90"/>
      <c r="AV12" s="90">
        <v>199</v>
      </c>
      <c r="AW12" s="116"/>
      <c r="AX12" s="16">
        <f t="shared" si="10"/>
        <v>199</v>
      </c>
      <c r="AY12" s="90"/>
      <c r="AZ12" s="90"/>
      <c r="BA12" s="90">
        <v>225</v>
      </c>
      <c r="BB12" s="116"/>
      <c r="BC12" s="16">
        <f t="shared" si="11"/>
        <v>225</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27</v>
      </c>
      <c r="C13" s="255"/>
      <c r="D13" s="116"/>
      <c r="E13" s="16">
        <f t="shared" si="1"/>
        <v>0</v>
      </c>
      <c r="F13" s="90"/>
      <c r="G13" s="90"/>
      <c r="H13" s="90">
        <v>148</v>
      </c>
      <c r="I13" s="116"/>
      <c r="J13" s="16">
        <f t="shared" si="2"/>
        <v>148</v>
      </c>
      <c r="K13" s="90"/>
      <c r="L13" s="90"/>
      <c r="M13" s="90">
        <v>83</v>
      </c>
      <c r="N13" s="116"/>
      <c r="O13" s="16">
        <f t="shared" si="3"/>
        <v>83</v>
      </c>
      <c r="P13" s="90"/>
      <c r="Q13" s="90">
        <v>23</v>
      </c>
      <c r="R13" s="90"/>
      <c r="S13" s="116"/>
      <c r="T13" s="16">
        <f t="shared" si="4"/>
        <v>0</v>
      </c>
      <c r="U13" s="90"/>
      <c r="V13" s="90"/>
      <c r="W13" s="90">
        <v>197</v>
      </c>
      <c r="X13" s="116"/>
      <c r="Y13" s="16">
        <f t="shared" si="5"/>
        <v>197</v>
      </c>
      <c r="Z13" s="90"/>
      <c r="AA13" s="90"/>
      <c r="AB13" s="90">
        <v>171</v>
      </c>
      <c r="AC13" s="116"/>
      <c r="AD13" s="16">
        <f t="shared" si="6"/>
        <v>171</v>
      </c>
      <c r="AE13" s="90"/>
      <c r="AF13" s="90"/>
      <c r="AG13" s="90"/>
      <c r="AH13" s="116">
        <v>50</v>
      </c>
      <c r="AI13" s="16">
        <f t="shared" si="7"/>
        <v>0</v>
      </c>
      <c r="AJ13" s="90"/>
      <c r="AK13" s="90"/>
      <c r="AL13" s="90"/>
      <c r="AM13" s="116"/>
      <c r="AN13" s="16">
        <f t="shared" si="8"/>
        <v>0</v>
      </c>
      <c r="AO13" s="90"/>
      <c r="AP13" s="90"/>
      <c r="AQ13" s="90">
        <v>102</v>
      </c>
      <c r="AR13" s="116"/>
      <c r="AS13" s="16">
        <f t="shared" si="9"/>
        <v>102</v>
      </c>
      <c r="AT13" s="90"/>
      <c r="AU13" s="90"/>
      <c r="AV13" s="90"/>
      <c r="AW13" s="116">
        <v>50</v>
      </c>
      <c r="AX13" s="16">
        <f t="shared" si="10"/>
        <v>0</v>
      </c>
      <c r="AY13" s="90"/>
      <c r="AZ13" s="90"/>
      <c r="BA13" s="90"/>
      <c r="BB13" s="116">
        <v>50</v>
      </c>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5">
        <v>205</v>
      </c>
      <c r="D14" s="116"/>
      <c r="E14" s="16">
        <f t="shared" si="1"/>
        <v>205</v>
      </c>
      <c r="F14" s="90"/>
      <c r="G14" s="90"/>
      <c r="H14" s="90"/>
      <c r="I14" s="116">
        <v>50</v>
      </c>
      <c r="J14" s="16">
        <f t="shared" si="2"/>
        <v>0</v>
      </c>
      <c r="K14" s="90"/>
      <c r="L14" s="90"/>
      <c r="M14" s="90">
        <v>191</v>
      </c>
      <c r="N14" s="116"/>
      <c r="O14" s="16">
        <f t="shared" si="3"/>
        <v>191</v>
      </c>
      <c r="P14" s="90"/>
      <c r="Q14" s="90">
        <v>50</v>
      </c>
      <c r="R14" s="90"/>
      <c r="S14" s="116"/>
      <c r="T14" s="16">
        <f t="shared" si="4"/>
        <v>0</v>
      </c>
      <c r="U14" s="90"/>
      <c r="V14" s="90"/>
      <c r="W14" s="90"/>
      <c r="X14" s="116"/>
      <c r="Y14" s="16">
        <f t="shared" si="5"/>
        <v>0</v>
      </c>
      <c r="Z14" s="90"/>
      <c r="AA14" s="90"/>
      <c r="AB14" s="90"/>
      <c r="AC14" s="116">
        <v>50</v>
      </c>
      <c r="AD14" s="16">
        <f t="shared" si="6"/>
        <v>0</v>
      </c>
      <c r="AE14" s="90"/>
      <c r="AF14" s="90"/>
      <c r="AG14" s="90">
        <v>315</v>
      </c>
      <c r="AH14" s="116"/>
      <c r="AI14" s="16">
        <f t="shared" si="7"/>
        <v>315</v>
      </c>
      <c r="AJ14" s="90"/>
      <c r="AK14" s="90"/>
      <c r="AL14" s="90"/>
      <c r="AM14" s="116"/>
      <c r="AN14" s="16">
        <f t="shared" si="8"/>
        <v>0</v>
      </c>
      <c r="AO14" s="90"/>
      <c r="AP14" s="90">
        <v>24</v>
      </c>
      <c r="AQ14" s="90"/>
      <c r="AR14" s="116"/>
      <c r="AS14" s="16">
        <f t="shared" si="9"/>
        <v>0</v>
      </c>
      <c r="AT14" s="90"/>
      <c r="AU14" s="90"/>
      <c r="AV14" s="90">
        <v>198</v>
      </c>
      <c r="AW14" s="116"/>
      <c r="AX14" s="16">
        <f t="shared" si="10"/>
        <v>198</v>
      </c>
      <c r="AY14" s="90"/>
      <c r="AZ14" s="90"/>
      <c r="BA14" s="90">
        <v>212</v>
      </c>
      <c r="BB14" s="116"/>
      <c r="BC14" s="16">
        <f t="shared" si="11"/>
        <v>212</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5">
        <v>181</v>
      </c>
      <c r="D15" s="116"/>
      <c r="E15" s="16">
        <f t="shared" si="1"/>
        <v>181</v>
      </c>
      <c r="F15" s="90"/>
      <c r="G15" s="90"/>
      <c r="H15" s="90">
        <v>171</v>
      </c>
      <c r="I15" s="116"/>
      <c r="J15" s="16">
        <f t="shared" si="2"/>
        <v>171</v>
      </c>
      <c r="K15" s="90"/>
      <c r="L15" s="90"/>
      <c r="M15" s="90"/>
      <c r="N15" s="116"/>
      <c r="O15" s="16">
        <f t="shared" si="3"/>
        <v>0</v>
      </c>
      <c r="P15" s="90"/>
      <c r="Q15" s="90"/>
      <c r="R15" s="90"/>
      <c r="S15" s="116"/>
      <c r="T15" s="16">
        <f t="shared" si="4"/>
        <v>0</v>
      </c>
      <c r="U15" s="90"/>
      <c r="V15" s="90"/>
      <c r="W15" s="90"/>
      <c r="X15" s="116"/>
      <c r="Y15" s="16">
        <f t="shared" si="5"/>
        <v>0</v>
      </c>
      <c r="Z15" s="90"/>
      <c r="AA15" s="90"/>
      <c r="AB15" s="90">
        <v>159</v>
      </c>
      <c r="AC15" s="116"/>
      <c r="AD15" s="16">
        <f t="shared" si="6"/>
        <v>159</v>
      </c>
      <c r="AE15" s="90"/>
      <c r="AF15" s="90"/>
      <c r="AG15" s="90">
        <v>115</v>
      </c>
      <c r="AH15" s="116"/>
      <c r="AI15" s="16">
        <f t="shared" si="7"/>
        <v>115</v>
      </c>
      <c r="AJ15" s="90"/>
      <c r="AK15" s="90"/>
      <c r="AL15" s="90"/>
      <c r="AM15" s="116"/>
      <c r="AN15" s="16">
        <f t="shared" si="8"/>
        <v>0</v>
      </c>
      <c r="AO15" s="90">
        <v>602</v>
      </c>
      <c r="AP15" s="90"/>
      <c r="AQ15" s="90"/>
      <c r="AR15" s="116"/>
      <c r="AS15" s="16">
        <f t="shared" si="9"/>
        <v>602</v>
      </c>
      <c r="AT15" s="90"/>
      <c r="AU15" s="90"/>
      <c r="AV15" s="90">
        <v>201</v>
      </c>
      <c r="AW15" s="116"/>
      <c r="AX15" s="16">
        <f t="shared" si="10"/>
        <v>201</v>
      </c>
      <c r="AY15" s="90"/>
      <c r="AZ15" s="90"/>
      <c r="BA15" s="90">
        <v>189</v>
      </c>
      <c r="BB15" s="116"/>
      <c r="BC15" s="16">
        <f t="shared" si="11"/>
        <v>189</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5">
        <v>196</v>
      </c>
      <c r="D16" s="116"/>
      <c r="E16" s="16">
        <f t="shared" si="1"/>
        <v>196</v>
      </c>
      <c r="F16" s="90"/>
      <c r="G16" s="90"/>
      <c r="H16" s="90">
        <v>155</v>
      </c>
      <c r="I16" s="116"/>
      <c r="J16" s="16">
        <f t="shared" si="2"/>
        <v>155</v>
      </c>
      <c r="K16" s="90"/>
      <c r="L16" s="90"/>
      <c r="M16" s="90"/>
      <c r="N16" s="116"/>
      <c r="O16" s="16">
        <f t="shared" si="3"/>
        <v>0</v>
      </c>
      <c r="P16" s="90"/>
      <c r="Q16" s="90"/>
      <c r="R16" s="90"/>
      <c r="S16" s="116"/>
      <c r="T16" s="16">
        <f t="shared" si="4"/>
        <v>0</v>
      </c>
      <c r="U16" s="90"/>
      <c r="V16" s="90"/>
      <c r="W16" s="90"/>
      <c r="X16" s="116"/>
      <c r="Y16" s="16">
        <f t="shared" si="5"/>
        <v>0</v>
      </c>
      <c r="Z16" s="90"/>
      <c r="AA16" s="90"/>
      <c r="AB16" s="90">
        <v>192</v>
      </c>
      <c r="AC16" s="116"/>
      <c r="AD16" s="16">
        <f t="shared" si="6"/>
        <v>192</v>
      </c>
      <c r="AE16" s="90"/>
      <c r="AF16" s="90"/>
      <c r="AG16" s="90">
        <v>231</v>
      </c>
      <c r="AH16" s="116"/>
      <c r="AI16" s="16">
        <f t="shared" si="7"/>
        <v>231</v>
      </c>
      <c r="AJ16" s="90"/>
      <c r="AK16" s="90"/>
      <c r="AL16" s="90"/>
      <c r="AM16" s="116"/>
      <c r="AN16" s="16">
        <f t="shared" si="8"/>
        <v>0</v>
      </c>
      <c r="AO16" s="90">
        <v>340</v>
      </c>
      <c r="AP16" s="90"/>
      <c r="AQ16" s="90"/>
      <c r="AR16" s="116"/>
      <c r="AS16" s="16">
        <f t="shared" si="9"/>
        <v>340</v>
      </c>
      <c r="AT16" s="90"/>
      <c r="AU16" s="90"/>
      <c r="AV16" s="90">
        <v>192</v>
      </c>
      <c r="AW16" s="116"/>
      <c r="AX16" s="16">
        <f t="shared" si="10"/>
        <v>192</v>
      </c>
      <c r="AY16" s="90"/>
      <c r="AZ16" s="90"/>
      <c r="BA16" s="90">
        <v>287</v>
      </c>
      <c r="BB16" s="116"/>
      <c r="BC16" s="16">
        <f t="shared" si="11"/>
        <v>287</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5"/>
      <c r="D17" s="116">
        <v>50</v>
      </c>
      <c r="E17" s="16">
        <f t="shared" si="1"/>
        <v>0</v>
      </c>
      <c r="F17" s="90"/>
      <c r="G17" s="90"/>
      <c r="H17" s="90">
        <v>103</v>
      </c>
      <c r="I17" s="116"/>
      <c r="J17" s="16">
        <f t="shared" si="2"/>
        <v>103</v>
      </c>
      <c r="K17" s="90"/>
      <c r="L17" s="90"/>
      <c r="M17" s="90"/>
      <c r="N17" s="116"/>
      <c r="O17" s="16">
        <f t="shared" si="3"/>
        <v>0</v>
      </c>
      <c r="P17" s="90"/>
      <c r="Q17" s="90"/>
      <c r="R17" s="90"/>
      <c r="S17" s="116"/>
      <c r="T17" s="16">
        <f t="shared" si="4"/>
        <v>0</v>
      </c>
      <c r="U17" s="90"/>
      <c r="V17" s="90"/>
      <c r="W17" s="90"/>
      <c r="X17" s="116"/>
      <c r="Y17" s="16">
        <f t="shared" si="5"/>
        <v>0</v>
      </c>
      <c r="Z17" s="90"/>
      <c r="AA17" s="90"/>
      <c r="AB17" s="90">
        <v>192</v>
      </c>
      <c r="AC17" s="116"/>
      <c r="AD17" s="16">
        <f t="shared" si="6"/>
        <v>192</v>
      </c>
      <c r="AE17" s="90"/>
      <c r="AF17" s="90"/>
      <c r="AG17" s="90"/>
      <c r="AH17" s="116"/>
      <c r="AI17" s="16">
        <f t="shared" si="7"/>
        <v>0</v>
      </c>
      <c r="AJ17" s="90"/>
      <c r="AK17" s="90"/>
      <c r="AL17" s="90"/>
      <c r="AM17" s="116"/>
      <c r="AN17" s="16">
        <f t="shared" si="8"/>
        <v>0</v>
      </c>
      <c r="AO17" s="90"/>
      <c r="AP17" s="90">
        <v>20</v>
      </c>
      <c r="AQ17" s="90"/>
      <c r="AR17" s="116"/>
      <c r="AS17" s="16">
        <f t="shared" si="9"/>
        <v>0</v>
      </c>
      <c r="AT17" s="90"/>
      <c r="AU17" s="90"/>
      <c r="AV17" s="90">
        <v>144</v>
      </c>
      <c r="AW17" s="116"/>
      <c r="AX17" s="16">
        <f t="shared" si="10"/>
        <v>144</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5">
        <v>225</v>
      </c>
      <c r="D18" s="116"/>
      <c r="E18" s="16">
        <f t="shared" si="1"/>
        <v>225</v>
      </c>
      <c r="F18" s="90"/>
      <c r="G18" s="90"/>
      <c r="H18" s="90">
        <v>188</v>
      </c>
      <c r="I18" s="116"/>
      <c r="J18" s="16">
        <f t="shared" si="2"/>
        <v>188</v>
      </c>
      <c r="K18" s="90"/>
      <c r="L18" s="90"/>
      <c r="M18" s="90"/>
      <c r="N18" s="116"/>
      <c r="O18" s="16">
        <f t="shared" si="3"/>
        <v>0</v>
      </c>
      <c r="P18" s="90"/>
      <c r="Q18" s="90"/>
      <c r="R18" s="90"/>
      <c r="S18" s="116"/>
      <c r="T18" s="16">
        <f t="shared" si="4"/>
        <v>0</v>
      </c>
      <c r="U18" s="90"/>
      <c r="V18" s="90"/>
      <c r="W18" s="90"/>
      <c r="X18" s="116"/>
      <c r="Y18" s="16">
        <f t="shared" si="5"/>
        <v>0</v>
      </c>
      <c r="Z18" s="90"/>
      <c r="AA18" s="90"/>
      <c r="AB18" s="90">
        <v>163</v>
      </c>
      <c r="AC18" s="116"/>
      <c r="AD18" s="16">
        <f t="shared" si="6"/>
        <v>163</v>
      </c>
      <c r="AE18" s="90"/>
      <c r="AF18" s="90"/>
      <c r="AG18" s="90"/>
      <c r="AH18" s="116"/>
      <c r="AI18" s="16">
        <f t="shared" si="7"/>
        <v>0</v>
      </c>
      <c r="AJ18" s="90"/>
      <c r="AK18" s="90"/>
      <c r="AL18" s="90"/>
      <c r="AM18" s="116"/>
      <c r="AN18" s="16">
        <f t="shared" si="8"/>
        <v>0</v>
      </c>
      <c r="AO18" s="90">
        <v>240</v>
      </c>
      <c r="AP18" s="90"/>
      <c r="AQ18" s="90"/>
      <c r="AR18" s="116"/>
      <c r="AS18" s="16">
        <f t="shared" si="9"/>
        <v>240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5">
        <v>115</v>
      </c>
      <c r="D19" s="116"/>
      <c r="E19" s="16">
        <f t="shared" si="1"/>
        <v>115</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v>50</v>
      </c>
      <c r="AD19" s="16">
        <f t="shared" si="6"/>
        <v>0</v>
      </c>
      <c r="AE19" s="90"/>
      <c r="AF19" s="90"/>
      <c r="AG19" s="90"/>
      <c r="AH19" s="116"/>
      <c r="AI19" s="16">
        <f t="shared" si="7"/>
        <v>0</v>
      </c>
      <c r="AJ19" s="90"/>
      <c r="AK19" s="90"/>
      <c r="AL19" s="90"/>
      <c r="AM19" s="116"/>
      <c r="AN19" s="16">
        <f t="shared" si="8"/>
        <v>0</v>
      </c>
      <c r="AO19" s="90">
        <v>323</v>
      </c>
      <c r="AP19" s="90"/>
      <c r="AQ19" s="90"/>
      <c r="AR19" s="116"/>
      <c r="AS19" s="16">
        <f t="shared" si="9"/>
        <v>323</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5">
        <v>182</v>
      </c>
      <c r="D20" s="116"/>
      <c r="E20" s="16">
        <f t="shared" si="1"/>
        <v>182</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v>25</v>
      </c>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5">
        <v>180</v>
      </c>
      <c r="D21" s="116"/>
      <c r="E21" s="16">
        <f t="shared" si="1"/>
        <v>180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v>50</v>
      </c>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5"/>
      <c r="D22" s="116">
        <v>50</v>
      </c>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255">
        <v>124</v>
      </c>
      <c r="D23" s="116"/>
      <c r="E23" s="16">
        <f t="shared" si="1"/>
        <v>124</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185</v>
      </c>
      <c r="D24" s="116"/>
      <c r="E24" s="16">
        <f t="shared" si="1"/>
        <v>185</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87</v>
      </c>
      <c r="D25" s="116"/>
      <c r="E25" s="16">
        <f t="shared" si="1"/>
        <v>87</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150</v>
      </c>
      <c r="D26" s="116"/>
      <c r="E26" s="16">
        <f t="shared" si="1"/>
        <v>150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1" priority="191">
      <formula>IF(A25&gt;0,A25&lt;20)</formula>
    </cfRule>
  </conditionalFormatting>
  <conditionalFormatting sqref="F20:F208">
    <cfRule type="expression" dxfId="1570" priority="72">
      <formula>IF(F20&gt;0,F20&lt;20)</formula>
    </cfRule>
  </conditionalFormatting>
  <conditionalFormatting sqref="K22:K208">
    <cfRule type="expression" dxfId="1569" priority="71">
      <formula>IF(K22&gt;0,K22&lt;20)</formula>
    </cfRule>
  </conditionalFormatting>
  <conditionalFormatting sqref="P14:P208">
    <cfRule type="expression" dxfId="1568" priority="70">
      <formula>IF(P14&gt;0,P14&lt;20)</formula>
    </cfRule>
  </conditionalFormatting>
  <conditionalFormatting sqref="U22:U208">
    <cfRule type="expression" dxfId="1567" priority="69">
      <formula>IF(U22&gt;0,U22&lt;20)</formula>
    </cfRule>
  </conditionalFormatting>
  <conditionalFormatting sqref="Z17:Z208">
    <cfRule type="expression" dxfId="1566" priority="68">
      <formula>IF(Z17&gt;0,Z17&lt;20)</formula>
    </cfRule>
  </conditionalFormatting>
  <conditionalFormatting sqref="AE15:AE208">
    <cfRule type="expression" dxfId="1565" priority="67">
      <formula>IF(AE15&gt;0,AE15&lt;20)</formula>
    </cfRule>
  </conditionalFormatting>
  <conditionalFormatting sqref="AJ25:AJ208">
    <cfRule type="expression" dxfId="1564" priority="66">
      <formula>IF(AJ25&gt;0,AJ25&lt;20)</formula>
    </cfRule>
  </conditionalFormatting>
  <conditionalFormatting sqref="AO16:AO208">
    <cfRule type="expression" dxfId="1563" priority="65">
      <formula>IF(AO16&gt;0,AO16&lt;20)</formula>
    </cfRule>
  </conditionalFormatting>
  <conditionalFormatting sqref="AT14:AT208">
    <cfRule type="expression" dxfId="1562" priority="64">
      <formula>IF(AT14&gt;0,AT14&lt;20)</formula>
    </cfRule>
  </conditionalFormatting>
  <conditionalFormatting sqref="AY9:AY208">
    <cfRule type="expression" dxfId="1561" priority="63">
      <formula>IF(AY9&gt;0,AY9&lt;20)</formula>
    </cfRule>
  </conditionalFormatting>
  <conditionalFormatting sqref="BD9:BD208">
    <cfRule type="expression" dxfId="1560" priority="62">
      <formula>IF(BD9&gt;0,BD9&lt;20)</formula>
    </cfRule>
  </conditionalFormatting>
  <conditionalFormatting sqref="BI9:BI208">
    <cfRule type="expression" dxfId="1559" priority="61">
      <formula>IF(BI9&gt;0,BI9&lt;20)</formula>
    </cfRule>
  </conditionalFormatting>
  <conditionalFormatting sqref="BN9:BN208">
    <cfRule type="expression" dxfId="1558" priority="60">
      <formula>IF(BN9&gt;0,BN9&lt;20)</formula>
    </cfRule>
  </conditionalFormatting>
  <conditionalFormatting sqref="BS9:BS208">
    <cfRule type="expression" dxfId="1557" priority="59">
      <formula>IF(BS9&gt;0,BS9&lt;20)</formula>
    </cfRule>
  </conditionalFormatting>
  <conditionalFormatting sqref="BX9:BX208">
    <cfRule type="expression" dxfId="1556" priority="58">
      <formula>IF(BX9&gt;0,BX9&lt;20)</formula>
    </cfRule>
  </conditionalFormatting>
  <conditionalFormatting sqref="CC9:CC208">
    <cfRule type="expression" dxfId="1555" priority="57">
      <formula>IF(CC9&gt;0,CC9&lt;20)</formula>
    </cfRule>
  </conditionalFormatting>
  <conditionalFormatting sqref="CH9:CH208">
    <cfRule type="expression" dxfId="1554" priority="56">
      <formula>IF(CH9&gt;0,CH9&lt;20)</formula>
    </cfRule>
  </conditionalFormatting>
  <conditionalFormatting sqref="CM9:CM208">
    <cfRule type="expression" dxfId="1553" priority="55">
      <formula>IF(CM9&gt;0,CM9&lt;20)</formula>
    </cfRule>
  </conditionalFormatting>
  <conditionalFormatting sqref="CR9:CR208">
    <cfRule type="expression" dxfId="1552" priority="54">
      <formula>IF(CR9&gt;0,CR9&lt;20)</formula>
    </cfRule>
  </conditionalFormatting>
  <conditionalFormatting sqref="CW9:CW208">
    <cfRule type="expression" dxfId="1551" priority="53">
      <formula>IF(CW9&gt;0,CW9&lt;20)</formula>
    </cfRule>
  </conditionalFormatting>
  <conditionalFormatting sqref="DB9:DB208">
    <cfRule type="expression" dxfId="1550" priority="52">
      <formula>IF(DB9&gt;0,DB9&lt;20)</formula>
    </cfRule>
  </conditionalFormatting>
  <conditionalFormatting sqref="DG9:DG208">
    <cfRule type="expression" dxfId="1549" priority="51">
      <formula>IF(DG9&gt;0,DG9&lt;20)</formula>
    </cfRule>
  </conditionalFormatting>
  <conditionalFormatting sqref="DL9:DL208">
    <cfRule type="expression" dxfId="1548" priority="50">
      <formula>IF(DL9&gt;0,DL9&lt;20)</formula>
    </cfRule>
  </conditionalFormatting>
  <conditionalFormatting sqref="DQ9:DQ208">
    <cfRule type="expression" dxfId="1547" priority="49">
      <formula>IF(DQ9&gt;0,DQ9&lt;20)</formula>
    </cfRule>
  </conditionalFormatting>
  <conditionalFormatting sqref="DV9:DV208">
    <cfRule type="expression" dxfId="1546" priority="48">
      <formula>IF(DV9&gt;0,DV9&lt;20)</formula>
    </cfRule>
  </conditionalFormatting>
  <conditionalFormatting sqref="EA9:EA208">
    <cfRule type="expression" dxfId="1545" priority="47">
      <formula>IF(EA9&gt;0,EA9&lt;20)</formula>
    </cfRule>
  </conditionalFormatting>
  <conditionalFormatting sqref="EF9:EF208">
    <cfRule type="expression" dxfId="1544" priority="46">
      <formula>IF(EF9&gt;0,EF9&lt;20)</formula>
    </cfRule>
  </conditionalFormatting>
  <conditionalFormatting sqref="EK9:EK208">
    <cfRule type="expression" dxfId="1543" priority="45">
      <formula>IF(EK9&gt;0,EK9&lt;20)</formula>
    </cfRule>
  </conditionalFormatting>
  <conditionalFormatting sqref="EP9:EP208">
    <cfRule type="expression" dxfId="1542" priority="44">
      <formula>IF(EP9&gt;0,EP9&lt;20)</formula>
    </cfRule>
  </conditionalFormatting>
  <conditionalFormatting sqref="EU9:EU208">
    <cfRule type="expression" dxfId="1541" priority="43">
      <formula>IF(EU9&gt;0,EU9&lt;20)</formula>
    </cfRule>
  </conditionalFormatting>
  <conditionalFormatting sqref="EZ9:EZ208">
    <cfRule type="expression" dxfId="1540" priority="42">
      <formula>IF(EZ9&gt;0,EZ9&lt;20)</formula>
    </cfRule>
  </conditionalFormatting>
  <conditionalFormatting sqref="FE9:FE208">
    <cfRule type="expression" dxfId="1539" priority="41">
      <formula>IF(FE9&gt;0,FE9&lt;20)</formula>
    </cfRule>
  </conditionalFormatting>
  <conditionalFormatting sqref="IL9:IL208">
    <cfRule type="expression" dxfId="1538" priority="24">
      <formula>IF(IL9&gt;0,IL9&lt;20)</formula>
    </cfRule>
  </conditionalFormatting>
  <conditionalFormatting sqref="FJ9:FJ208">
    <cfRule type="expression" dxfId="1537" priority="40">
      <formula>IF(FJ9&gt;0,FJ9&lt;20)</formula>
    </cfRule>
  </conditionalFormatting>
  <conditionalFormatting sqref="FO9:FO208">
    <cfRule type="expression" dxfId="1536" priority="39">
      <formula>IF(FO9&gt;0,FO9&lt;20)</formula>
    </cfRule>
  </conditionalFormatting>
  <conditionalFormatting sqref="FT9:FT208">
    <cfRule type="expression" dxfId="1535" priority="38">
      <formula>IF(FT9&gt;0,FT9&lt;20)</formula>
    </cfRule>
  </conditionalFormatting>
  <conditionalFormatting sqref="FY9:FY208">
    <cfRule type="expression" dxfId="1534" priority="37">
      <formula>IF(FY9&gt;0,FY9&lt;20)</formula>
    </cfRule>
  </conditionalFormatting>
  <conditionalFormatting sqref="GD9:GD208">
    <cfRule type="expression" dxfId="1533" priority="36">
      <formula>IF(GD9&gt;0,GD9&lt;20)</formula>
    </cfRule>
  </conditionalFormatting>
  <conditionalFormatting sqref="GI9:GI208">
    <cfRule type="expression" dxfId="1532" priority="35">
      <formula>IF(GI9&gt;0,GI9&lt;20)</formula>
    </cfRule>
  </conditionalFormatting>
  <conditionalFormatting sqref="GN9:GN208">
    <cfRule type="expression" dxfId="1531" priority="34">
      <formula>IF(GN9&gt;0,GN9&lt;20)</formula>
    </cfRule>
  </conditionalFormatting>
  <conditionalFormatting sqref="GS9:GS208">
    <cfRule type="expression" dxfId="1530" priority="33">
      <formula>IF(GS9&gt;0,GS9&lt;20)</formula>
    </cfRule>
  </conditionalFormatting>
  <conditionalFormatting sqref="GX9:GX208">
    <cfRule type="expression" dxfId="1529" priority="32">
      <formula>IF(GX9&gt;0,GX9&lt;20)</formula>
    </cfRule>
  </conditionalFormatting>
  <conditionalFormatting sqref="HC9:HC208">
    <cfRule type="expression" dxfId="1528" priority="31">
      <formula>IF(HC9&gt;0,HC9&lt;20)</formula>
    </cfRule>
  </conditionalFormatting>
  <conditionalFormatting sqref="HH9:HH208">
    <cfRule type="expression" dxfId="1527" priority="30">
      <formula>IF(HH9&gt;0,HH9&lt;20)</formula>
    </cfRule>
  </conditionalFormatting>
  <conditionalFormatting sqref="HM9:HM208">
    <cfRule type="expression" dxfId="1526" priority="29">
      <formula>IF(HM9&gt;0,HM9&lt;20)</formula>
    </cfRule>
  </conditionalFormatting>
  <conditionalFormatting sqref="HR9:HR208">
    <cfRule type="expression" dxfId="1525" priority="28">
      <formula>IF(HR9&gt;0,HR9&lt;20)</formula>
    </cfRule>
  </conditionalFormatting>
  <conditionalFormatting sqref="HW9:HW208">
    <cfRule type="expression" dxfId="1524" priority="27">
      <formula>IF(HW9&gt;0,HW9&lt;20)</formula>
    </cfRule>
  </conditionalFormatting>
  <conditionalFormatting sqref="IB9:IB208">
    <cfRule type="expression" dxfId="1523" priority="26">
      <formula>IF(IB9&gt;0,IB9&lt;20)</formula>
    </cfRule>
  </conditionalFormatting>
  <conditionalFormatting sqref="IG9:IG208">
    <cfRule type="expression" dxfId="1522" priority="25">
      <formula>IF(IG9&gt;0,IG9&lt;20)</formula>
    </cfRule>
  </conditionalFormatting>
  <conditionalFormatting sqref="A19:A24">
    <cfRule type="expression" dxfId="1521" priority="22">
      <formula>IF(A19&gt;0,A19&lt;20)</formula>
    </cfRule>
  </conditionalFormatting>
  <conditionalFormatting sqref="F12:F19">
    <cfRule type="expression" dxfId="1520" priority="21">
      <formula>IF(F12&gt;0,F12&lt;20)</formula>
    </cfRule>
  </conditionalFormatting>
  <conditionalFormatting sqref="K14:K21">
    <cfRule type="expression" dxfId="1519" priority="20">
      <formula>IF(K14&gt;0,K14&lt;20)</formula>
    </cfRule>
  </conditionalFormatting>
  <conditionalFormatting sqref="P12:P14">
    <cfRule type="expression" dxfId="1518" priority="18">
      <formula>IF(P12&gt;0,P12&lt;20)</formula>
    </cfRule>
  </conditionalFormatting>
  <conditionalFormatting sqref="U10:U21">
    <cfRule type="expression" dxfId="1517" priority="17">
      <formula>IF(U10&gt;0,U10&lt;20)</formula>
    </cfRule>
  </conditionalFormatting>
  <conditionalFormatting sqref="AJ11:AJ24">
    <cfRule type="expression" dxfId="1516" priority="14">
      <formula>IF(AJ11&gt;0,AJ11&lt;20)</formula>
    </cfRule>
  </conditionalFormatting>
  <conditionalFormatting sqref="F9:F11">
    <cfRule type="expression" dxfId="1515" priority="13">
      <formula>IF(F9&gt;0,F9&lt;20)</formula>
    </cfRule>
  </conditionalFormatting>
  <conditionalFormatting sqref="K13">
    <cfRule type="expression" dxfId="1514" priority="12">
      <formula>IF(K13&gt;0,K13&lt;20)</formula>
    </cfRule>
  </conditionalFormatting>
  <conditionalFormatting sqref="K9:K12">
    <cfRule type="expression" dxfId="1513" priority="11">
      <formula>IF(K9&gt;0,K9&lt;20)</formula>
    </cfRule>
  </conditionalFormatting>
  <conditionalFormatting sqref="P9:P12">
    <cfRule type="expression" dxfId="1512" priority="10">
      <formula>IF(P9&gt;0,P9&lt;20)</formula>
    </cfRule>
  </conditionalFormatting>
  <conditionalFormatting sqref="U9">
    <cfRule type="expression" dxfId="1511" priority="9">
      <formula>IF(U9&gt;0,U9&lt;20)</formula>
    </cfRule>
  </conditionalFormatting>
  <conditionalFormatting sqref="Z9:Z16">
    <cfRule type="expression" dxfId="1510" priority="8">
      <formula>IF(Z9&gt;0,Z9&lt;20)</formula>
    </cfRule>
  </conditionalFormatting>
  <conditionalFormatting sqref="AE13:AE14">
    <cfRule type="expression" dxfId="1509" priority="7">
      <formula>IF(AE13&gt;0,AE13&lt;20)</formula>
    </cfRule>
  </conditionalFormatting>
  <conditionalFormatting sqref="AE9:AE12">
    <cfRule type="expression" dxfId="1508" priority="6">
      <formula>IF(AE9&gt;0,AE9&lt;20)</formula>
    </cfRule>
  </conditionalFormatting>
  <conditionalFormatting sqref="AJ9:AJ10">
    <cfRule type="expression" dxfId="1507" priority="5">
      <formula>IF(AJ9&gt;0,AJ9&lt;20)</formula>
    </cfRule>
  </conditionalFormatting>
  <conditionalFormatting sqref="AO9:AO15">
    <cfRule type="expression" dxfId="1506" priority="4">
      <formula>IF(AO9&gt;0,AO9&lt;20)</formula>
    </cfRule>
  </conditionalFormatting>
  <conditionalFormatting sqref="AT9:AT13">
    <cfRule type="expression" dxfId="1505" priority="3">
      <formula>IF(AT9&gt;0,AT9&lt;20)</formula>
    </cfRule>
  </conditionalFormatting>
  <conditionalFormatting sqref="A9">
    <cfRule type="expression" dxfId="1504" priority="2">
      <formula>AND(A$9&lt;&gt;"",A$9&lt;20)</formula>
    </cfRule>
  </conditionalFormatting>
  <conditionalFormatting sqref="A10:A18">
    <cfRule type="expression" dxfId="1503"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404" zoomScaleNormal="100" workbookViewId="0">
      <selection activeCell="D152" sqref="D152"/>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733</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732</v>
      </c>
      <c r="D2" s="330"/>
      <c r="E2" s="88"/>
      <c r="F2" s="88"/>
      <c r="G2" s="89" t="s">
        <v>207</v>
      </c>
      <c r="H2" s="327" t="s">
        <v>734</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 xml:space="preserve">FA_IMPORT_A02R6E9 </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3" t="s">
        <v>222</v>
      </c>
      <c r="C6" s="314"/>
      <c r="D6" s="315" t="s">
        <v>223</v>
      </c>
      <c r="E6" s="306"/>
      <c r="F6" s="88"/>
      <c r="G6" s="316" t="s">
        <v>224</v>
      </c>
      <c r="H6" s="317"/>
      <c r="I6" s="28">
        <f>SUM(E17:E41)</f>
        <v>96</v>
      </c>
      <c r="J6" s="318" t="s">
        <v>225</v>
      </c>
      <c r="K6" s="319"/>
      <c r="L6" s="306"/>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6" t="s">
        <v>226</v>
      </c>
      <c r="AA6" s="297"/>
      <c r="AB6" s="298"/>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5" t="s">
        <v>230</v>
      </c>
      <c r="H7" s="306"/>
      <c r="I7" s="33">
        <f>E8-I6</f>
        <v>48</v>
      </c>
      <c r="J7" s="290" t="s">
        <v>231</v>
      </c>
      <c r="K7" s="291"/>
      <c r="L7" s="34">
        <f>I11</f>
        <v>193</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299" t="s">
        <v>232</v>
      </c>
      <c r="AA7" s="301" t="s">
        <v>233</v>
      </c>
      <c r="AB7" s="302"/>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2" t="s">
        <v>237</v>
      </c>
      <c r="H8" s="293"/>
      <c r="I8" s="35">
        <f>IF(E8=0,0,12-(MOD(I6,12)))</f>
        <v>12</v>
      </c>
      <c r="J8" s="290" t="s">
        <v>238</v>
      </c>
      <c r="K8" s="291"/>
      <c r="L8" s="39">
        <f>I12-I6</f>
        <v>192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0"/>
      <c r="AA8" s="303"/>
      <c r="AB8" s="304"/>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48</v>
      </c>
      <c r="F9" s="88"/>
      <c r="G9" s="322" t="s">
        <v>242</v>
      </c>
      <c r="H9" s="43" t="s">
        <v>243</v>
      </c>
      <c r="I9" s="35">
        <f>IF(E9&lt;&gt;0,1,0)</f>
        <v>1</v>
      </c>
      <c r="J9" s="292" t="s">
        <v>244</v>
      </c>
      <c r="K9" s="293"/>
      <c r="L9" s="44">
        <f>'Cable Calculator'!D3</f>
        <v>2550</v>
      </c>
      <c r="M9" s="196">
        <v>8</v>
      </c>
      <c r="N9" s="35">
        <f>SUM(AI9,AI20)</f>
        <v>0</v>
      </c>
      <c r="O9" s="35">
        <v>0</v>
      </c>
      <c r="P9" s="35">
        <f>SUM(AJ9,AJ20)</f>
        <v>0</v>
      </c>
      <c r="Q9" s="35">
        <v>0</v>
      </c>
      <c r="R9" s="35">
        <f>COUNTIFS($E17:$E41,"8",$F17:$F41,"Pole",$C17:$C41,"FST")</f>
        <v>0</v>
      </c>
      <c r="S9" s="35">
        <f>SUM(AL9,AK20)</f>
        <v>0</v>
      </c>
      <c r="T9" s="35">
        <v>0</v>
      </c>
      <c r="U9" s="35">
        <f>SUM(AK9,AL20)</f>
        <v>1</v>
      </c>
      <c r="V9" s="35">
        <v>0</v>
      </c>
      <c r="W9" s="34">
        <f>COUNTIFS($E17:$E41,"8",$F17:$F41,"HH",$C17:$C41,"FST")</f>
        <v>1</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193</v>
      </c>
      <c r="F10" s="88"/>
      <c r="G10" s="323"/>
      <c r="H10" s="47" t="s">
        <v>248</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2</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2" t="s">
        <v>251</v>
      </c>
      <c r="H11" s="51" t="s">
        <v>252</v>
      </c>
      <c r="I11" s="112">
        <f>E10</f>
        <v>193</v>
      </c>
      <c r="J11" s="324" t="s">
        <v>253</v>
      </c>
      <c r="K11" s="325"/>
      <c r="L11" s="32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3"/>
      <c r="H12" s="47" t="s">
        <v>257</v>
      </c>
      <c r="I12" s="35">
        <f>IF(E10="","0",IF(AND(E7="EUC",E8=432), I11+(203-E9),IF(E10=0,0,(E10+(E8-E9)-1))))</f>
        <v>288</v>
      </c>
      <c r="J12" s="287" t="str">
        <f>IFERROR(IF(OR(E7="EUC",E7="SS"),"---",IF(OR(P6,S6),"NO 2F Tethers for RPX!",IF(OR(P8,S8),"NO 6F Tethers for RPX!","---"))),"---")</f>
        <v>---</v>
      </c>
      <c r="K12" s="288"/>
      <c r="L12" s="289"/>
      <c r="M12" s="287" t="str">
        <f>IF(E9&gt;60,"Dead Count &gt;60: Consider Downsize","---")</f>
        <v>---</v>
      </c>
      <c r="N12" s="288"/>
      <c r="O12" s="288"/>
      <c r="P12" s="288"/>
      <c r="Q12" s="288"/>
      <c r="R12" s="288"/>
      <c r="S12" s="288"/>
      <c r="T12" s="288"/>
      <c r="U12" s="289"/>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87"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8"/>
      <c r="L13" s="289"/>
      <c r="M13" s="287" t="str">
        <f>IF(AND(OR(E7="SS",E7="RPX",E7="EUC",E7="RPX-T"),(OR(C17="",C17="Field SPL"))),"Cannot have FlexNap cables without tethers","---")</f>
        <v>---</v>
      </c>
      <c r="N13" s="288"/>
      <c r="O13" s="288"/>
      <c r="P13" s="288"/>
      <c r="Q13" s="288"/>
      <c r="R13" s="288"/>
      <c r="S13" s="288"/>
      <c r="T13" s="288"/>
      <c r="U13" s="289"/>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7" t="str">
        <f>IF(AND(OR(E7="RPX", E7="RPX-T", E7="SS"),E8=216),"NO 216 For RPX, RPX-T, OR SS CABLE","---")</f>
        <v>---</v>
      </c>
      <c r="K14" s="288"/>
      <c r="L14" s="289"/>
      <c r="M14" s="287" t="str" cm="1">
        <f t="array" ref="M14">IF(AND(E7="",OR(C17:C41="FST",C17:C41="REV T",C17:C41="DBL REV",C17:C41="TPL REV", C17:C41="QD REV")),"Non-FlexNap cables cannot have tethers","---")</f>
        <v>---</v>
      </c>
      <c r="N14" s="288"/>
      <c r="O14" s="288"/>
      <c r="P14" s="288"/>
      <c r="Q14" s="288"/>
      <c r="R14" s="288"/>
      <c r="S14" s="288"/>
      <c r="T14" s="288"/>
      <c r="U14" s="289"/>
      <c r="V14" s="25"/>
      <c r="W14" s="58"/>
      <c r="X14" s="58"/>
      <c r="Y14" s="25"/>
      <c r="Z14" s="45">
        <v>6</v>
      </c>
      <c r="AA14" s="65">
        <v>61</v>
      </c>
      <c r="AB14" s="65">
        <v>72</v>
      </c>
      <c r="AC14" s="25"/>
      <c r="AD14" s="25"/>
    </row>
    <row r="15" spans="1:53" ht="15.75" customHeight="1" thickBot="1" x14ac:dyDescent="0.3">
      <c r="A15" s="88"/>
      <c r="B15" s="322" t="s">
        <v>260</v>
      </c>
      <c r="C15" s="294" t="s">
        <v>261</v>
      </c>
      <c r="D15" s="294" t="s">
        <v>262</v>
      </c>
      <c r="E15" s="307" t="s">
        <v>263</v>
      </c>
      <c r="F15" s="294" t="s">
        <v>264</v>
      </c>
      <c r="G15" s="309" t="s">
        <v>265</v>
      </c>
      <c r="H15" s="309" t="s">
        <v>266</v>
      </c>
      <c r="I15" s="309" t="s">
        <v>267</v>
      </c>
      <c r="J15" s="311" t="s">
        <v>268</v>
      </c>
      <c r="K15" s="294" t="s">
        <v>269</v>
      </c>
      <c r="L15" s="281" t="s">
        <v>270</v>
      </c>
      <c r="M15" s="283" t="s">
        <v>271</v>
      </c>
      <c r="N15" s="283"/>
      <c r="O15" s="283"/>
      <c r="P15" s="283"/>
      <c r="Q15" s="283"/>
      <c r="R15" s="283"/>
      <c r="S15" s="283"/>
      <c r="T15" s="283"/>
      <c r="U15" s="284"/>
      <c r="V15" s="107"/>
      <c r="W15" s="72"/>
      <c r="X15" s="72"/>
      <c r="Y15" s="72"/>
      <c r="Z15" s="45">
        <v>7</v>
      </c>
      <c r="AA15" s="65">
        <v>73</v>
      </c>
      <c r="AB15" s="65">
        <v>84</v>
      </c>
      <c r="AC15" s="25"/>
      <c r="AD15" s="25"/>
    </row>
    <row r="16" spans="1:53" ht="15.75" thickBot="1" x14ac:dyDescent="0.3">
      <c r="A16" s="88"/>
      <c r="B16" s="323"/>
      <c r="C16" s="295"/>
      <c r="D16" s="295"/>
      <c r="E16" s="308"/>
      <c r="F16" s="295"/>
      <c r="G16" s="310"/>
      <c r="H16" s="310"/>
      <c r="I16" s="310"/>
      <c r="J16" s="312"/>
      <c r="K16" s="295"/>
      <c r="L16" s="282"/>
      <c r="M16" s="285"/>
      <c r="N16" s="285"/>
      <c r="O16" s="285"/>
      <c r="P16" s="285"/>
      <c r="Q16" s="285"/>
      <c r="R16" s="285"/>
      <c r="S16" s="285"/>
      <c r="T16" s="285"/>
      <c r="U16" s="28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788</v>
      </c>
      <c r="E17" s="32">
        <v>8</v>
      </c>
      <c r="F17" s="32" t="s">
        <v>488</v>
      </c>
      <c r="G17" s="68" t="s">
        <v>277</v>
      </c>
      <c r="H17" s="69">
        <f>IF(I17=0,0,I17-(E17-1))</f>
        <v>281</v>
      </c>
      <c r="I17" s="70">
        <f>IF(E17=0,0,I12)</f>
        <v>288</v>
      </c>
      <c r="J17" s="71" t="s">
        <v>278</v>
      </c>
      <c r="K17" s="32"/>
      <c r="L17" s="233"/>
      <c r="M17" s="279"/>
      <c r="N17" s="279"/>
      <c r="O17" s="279"/>
      <c r="P17" s="279"/>
      <c r="Q17" s="279"/>
      <c r="R17" s="279"/>
      <c r="S17" s="279"/>
      <c r="T17" s="279"/>
      <c r="U17" s="280"/>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281-288</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8</v>
      </c>
    </row>
    <row r="18" spans="1:53" ht="15.75" thickBot="1" x14ac:dyDescent="0.3">
      <c r="A18" s="88"/>
      <c r="B18" s="66" t="s">
        <v>279</v>
      </c>
      <c r="C18" s="67" t="s">
        <v>484</v>
      </c>
      <c r="D18" s="102" t="s">
        <v>735</v>
      </c>
      <c r="E18" s="32">
        <v>4</v>
      </c>
      <c r="F18" s="32" t="s">
        <v>483</v>
      </c>
      <c r="G18" s="68" t="s">
        <v>277</v>
      </c>
      <c r="H18" s="69">
        <f t="shared" ref="H18:H41" si="9">IF(E18=0,0,I18-(E18-1))</f>
        <v>277</v>
      </c>
      <c r="I18" s="70">
        <f t="shared" ref="I18:I41" si="10">IF(E18=0,0,H17-1)</f>
        <v>280</v>
      </c>
      <c r="J18" s="73" t="str">
        <f>IF(C18="","--",IF(AND(C18&lt;&gt;"FST",C18&lt;&gt;"TCF",BA17&lt;&gt;0),BA17,"--"))</f>
        <v>--</v>
      </c>
      <c r="K18" s="32"/>
      <c r="L18" s="233"/>
      <c r="M18" s="279"/>
      <c r="N18" s="279"/>
      <c r="O18" s="279"/>
      <c r="P18" s="279"/>
      <c r="Q18" s="279"/>
      <c r="R18" s="279"/>
      <c r="S18" s="279"/>
      <c r="T18" s="279"/>
      <c r="U18" s="280"/>
      <c r="V18" s="103"/>
      <c r="W18" s="72"/>
      <c r="X18" s="72"/>
      <c r="Y18" s="72"/>
      <c r="Z18" s="45">
        <v>10</v>
      </c>
      <c r="AA18" s="46">
        <v>109</v>
      </c>
      <c r="AB18" s="46">
        <v>120</v>
      </c>
      <c r="AC18" s="72">
        <f t="shared" si="0"/>
        <v>1</v>
      </c>
      <c r="AD18" s="72">
        <f t="shared" si="1"/>
        <v>0</v>
      </c>
      <c r="AE18" s="109" t="str">
        <f t="shared" si="2"/>
        <v>277-280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499</v>
      </c>
      <c r="D19" s="102"/>
      <c r="E19" s="32">
        <v>12</v>
      </c>
      <c r="F19" s="32"/>
      <c r="G19" s="75" t="s">
        <v>277</v>
      </c>
      <c r="H19" s="69">
        <f t="shared" si="9"/>
        <v>265</v>
      </c>
      <c r="I19" s="70">
        <f t="shared" si="10"/>
        <v>276</v>
      </c>
      <c r="J19" s="73" t="str">
        <f t="shared" ref="J19:J41" si="11">IF(C19="","--",IF(AND(C19&lt;&gt;"FST",C19&lt;&gt;"TCF",BA18&lt;&gt;0),BA18,"--"))</f>
        <v>--</v>
      </c>
      <c r="K19" s="32"/>
      <c r="L19" s="233"/>
      <c r="M19" s="279" t="s">
        <v>404</v>
      </c>
      <c r="N19" s="279"/>
      <c r="O19" s="279"/>
      <c r="P19" s="279"/>
      <c r="Q19" s="279"/>
      <c r="R19" s="279"/>
      <c r="S19" s="279"/>
      <c r="T19" s="279"/>
      <c r="U19" s="280"/>
      <c r="V19" s="103"/>
      <c r="W19" s="72"/>
      <c r="X19" s="72"/>
      <c r="Y19" s="72"/>
      <c r="Z19" s="45">
        <v>11</v>
      </c>
      <c r="AA19" s="46">
        <v>121</v>
      </c>
      <c r="AB19" s="46">
        <v>132</v>
      </c>
      <c r="AC19" s="72">
        <f t="shared" si="0"/>
        <v>1</v>
      </c>
      <c r="AD19" s="72">
        <f t="shared" si="1"/>
        <v>1</v>
      </c>
      <c r="AE19" s="109" t="str">
        <f t="shared" si="2"/>
        <v>265-276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0.5</v>
      </c>
      <c r="AN19" s="109">
        <f t="shared" si="6"/>
        <v>0.5</v>
      </c>
      <c r="AO19" s="109" t="str">
        <f t="shared" si="7"/>
        <v/>
      </c>
      <c r="AQ19" s="109" t="str">
        <f t="shared" si="8"/>
        <v/>
      </c>
      <c r="BA19" s="229">
        <f>MOD(SUM(E17:E20),12)</f>
        <v>0</v>
      </c>
    </row>
    <row r="20" spans="1:53" ht="15.75" thickBot="1" x14ac:dyDescent="0.3">
      <c r="A20" s="88"/>
      <c r="B20" s="66" t="s">
        <v>281</v>
      </c>
      <c r="C20" s="67" t="s">
        <v>499</v>
      </c>
      <c r="D20" s="102"/>
      <c r="E20" s="32">
        <v>12</v>
      </c>
      <c r="F20" s="32"/>
      <c r="G20" s="68" t="s">
        <v>277</v>
      </c>
      <c r="H20" s="69">
        <f t="shared" si="9"/>
        <v>253</v>
      </c>
      <c r="I20" s="70">
        <f t="shared" si="10"/>
        <v>264</v>
      </c>
      <c r="J20" s="73" t="str">
        <f t="shared" si="11"/>
        <v>--</v>
      </c>
      <c r="K20" s="32"/>
      <c r="L20" s="233"/>
      <c r="M20" s="279" t="s">
        <v>404</v>
      </c>
      <c r="N20" s="279"/>
      <c r="O20" s="279"/>
      <c r="P20" s="279"/>
      <c r="Q20" s="279"/>
      <c r="R20" s="279"/>
      <c r="S20" s="279"/>
      <c r="T20" s="279"/>
      <c r="U20" s="280"/>
      <c r="V20" s="103"/>
      <c r="W20" s="72"/>
      <c r="X20" s="72"/>
      <c r="Y20" s="72"/>
      <c r="Z20" s="45">
        <v>12</v>
      </c>
      <c r="AA20" s="76">
        <v>133</v>
      </c>
      <c r="AB20" s="76">
        <v>144</v>
      </c>
      <c r="AC20" s="72">
        <f t="shared" si="0"/>
        <v>1</v>
      </c>
      <c r="AD20" s="72">
        <f t="shared" si="1"/>
        <v>1</v>
      </c>
      <c r="AE20" s="109" t="str">
        <f t="shared" si="2"/>
        <v>253-264</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0.5</v>
      </c>
      <c r="AN20" s="109">
        <f t="shared" si="6"/>
        <v>0.5</v>
      </c>
      <c r="AO20" s="109" t="str">
        <f t="shared" si="7"/>
        <v/>
      </c>
      <c r="AQ20" s="109" t="str">
        <f t="shared" si="8"/>
        <v/>
      </c>
      <c r="BA20" s="229">
        <f>MOD(SUM(E17:E21),12)</f>
        <v>4</v>
      </c>
    </row>
    <row r="21" spans="1:53" ht="15.75" thickBot="1" x14ac:dyDescent="0.3">
      <c r="A21" s="88"/>
      <c r="B21" s="66" t="s">
        <v>282</v>
      </c>
      <c r="C21" s="67" t="s">
        <v>484</v>
      </c>
      <c r="D21" s="102" t="s">
        <v>736</v>
      </c>
      <c r="E21" s="32">
        <v>4</v>
      </c>
      <c r="F21" s="32" t="s">
        <v>483</v>
      </c>
      <c r="G21" s="68" t="s">
        <v>277</v>
      </c>
      <c r="H21" s="69">
        <f t="shared" si="9"/>
        <v>249</v>
      </c>
      <c r="I21" s="70">
        <f t="shared" si="10"/>
        <v>252</v>
      </c>
      <c r="J21" s="73" t="str">
        <f t="shared" si="11"/>
        <v>--</v>
      </c>
      <c r="K21" s="32"/>
      <c r="L21" s="233"/>
      <c r="M21" s="279"/>
      <c r="N21" s="279"/>
      <c r="O21" s="279"/>
      <c r="P21" s="279"/>
      <c r="Q21" s="279"/>
      <c r="R21" s="279"/>
      <c r="S21" s="279"/>
      <c r="T21" s="279"/>
      <c r="U21" s="280"/>
      <c r="V21" s="103"/>
      <c r="W21" s="72"/>
      <c r="X21" s="72"/>
      <c r="Y21" s="72"/>
      <c r="Z21" s="45">
        <v>13</v>
      </c>
      <c r="AA21" s="77">
        <f t="shared" ref="AA21:AA26" si="12">AB20+1</f>
        <v>145</v>
      </c>
      <c r="AB21" s="77">
        <f t="shared" ref="AB21:AB26" si="13">AB20+12</f>
        <v>156</v>
      </c>
      <c r="AC21" s="72">
        <f t="shared" si="0"/>
        <v>1</v>
      </c>
      <c r="AD21" s="72">
        <f t="shared" si="1"/>
        <v>0</v>
      </c>
      <c r="AE21" s="109" t="str">
        <f t="shared" si="2"/>
        <v>249-252</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8</v>
      </c>
    </row>
    <row r="22" spans="1:53" ht="15.75" thickBot="1" x14ac:dyDescent="0.3">
      <c r="A22" s="88"/>
      <c r="B22" s="66" t="s">
        <v>283</v>
      </c>
      <c r="C22" s="67" t="s">
        <v>484</v>
      </c>
      <c r="D22" s="102" t="s">
        <v>737</v>
      </c>
      <c r="E22" s="32">
        <v>4</v>
      </c>
      <c r="F22" s="32" t="s">
        <v>483</v>
      </c>
      <c r="G22" s="68" t="s">
        <v>277</v>
      </c>
      <c r="H22" s="69">
        <f t="shared" si="9"/>
        <v>245</v>
      </c>
      <c r="I22" s="70">
        <f t="shared" si="10"/>
        <v>248</v>
      </c>
      <c r="J22" s="73" t="str">
        <f t="shared" si="11"/>
        <v>--</v>
      </c>
      <c r="K22" s="32"/>
      <c r="L22" s="233"/>
      <c r="M22" s="279"/>
      <c r="N22" s="279"/>
      <c r="O22" s="279"/>
      <c r="P22" s="279"/>
      <c r="Q22" s="279"/>
      <c r="R22" s="279"/>
      <c r="S22" s="279"/>
      <c r="T22" s="279"/>
      <c r="U22" s="280"/>
      <c r="V22" s="103"/>
      <c r="W22" s="72"/>
      <c r="X22" s="72"/>
      <c r="Y22" s="72"/>
      <c r="Z22" s="45">
        <v>14</v>
      </c>
      <c r="AA22" s="77">
        <f t="shared" si="12"/>
        <v>157</v>
      </c>
      <c r="AB22" s="77">
        <f t="shared" si="13"/>
        <v>168</v>
      </c>
      <c r="AC22" s="72">
        <f t="shared" si="0"/>
        <v>1</v>
      </c>
      <c r="AD22" s="72">
        <f t="shared" si="1"/>
        <v>0</v>
      </c>
      <c r="AE22" s="109" t="str">
        <f t="shared" si="2"/>
        <v>245-248</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t="s">
        <v>484</v>
      </c>
      <c r="D23" s="102" t="s">
        <v>738</v>
      </c>
      <c r="E23" s="32">
        <v>4</v>
      </c>
      <c r="F23" s="32" t="s">
        <v>483</v>
      </c>
      <c r="G23" s="68" t="s">
        <v>277</v>
      </c>
      <c r="H23" s="69">
        <f t="shared" si="9"/>
        <v>241</v>
      </c>
      <c r="I23" s="70">
        <f t="shared" si="10"/>
        <v>244</v>
      </c>
      <c r="J23" s="73" t="str">
        <f t="shared" si="11"/>
        <v>--</v>
      </c>
      <c r="K23" s="32"/>
      <c r="L23" s="233"/>
      <c r="M23" s="279"/>
      <c r="N23" s="279"/>
      <c r="O23" s="279"/>
      <c r="P23" s="279"/>
      <c r="Q23" s="279"/>
      <c r="R23" s="279"/>
      <c r="S23" s="279"/>
      <c r="T23" s="279"/>
      <c r="U23" s="280"/>
      <c r="V23" s="103"/>
      <c r="W23" s="72"/>
      <c r="X23" s="72"/>
      <c r="Y23" s="72"/>
      <c r="Z23" s="45">
        <v>15</v>
      </c>
      <c r="AA23" s="77">
        <f t="shared" si="12"/>
        <v>169</v>
      </c>
      <c r="AB23" s="77">
        <f t="shared" si="13"/>
        <v>180</v>
      </c>
      <c r="AC23" s="72">
        <f t="shared" si="0"/>
        <v>1</v>
      </c>
      <c r="AD23" s="72">
        <f t="shared" si="1"/>
        <v>0</v>
      </c>
      <c r="AE23" s="109" t="str">
        <f t="shared" si="2"/>
        <v>241-244</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t="s">
        <v>499</v>
      </c>
      <c r="D24" s="102"/>
      <c r="E24" s="32">
        <v>12</v>
      </c>
      <c r="F24" s="32"/>
      <c r="G24" s="68" t="s">
        <v>277</v>
      </c>
      <c r="H24" s="69">
        <f t="shared" si="9"/>
        <v>229</v>
      </c>
      <c r="I24" s="70">
        <f t="shared" si="10"/>
        <v>240</v>
      </c>
      <c r="J24" s="73" t="str">
        <f t="shared" si="11"/>
        <v>--</v>
      </c>
      <c r="K24" s="32"/>
      <c r="L24" s="233"/>
      <c r="M24" s="279" t="s">
        <v>405</v>
      </c>
      <c r="N24" s="279"/>
      <c r="O24" s="279"/>
      <c r="P24" s="279"/>
      <c r="Q24" s="279"/>
      <c r="R24" s="279"/>
      <c r="S24" s="279"/>
      <c r="T24" s="279"/>
      <c r="U24" s="280"/>
      <c r="V24" s="103"/>
      <c r="W24" s="72"/>
      <c r="X24" s="72"/>
      <c r="Y24" s="72"/>
      <c r="Z24" s="45">
        <f>Z23+1</f>
        <v>16</v>
      </c>
      <c r="AA24" s="77">
        <f t="shared" si="12"/>
        <v>181</v>
      </c>
      <c r="AB24" s="77">
        <f t="shared" si="13"/>
        <v>192</v>
      </c>
      <c r="AC24" s="72">
        <f t="shared" si="0"/>
        <v>1</v>
      </c>
      <c r="AD24" s="72">
        <f t="shared" si="1"/>
        <v>1</v>
      </c>
      <c r="AE24" s="109" t="str">
        <f t="shared" si="2"/>
        <v>229-240</v>
      </c>
      <c r="AF24" s="109" t="str">
        <f t="shared" si="3"/>
        <v>Y</v>
      </c>
      <c r="AG24" s="109" t="str">
        <f t="shared" si="4"/>
        <v>B</v>
      </c>
      <c r="AM24" s="109">
        <f t="shared" si="5"/>
        <v>0.5</v>
      </c>
      <c r="AN24" s="109">
        <f t="shared" si="6"/>
        <v>0.5</v>
      </c>
      <c r="AO24" s="109" t="str">
        <f t="shared" si="7"/>
        <v/>
      </c>
      <c r="AQ24" s="109" t="str">
        <f t="shared" si="8"/>
        <v/>
      </c>
      <c r="BA24" s="229">
        <f>MOD(SUM(E17:E25),12)</f>
        <v>0</v>
      </c>
    </row>
    <row r="25" spans="1:53" ht="15.75" thickBot="1" x14ac:dyDescent="0.3">
      <c r="A25" s="88"/>
      <c r="B25" s="66" t="s">
        <v>286</v>
      </c>
      <c r="C25" s="67" t="s">
        <v>499</v>
      </c>
      <c r="D25" s="102"/>
      <c r="E25" s="32">
        <v>12</v>
      </c>
      <c r="F25" s="32"/>
      <c r="G25" s="68" t="s">
        <v>277</v>
      </c>
      <c r="H25" s="69">
        <f t="shared" si="9"/>
        <v>217</v>
      </c>
      <c r="I25" s="70">
        <f t="shared" si="10"/>
        <v>228</v>
      </c>
      <c r="J25" s="73" t="str">
        <f t="shared" si="11"/>
        <v>--</v>
      </c>
      <c r="K25" s="32"/>
      <c r="L25" s="233"/>
      <c r="M25" s="279" t="s">
        <v>405</v>
      </c>
      <c r="N25" s="279"/>
      <c r="O25" s="279"/>
      <c r="P25" s="279"/>
      <c r="Q25" s="279"/>
      <c r="R25" s="279"/>
      <c r="S25" s="279"/>
      <c r="T25" s="279"/>
      <c r="U25" s="280"/>
      <c r="V25" s="103"/>
      <c r="W25" s="72"/>
      <c r="X25" s="72"/>
      <c r="Y25" s="72"/>
      <c r="Z25" s="45">
        <f>Z24+1</f>
        <v>17</v>
      </c>
      <c r="AA25" s="77">
        <f t="shared" si="12"/>
        <v>193</v>
      </c>
      <c r="AB25" s="77">
        <f t="shared" si="13"/>
        <v>204</v>
      </c>
      <c r="AC25" s="72">
        <f t="shared" si="0"/>
        <v>1</v>
      </c>
      <c r="AD25" s="72">
        <f t="shared" si="1"/>
        <v>1</v>
      </c>
      <c r="AE25" s="109" t="str">
        <f t="shared" si="2"/>
        <v>217-228</v>
      </c>
      <c r="AF25" s="109" t="str">
        <f t="shared" si="3"/>
        <v>Y</v>
      </c>
      <c r="AG25" s="109" t="str">
        <f t="shared" si="4"/>
        <v>B</v>
      </c>
      <c r="AM25" s="109">
        <f t="shared" si="5"/>
        <v>0.5</v>
      </c>
      <c r="AN25" s="109">
        <f t="shared" si="6"/>
        <v>0.5</v>
      </c>
      <c r="AO25" s="109" t="str">
        <f t="shared" si="7"/>
        <v/>
      </c>
      <c r="AQ25" s="109" t="str">
        <f t="shared" si="8"/>
        <v/>
      </c>
      <c r="BA25" s="229">
        <f>MOD(SUM(E17:E26),12)</f>
        <v>4</v>
      </c>
    </row>
    <row r="26" spans="1:53" ht="15.75" thickBot="1" x14ac:dyDescent="0.3">
      <c r="A26" s="88"/>
      <c r="B26" s="66" t="s">
        <v>287</v>
      </c>
      <c r="C26" s="67" t="s">
        <v>484</v>
      </c>
      <c r="D26" s="102" t="s">
        <v>739</v>
      </c>
      <c r="E26" s="32">
        <v>4</v>
      </c>
      <c r="F26" s="32" t="s">
        <v>483</v>
      </c>
      <c r="G26" s="68" t="s">
        <v>277</v>
      </c>
      <c r="H26" s="69">
        <f t="shared" si="9"/>
        <v>213</v>
      </c>
      <c r="I26" s="70">
        <f t="shared" si="10"/>
        <v>216</v>
      </c>
      <c r="J26" s="73" t="str">
        <f t="shared" si="11"/>
        <v>--</v>
      </c>
      <c r="K26" s="32"/>
      <c r="L26" s="233"/>
      <c r="M26" s="279"/>
      <c r="N26" s="279"/>
      <c r="O26" s="279"/>
      <c r="P26" s="279"/>
      <c r="Q26" s="279"/>
      <c r="R26" s="279"/>
      <c r="S26" s="279"/>
      <c r="T26" s="279"/>
      <c r="U26" s="280"/>
      <c r="V26" s="103"/>
      <c r="W26" s="72"/>
      <c r="X26" s="72"/>
      <c r="Y26" s="72"/>
      <c r="Z26" s="45">
        <f>Z25+1</f>
        <v>18</v>
      </c>
      <c r="AA26" s="77">
        <f t="shared" si="12"/>
        <v>205</v>
      </c>
      <c r="AB26" s="77">
        <f t="shared" si="13"/>
        <v>216</v>
      </c>
      <c r="AC26" s="72">
        <f t="shared" si="0"/>
        <v>1</v>
      </c>
      <c r="AD26" s="72">
        <f t="shared" si="1"/>
        <v>0</v>
      </c>
      <c r="AE26" s="109" t="str">
        <f t="shared" si="2"/>
        <v>213-216</v>
      </c>
      <c r="AF26" s="109" t="str">
        <f t="shared" si="3"/>
        <v>Y</v>
      </c>
      <c r="AG26" s="109" t="str">
        <f t="shared" si="4"/>
        <v>B</v>
      </c>
      <c r="AM26" s="109">
        <f t="shared" si="5"/>
        <v>0</v>
      </c>
      <c r="AN26" s="109">
        <f t="shared" si="6"/>
        <v>0</v>
      </c>
      <c r="AO26" s="109" t="str">
        <f t="shared" si="7"/>
        <v/>
      </c>
      <c r="AQ26" s="109" t="str">
        <f t="shared" si="8"/>
        <v/>
      </c>
      <c r="BA26" s="229">
        <f>MOD(SUM(E17:E27),12)</f>
        <v>8</v>
      </c>
    </row>
    <row r="27" spans="1:53" ht="15.75" thickBot="1" x14ac:dyDescent="0.3">
      <c r="A27" s="88"/>
      <c r="B27" s="66" t="s">
        <v>288</v>
      </c>
      <c r="C27" s="67" t="s">
        <v>484</v>
      </c>
      <c r="D27" s="102" t="s">
        <v>740</v>
      </c>
      <c r="E27" s="32">
        <v>4</v>
      </c>
      <c r="F27" s="32" t="s">
        <v>483</v>
      </c>
      <c r="G27" s="68" t="s">
        <v>277</v>
      </c>
      <c r="H27" s="69">
        <f t="shared" si="9"/>
        <v>209</v>
      </c>
      <c r="I27" s="70">
        <f t="shared" si="10"/>
        <v>212</v>
      </c>
      <c r="J27" s="73" t="str">
        <f t="shared" si="11"/>
        <v>--</v>
      </c>
      <c r="K27" s="32"/>
      <c r="L27" s="233"/>
      <c r="M27" s="279"/>
      <c r="N27" s="279"/>
      <c r="O27" s="279"/>
      <c r="P27" s="279"/>
      <c r="Q27" s="279"/>
      <c r="R27" s="279"/>
      <c r="S27" s="279"/>
      <c r="T27" s="279"/>
      <c r="U27" s="280"/>
      <c r="V27" s="103"/>
      <c r="W27" s="84"/>
      <c r="X27" s="84"/>
      <c r="Y27" s="72"/>
      <c r="Z27" s="72"/>
      <c r="AA27" s="72"/>
      <c r="AB27" s="72"/>
      <c r="AC27" s="72">
        <f t="shared" si="0"/>
        <v>1</v>
      </c>
      <c r="AD27" s="72">
        <f t="shared" si="1"/>
        <v>0</v>
      </c>
      <c r="AE27" s="109" t="str">
        <f t="shared" si="2"/>
        <v>209-212</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t="s">
        <v>484</v>
      </c>
      <c r="D28" s="102" t="s">
        <v>741</v>
      </c>
      <c r="E28" s="32">
        <v>4</v>
      </c>
      <c r="F28" s="32" t="s">
        <v>483</v>
      </c>
      <c r="G28" s="68" t="s">
        <v>277</v>
      </c>
      <c r="H28" s="69">
        <f t="shared" si="9"/>
        <v>205</v>
      </c>
      <c r="I28" s="70">
        <f t="shared" si="10"/>
        <v>208</v>
      </c>
      <c r="J28" s="73" t="str">
        <f t="shared" si="11"/>
        <v>--</v>
      </c>
      <c r="K28" s="32"/>
      <c r="L28" s="233"/>
      <c r="M28" s="279"/>
      <c r="N28" s="279"/>
      <c r="O28" s="279"/>
      <c r="P28" s="279"/>
      <c r="Q28" s="279"/>
      <c r="R28" s="279"/>
      <c r="S28" s="279"/>
      <c r="T28" s="279"/>
      <c r="U28" s="280"/>
      <c r="V28" s="103"/>
      <c r="W28" s="84">
        <f>Y28+1</f>
        <v>85</v>
      </c>
      <c r="X28" s="84"/>
      <c r="Y28" s="78">
        <f>SUM(E17:E28)</f>
        <v>84</v>
      </c>
      <c r="Z28" s="72"/>
      <c r="AA28" s="72"/>
      <c r="AB28" s="72"/>
      <c r="AC28" s="72">
        <f t="shared" si="0"/>
        <v>1</v>
      </c>
      <c r="AD28" s="72">
        <f t="shared" si="1"/>
        <v>0</v>
      </c>
      <c r="AE28" s="109" t="str">
        <f t="shared" si="2"/>
        <v>205-208</v>
      </c>
      <c r="AF28" s="109" t="str">
        <f t="shared" si="3"/>
        <v>Y</v>
      </c>
      <c r="AG28" s="109" t="str">
        <f t="shared" si="4"/>
        <v>B</v>
      </c>
      <c r="AM28" s="109">
        <f t="shared" si="5"/>
        <v>0</v>
      </c>
      <c r="AN28" s="109">
        <f t="shared" si="6"/>
        <v>0</v>
      </c>
      <c r="AO28" s="109" t="str">
        <f t="shared" si="7"/>
        <v/>
      </c>
      <c r="AQ28" s="109" t="str">
        <f t="shared" si="8"/>
        <v/>
      </c>
      <c r="BA28" s="229">
        <f>MOD(SUM(E17:E29),12)</f>
        <v>4</v>
      </c>
    </row>
    <row r="29" spans="1:53" ht="15.75" thickBot="1" x14ac:dyDescent="0.3">
      <c r="A29" s="88"/>
      <c r="B29" s="66" t="s">
        <v>290</v>
      </c>
      <c r="C29" s="67" t="s">
        <v>484</v>
      </c>
      <c r="D29" s="102" t="s">
        <v>742</v>
      </c>
      <c r="E29" s="32">
        <v>4</v>
      </c>
      <c r="F29" s="32" t="s">
        <v>483</v>
      </c>
      <c r="G29" s="68" t="s">
        <v>277</v>
      </c>
      <c r="H29" s="69">
        <f t="shared" si="9"/>
        <v>201</v>
      </c>
      <c r="I29" s="70">
        <f t="shared" si="10"/>
        <v>204</v>
      </c>
      <c r="J29" s="73" t="str">
        <f t="shared" si="11"/>
        <v>--</v>
      </c>
      <c r="K29" s="32"/>
      <c r="L29" s="233"/>
      <c r="M29" s="279"/>
      <c r="N29" s="279"/>
      <c r="O29" s="279"/>
      <c r="P29" s="279"/>
      <c r="Q29" s="279"/>
      <c r="R29" s="279"/>
      <c r="S29" s="279"/>
      <c r="T29" s="279"/>
      <c r="U29" s="280"/>
      <c r="V29" s="103"/>
      <c r="W29" s="84">
        <f>Y29+1</f>
        <v>89</v>
      </c>
      <c r="X29" s="84"/>
      <c r="Y29" s="78">
        <f>SUM(E17:E29)</f>
        <v>88</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201-204</v>
      </c>
      <c r="AF29" s="109" t="str">
        <f t="shared" si="3"/>
        <v>Y</v>
      </c>
      <c r="AG29" s="109" t="str">
        <f t="shared" si="4"/>
        <v>B</v>
      </c>
      <c r="AM29" s="109">
        <f t="shared" si="5"/>
        <v>0</v>
      </c>
      <c r="AN29" s="109">
        <f t="shared" si="6"/>
        <v>0</v>
      </c>
      <c r="AO29" s="109" t="str">
        <f t="shared" si="7"/>
        <v/>
      </c>
      <c r="AQ29" s="109" t="str">
        <f t="shared" si="8"/>
        <v/>
      </c>
      <c r="BA29" s="229">
        <f>MOD(SUM(E17:E30),12)</f>
        <v>8</v>
      </c>
    </row>
    <row r="30" spans="1:53" ht="15.75" thickBot="1" x14ac:dyDescent="0.3">
      <c r="A30" s="88"/>
      <c r="B30" s="66" t="s">
        <v>291</v>
      </c>
      <c r="C30" s="67" t="s">
        <v>484</v>
      </c>
      <c r="D30" s="102" t="s">
        <v>743</v>
      </c>
      <c r="E30" s="32">
        <v>4</v>
      </c>
      <c r="F30" s="32" t="s">
        <v>483</v>
      </c>
      <c r="G30" s="68" t="s">
        <v>277</v>
      </c>
      <c r="H30" s="69">
        <f t="shared" si="9"/>
        <v>197</v>
      </c>
      <c r="I30" s="70">
        <f t="shared" si="10"/>
        <v>200</v>
      </c>
      <c r="J30" s="73" t="str">
        <f t="shared" si="11"/>
        <v>--</v>
      </c>
      <c r="K30" s="32"/>
      <c r="L30" s="233"/>
      <c r="M30" s="279"/>
      <c r="N30" s="279"/>
      <c r="O30" s="279"/>
      <c r="P30" s="279"/>
      <c r="Q30" s="279"/>
      <c r="R30" s="279"/>
      <c r="S30" s="279"/>
      <c r="T30" s="279"/>
      <c r="U30" s="280"/>
      <c r="V30" s="103"/>
      <c r="W30" s="84">
        <f>Y30+1</f>
        <v>93</v>
      </c>
      <c r="X30" s="84"/>
      <c r="Y30" s="78">
        <f>SUM(E17:E30)</f>
        <v>92</v>
      </c>
      <c r="Z30" s="72" t="str">
        <f t="shared" si="14"/>
        <v/>
      </c>
      <c r="AA30" s="72"/>
      <c r="AB30" s="72"/>
      <c r="AC30" s="72">
        <f t="shared" si="0"/>
        <v>1</v>
      </c>
      <c r="AD30" s="72">
        <f t="shared" si="1"/>
        <v>0</v>
      </c>
      <c r="AE30" s="109" t="str">
        <f t="shared" si="2"/>
        <v>197-200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t="s">
        <v>484</v>
      </c>
      <c r="D31" s="102" t="s">
        <v>744</v>
      </c>
      <c r="E31" s="32">
        <v>4</v>
      </c>
      <c r="F31" s="32" t="s">
        <v>483</v>
      </c>
      <c r="G31" s="68" t="s">
        <v>277</v>
      </c>
      <c r="H31" s="69">
        <f t="shared" si="9"/>
        <v>193</v>
      </c>
      <c r="I31" s="70">
        <f t="shared" si="10"/>
        <v>196</v>
      </c>
      <c r="J31" s="73" t="str">
        <f t="shared" si="11"/>
        <v>--</v>
      </c>
      <c r="K31" s="32"/>
      <c r="L31" s="233"/>
      <c r="M31" s="279"/>
      <c r="N31" s="279"/>
      <c r="O31" s="279"/>
      <c r="P31" s="279"/>
      <c r="Q31" s="279"/>
      <c r="R31" s="279"/>
      <c r="S31" s="279"/>
      <c r="T31" s="279"/>
      <c r="U31" s="280"/>
      <c r="V31" s="103"/>
      <c r="W31" s="84">
        <f>Y31+1</f>
        <v>97</v>
      </c>
      <c r="X31" s="84"/>
      <c r="Y31" s="78">
        <f>SUM(E17:E31)</f>
        <v>96</v>
      </c>
      <c r="Z31" s="72" t="str">
        <f t="shared" si="14"/>
        <v/>
      </c>
      <c r="AA31" s="72" t="str">
        <f t="shared" ref="AA31:AA43" si="15">IF(AND(C29&lt;&gt;"Field SPL",W28&lt;=144,Y29&gt;144),"ERROR","")</f>
        <v/>
      </c>
      <c r="AB31" s="72"/>
      <c r="AC31" s="72">
        <f t="shared" si="0"/>
        <v>1</v>
      </c>
      <c r="AD31" s="72">
        <f t="shared" si="1"/>
        <v>0</v>
      </c>
      <c r="AE31" s="109" t="str">
        <f t="shared" si="2"/>
        <v>193-196</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9"/>
      <c r="N32" s="279"/>
      <c r="O32" s="279"/>
      <c r="P32" s="279"/>
      <c r="Q32" s="279"/>
      <c r="R32" s="279"/>
      <c r="S32" s="279"/>
      <c r="T32" s="279"/>
      <c r="U32" s="280"/>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9"/>
      <c r="N33" s="279"/>
      <c r="O33" s="279"/>
      <c r="P33" s="279"/>
      <c r="Q33" s="279"/>
      <c r="R33" s="279"/>
      <c r="S33" s="279"/>
      <c r="T33" s="279"/>
      <c r="U33" s="280"/>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9"/>
      <c r="N34" s="279"/>
      <c r="O34" s="279"/>
      <c r="P34" s="279"/>
      <c r="Q34" s="279"/>
      <c r="R34" s="279"/>
      <c r="S34" s="279"/>
      <c r="T34" s="279"/>
      <c r="U34" s="280"/>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9"/>
      <c r="N35" s="279"/>
      <c r="O35" s="279"/>
      <c r="P35" s="279"/>
      <c r="Q35" s="279"/>
      <c r="R35" s="279"/>
      <c r="S35" s="279"/>
      <c r="T35" s="279"/>
      <c r="U35" s="280"/>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9"/>
      <c r="N36" s="279"/>
      <c r="O36" s="279"/>
      <c r="P36" s="279"/>
      <c r="Q36" s="279"/>
      <c r="R36" s="279"/>
      <c r="S36" s="279"/>
      <c r="T36" s="279"/>
      <c r="U36" s="280"/>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9"/>
      <c r="N37" s="279"/>
      <c r="O37" s="279"/>
      <c r="P37" s="279"/>
      <c r="Q37" s="279"/>
      <c r="R37" s="279"/>
      <c r="S37" s="279"/>
      <c r="T37" s="279"/>
      <c r="U37" s="280"/>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9"/>
      <c r="N38" s="279"/>
      <c r="O38" s="279"/>
      <c r="P38" s="279"/>
      <c r="Q38" s="279"/>
      <c r="R38" s="279"/>
      <c r="S38" s="279"/>
      <c r="T38" s="279"/>
      <c r="U38" s="280"/>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9"/>
      <c r="N39" s="279"/>
      <c r="O39" s="279"/>
      <c r="P39" s="279"/>
      <c r="Q39" s="279"/>
      <c r="R39" s="279"/>
      <c r="S39" s="279"/>
      <c r="T39" s="279"/>
      <c r="U39" s="280"/>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9"/>
      <c r="N40" s="279"/>
      <c r="O40" s="279"/>
      <c r="P40" s="279"/>
      <c r="Q40" s="279"/>
      <c r="R40" s="279"/>
      <c r="S40" s="279"/>
      <c r="T40" s="279"/>
      <c r="U40" s="280"/>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9"/>
      <c r="N41" s="279"/>
      <c r="O41" s="279"/>
      <c r="P41" s="279"/>
      <c r="Q41" s="279"/>
      <c r="R41" s="279"/>
      <c r="S41" s="279"/>
      <c r="T41" s="279"/>
      <c r="U41" s="280"/>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0" t="s">
        <v>303</v>
      </c>
      <c r="C42" s="321"/>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2</v>
      </c>
      <c r="AN42" s="109">
        <f>SUM(AN17:AN41)</f>
        <v>2</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3" t="s">
        <v>222</v>
      </c>
      <c r="C47" s="314"/>
      <c r="D47" s="315" t="s">
        <v>223</v>
      </c>
      <c r="E47" s="306"/>
      <c r="F47" s="88"/>
      <c r="G47" s="316" t="s">
        <v>224</v>
      </c>
      <c r="H47" s="317"/>
      <c r="I47" s="28">
        <f>SUM(E58:E82)</f>
        <v>24</v>
      </c>
      <c r="J47" s="318" t="s">
        <v>225</v>
      </c>
      <c r="K47" s="319"/>
      <c r="L47" s="306"/>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6" t="s">
        <v>226</v>
      </c>
      <c r="AA47" s="297"/>
      <c r="AB47" s="298"/>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5" t="s">
        <v>230</v>
      </c>
      <c r="H48" s="306"/>
      <c r="I48" s="33">
        <f>E49-I47</f>
        <v>0</v>
      </c>
      <c r="J48" s="290" t="s">
        <v>231</v>
      </c>
      <c r="K48" s="291"/>
      <c r="L48" s="34">
        <f>I52</f>
        <v>253</v>
      </c>
      <c r="M48" s="196">
        <v>4</v>
      </c>
      <c r="N48" s="35">
        <f>SUM(AI48,AI59)</f>
        <v>0</v>
      </c>
      <c r="O48" s="35">
        <v>0</v>
      </c>
      <c r="P48" s="35">
        <f>SUM(AJ48,AJ59)</f>
        <v>6</v>
      </c>
      <c r="Q48" s="35">
        <v>0</v>
      </c>
      <c r="R48" s="35">
        <f>COUNTIFS($E58:$E82,"4",$F58:$F82,"Pole",$C58:$C82,"FST")</f>
        <v>6</v>
      </c>
      <c r="S48" s="35">
        <f>SUM(AL48,AK59)</f>
        <v>0</v>
      </c>
      <c r="T48" s="35">
        <v>0</v>
      </c>
      <c r="U48" s="35">
        <f>SUM(AK48,AL59)</f>
        <v>0</v>
      </c>
      <c r="V48" s="35">
        <v>0</v>
      </c>
      <c r="W48" s="34">
        <f>COUNTIFS($E58:$E82,"4",$F58:$F82,"HH",$C58:$C82,"FST")</f>
        <v>0</v>
      </c>
      <c r="X48" s="35">
        <f>COUNTIFS($E58:$E82,"4",$F58:$F82,"Ped",$C58:$C82,"FST")</f>
        <v>0</v>
      </c>
      <c r="Y48" s="25"/>
      <c r="Z48" s="299" t="s">
        <v>232</v>
      </c>
      <c r="AA48" s="301" t="s">
        <v>233</v>
      </c>
      <c r="AB48" s="302"/>
      <c r="AC48" s="25"/>
      <c r="AD48" s="25"/>
      <c r="AH48" s="109">
        <v>4</v>
      </c>
      <c r="AI48" s="109" t="str">
        <f>IF($E48="SS",COUNTIFS($C58:$C82,"FST",$E58:$E82,"4"),"0")</f>
        <v>0</v>
      </c>
      <c r="AJ48" s="109">
        <f>IF($E48="RPX",COUNTIFS($C58:$C82,"FST",$E58:$E82,"4"),"0")</f>
        <v>6</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292" t="s">
        <v>237</v>
      </c>
      <c r="H49" s="293"/>
      <c r="I49" s="35">
        <f>IF(E49=0,0,12-(MOD(I47,12)))</f>
        <v>12</v>
      </c>
      <c r="J49" s="290" t="s">
        <v>238</v>
      </c>
      <c r="K49" s="291"/>
      <c r="L49" s="39">
        <f>I53-I47</f>
        <v>252</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0"/>
      <c r="AA49" s="303"/>
      <c r="AB49" s="304"/>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2" t="s">
        <v>242</v>
      </c>
      <c r="H50" s="43" t="s">
        <v>243</v>
      </c>
      <c r="I50" s="35">
        <f>IF(E50&lt;&gt;0,1,0)</f>
        <v>0</v>
      </c>
      <c r="J50" s="292" t="s">
        <v>244</v>
      </c>
      <c r="K50" s="293"/>
      <c r="L50" s="44">
        <f>'Cable Calculator'!I3</f>
        <v>1292</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253</v>
      </c>
      <c r="F51" s="88"/>
      <c r="G51" s="323"/>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2" t="s">
        <v>251</v>
      </c>
      <c r="H52" s="51" t="s">
        <v>252</v>
      </c>
      <c r="I52" s="112">
        <f>E51</f>
        <v>253</v>
      </c>
      <c r="J52" s="324" t="s">
        <v>253</v>
      </c>
      <c r="K52" s="325"/>
      <c r="L52" s="32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323"/>
      <c r="H53" s="47" t="s">
        <v>257</v>
      </c>
      <c r="I53" s="35">
        <f>IF(E51="","0",IF(AND(E48="EUC",E49=432), I52+(203-E50),IF(E51=0,0,(E51+(E49-E50)-1))))</f>
        <v>276</v>
      </c>
      <c r="J53" s="287" t="str">
        <f>IFERROR(IF(OR(E48="EUC",E48="SS"),"---",IF(OR(P47,S47),"NO 2F Tethers for RPX!",IF(OR(P49,S49),"NO 6F Tethers for RPX!","---"))),"---")</f>
        <v>---</v>
      </c>
      <c r="K53" s="288"/>
      <c r="L53" s="289"/>
      <c r="M53" s="287" t="str">
        <f>IF(E50&gt;60,"Dead Count &gt;60: Consider Downsize","---")</f>
        <v>---</v>
      </c>
      <c r="N53" s="288"/>
      <c r="O53" s="288"/>
      <c r="P53" s="288"/>
      <c r="Q53" s="288"/>
      <c r="R53" s="288"/>
      <c r="S53" s="288"/>
      <c r="T53" s="288"/>
      <c r="U53" s="289"/>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87"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8"/>
      <c r="L54" s="289"/>
      <c r="M54" s="287" t="str">
        <f>IF(AND(OR(E48="SS",E48="RPX",E48="EUC",E48="RPX-T"),(OR(C58="",C58="Field SPL"))),"Cannot have FlexNap cables without tethers","---")</f>
        <v>---</v>
      </c>
      <c r="N54" s="288"/>
      <c r="O54" s="288"/>
      <c r="P54" s="288"/>
      <c r="Q54" s="288"/>
      <c r="R54" s="288"/>
      <c r="S54" s="288"/>
      <c r="T54" s="288"/>
      <c r="U54" s="289"/>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7" t="str">
        <f>IF(AND(OR(E48="RPX", E48="RPX-T", E48="SS"),E49=216),"NO 216 For RPX, RPX-T, OR SS CABLE","---")</f>
        <v>---</v>
      </c>
      <c r="K55" s="288"/>
      <c r="L55" s="289"/>
      <c r="M55" s="287" t="str" cm="1">
        <f t="array" ref="M55">IF(AND(E48="",OR(C58:C82="FST",C58:C82="REV T",C58:C82="DBL REV",C58:C82="TPL REV", C58:C82="QD REV")),"Non-FlexNap cables cannot have tethers","---")</f>
        <v>---</v>
      </c>
      <c r="N55" s="288"/>
      <c r="O55" s="288"/>
      <c r="P55" s="288"/>
      <c r="Q55" s="288"/>
      <c r="R55" s="288"/>
      <c r="S55" s="288"/>
      <c r="T55" s="288"/>
      <c r="U55" s="289"/>
      <c r="V55" s="25"/>
      <c r="W55" s="58"/>
      <c r="X55" s="58"/>
      <c r="Y55" s="25"/>
      <c r="Z55" s="45">
        <v>6</v>
      </c>
      <c r="AA55" s="65">
        <v>61</v>
      </c>
      <c r="AB55" s="65">
        <v>72</v>
      </c>
      <c r="AC55" s="25"/>
      <c r="AD55" s="25"/>
      <c r="BA55" s="226"/>
    </row>
    <row r="56" spans="1:53" ht="15.75" customHeight="1" thickBot="1" x14ac:dyDescent="0.3">
      <c r="A56" s="88"/>
      <c r="B56" s="322" t="s">
        <v>260</v>
      </c>
      <c r="C56" s="294" t="s">
        <v>261</v>
      </c>
      <c r="D56" s="294" t="s">
        <v>262</v>
      </c>
      <c r="E56" s="307" t="s">
        <v>263</v>
      </c>
      <c r="F56" s="294" t="s">
        <v>264</v>
      </c>
      <c r="G56" s="309" t="s">
        <v>265</v>
      </c>
      <c r="H56" s="309" t="s">
        <v>266</v>
      </c>
      <c r="I56" s="309" t="s">
        <v>267</v>
      </c>
      <c r="J56" s="311" t="s">
        <v>268</v>
      </c>
      <c r="K56" s="294" t="s">
        <v>269</v>
      </c>
      <c r="L56" s="281" t="s">
        <v>270</v>
      </c>
      <c r="M56" s="283" t="s">
        <v>271</v>
      </c>
      <c r="N56" s="283"/>
      <c r="O56" s="283"/>
      <c r="P56" s="283"/>
      <c r="Q56" s="283"/>
      <c r="R56" s="283"/>
      <c r="S56" s="283"/>
      <c r="T56" s="283"/>
      <c r="U56" s="284"/>
      <c r="V56" s="107"/>
      <c r="W56" s="72"/>
      <c r="X56" s="72"/>
      <c r="Y56" s="72"/>
      <c r="Z56" s="45">
        <v>7</v>
      </c>
      <c r="AA56" s="65">
        <v>73</v>
      </c>
      <c r="AB56" s="65">
        <v>84</v>
      </c>
      <c r="AC56" s="25"/>
      <c r="AD56" s="25"/>
      <c r="BA56" s="228"/>
    </row>
    <row r="57" spans="1:53" ht="15.75" thickBot="1" x14ac:dyDescent="0.3">
      <c r="A57" s="88"/>
      <c r="B57" s="323"/>
      <c r="C57" s="295"/>
      <c r="D57" s="295"/>
      <c r="E57" s="308"/>
      <c r="F57" s="295"/>
      <c r="G57" s="310"/>
      <c r="H57" s="310"/>
      <c r="I57" s="310"/>
      <c r="J57" s="312"/>
      <c r="K57" s="295"/>
      <c r="L57" s="282"/>
      <c r="M57" s="285"/>
      <c r="N57" s="285"/>
      <c r="O57" s="285"/>
      <c r="P57" s="285"/>
      <c r="Q57" s="285"/>
      <c r="R57" s="285"/>
      <c r="S57" s="285"/>
      <c r="T57" s="285"/>
      <c r="U57" s="28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745</v>
      </c>
      <c r="E58" s="32">
        <v>4</v>
      </c>
      <c r="F58" s="32" t="s">
        <v>483</v>
      </c>
      <c r="G58" s="68" t="s">
        <v>277</v>
      </c>
      <c r="H58" s="69">
        <f>IF(I58=0,0,I58-(E58-1))</f>
        <v>273</v>
      </c>
      <c r="I58" s="70">
        <f>IF(E58=0,0,I53)</f>
        <v>276</v>
      </c>
      <c r="J58" s="71" t="s">
        <v>278</v>
      </c>
      <c r="K58" s="32"/>
      <c r="L58" s="233"/>
      <c r="M58" s="279"/>
      <c r="N58" s="279"/>
      <c r="O58" s="279"/>
      <c r="P58" s="279"/>
      <c r="Q58" s="279"/>
      <c r="R58" s="279"/>
      <c r="S58" s="279"/>
      <c r="T58" s="279"/>
      <c r="U58" s="280"/>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273-276</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746</v>
      </c>
      <c r="E59" s="32">
        <v>4</v>
      </c>
      <c r="F59" s="32" t="s">
        <v>483</v>
      </c>
      <c r="G59" s="68" t="s">
        <v>277</v>
      </c>
      <c r="H59" s="69">
        <f t="shared" ref="H59:H82" si="26">IF(E59=0,0,I59-(E59-1))</f>
        <v>269</v>
      </c>
      <c r="I59" s="70">
        <f t="shared" ref="I59:I82" si="27">IF(E59=0,0,H58-1)</f>
        <v>272</v>
      </c>
      <c r="J59" s="73" t="str">
        <f>IF(C59="","--",IF(AND(C59&lt;&gt;"FST",C59&lt;&gt;"TCF",BA58&lt;&gt;0),BA58,"--"))</f>
        <v>--</v>
      </c>
      <c r="K59" s="32"/>
      <c r="L59" s="233"/>
      <c r="M59" s="279"/>
      <c r="N59" s="279"/>
      <c r="O59" s="279"/>
      <c r="P59" s="279"/>
      <c r="Q59" s="279"/>
      <c r="R59" s="279"/>
      <c r="S59" s="279"/>
      <c r="T59" s="279"/>
      <c r="U59" s="280"/>
      <c r="V59" s="103"/>
      <c r="W59" s="72"/>
      <c r="X59" s="72"/>
      <c r="Y59" s="72"/>
      <c r="Z59" s="45">
        <v>10</v>
      </c>
      <c r="AA59" s="46">
        <v>109</v>
      </c>
      <c r="AB59" s="46">
        <v>120</v>
      </c>
      <c r="AC59" s="72">
        <f t="shared" si="17"/>
        <v>1</v>
      </c>
      <c r="AD59" s="72">
        <f t="shared" si="18"/>
        <v>0</v>
      </c>
      <c r="AE59" s="109" t="str">
        <f t="shared" si="19"/>
        <v>269-272</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747</v>
      </c>
      <c r="E60" s="32">
        <v>4</v>
      </c>
      <c r="F60" s="32" t="s">
        <v>483</v>
      </c>
      <c r="G60" s="75" t="s">
        <v>277</v>
      </c>
      <c r="H60" s="69">
        <f t="shared" si="26"/>
        <v>265</v>
      </c>
      <c r="I60" s="70">
        <f t="shared" si="27"/>
        <v>268</v>
      </c>
      <c r="J60" s="73" t="str">
        <f t="shared" ref="J60:J82" si="28">IF(C60="","--",IF(AND(C60&lt;&gt;"FST",C60&lt;&gt;"TCF",BA59&lt;&gt;0),BA59,"--"))</f>
        <v>--</v>
      </c>
      <c r="K60" s="32"/>
      <c r="L60" s="233"/>
      <c r="M60" s="279"/>
      <c r="N60" s="279"/>
      <c r="O60" s="279"/>
      <c r="P60" s="279"/>
      <c r="Q60" s="279"/>
      <c r="R60" s="279"/>
      <c r="S60" s="279"/>
      <c r="T60" s="279"/>
      <c r="U60" s="280"/>
      <c r="V60" s="103"/>
      <c r="W60" s="72"/>
      <c r="X60" s="72"/>
      <c r="Y60" s="72"/>
      <c r="Z60" s="45">
        <v>11</v>
      </c>
      <c r="AA60" s="46">
        <v>121</v>
      </c>
      <c r="AB60" s="46">
        <v>132</v>
      </c>
      <c r="AC60" s="72">
        <f t="shared" si="17"/>
        <v>1</v>
      </c>
      <c r="AD60" s="72">
        <f t="shared" si="18"/>
        <v>0</v>
      </c>
      <c r="AE60" s="109" t="str">
        <f t="shared" si="19"/>
        <v>265-268</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748</v>
      </c>
      <c r="E61" s="32">
        <v>4</v>
      </c>
      <c r="F61" s="32" t="s">
        <v>483</v>
      </c>
      <c r="G61" s="68" t="s">
        <v>277</v>
      </c>
      <c r="H61" s="69">
        <f t="shared" si="26"/>
        <v>261</v>
      </c>
      <c r="I61" s="70">
        <f t="shared" si="27"/>
        <v>264</v>
      </c>
      <c r="J61" s="73" t="str">
        <f t="shared" si="28"/>
        <v>--</v>
      </c>
      <c r="K61" s="32"/>
      <c r="L61" s="233"/>
      <c r="M61" s="279"/>
      <c r="N61" s="279"/>
      <c r="O61" s="279"/>
      <c r="P61" s="279"/>
      <c r="Q61" s="279"/>
      <c r="R61" s="279"/>
      <c r="S61" s="279"/>
      <c r="T61" s="279"/>
      <c r="U61" s="280"/>
      <c r="V61" s="103"/>
      <c r="W61" s="72"/>
      <c r="X61" s="72"/>
      <c r="Y61" s="72"/>
      <c r="Z61" s="45">
        <v>12</v>
      </c>
      <c r="AA61" s="76">
        <v>133</v>
      </c>
      <c r="AB61" s="76">
        <v>144</v>
      </c>
      <c r="AC61" s="72">
        <f t="shared" si="17"/>
        <v>1</v>
      </c>
      <c r="AD61" s="72">
        <f t="shared" si="18"/>
        <v>0</v>
      </c>
      <c r="AE61" s="109" t="str">
        <f t="shared" si="19"/>
        <v>261-264</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8</v>
      </c>
    </row>
    <row r="62" spans="1:53" ht="15.75" thickBot="1" x14ac:dyDescent="0.3">
      <c r="A62" s="88"/>
      <c r="B62" s="66" t="s">
        <v>282</v>
      </c>
      <c r="C62" s="67" t="s">
        <v>484</v>
      </c>
      <c r="D62" s="102" t="s">
        <v>749</v>
      </c>
      <c r="E62" s="32">
        <v>4</v>
      </c>
      <c r="F62" s="32" t="s">
        <v>483</v>
      </c>
      <c r="G62" s="68" t="s">
        <v>277</v>
      </c>
      <c r="H62" s="69">
        <f t="shared" si="26"/>
        <v>257</v>
      </c>
      <c r="I62" s="70">
        <f t="shared" si="27"/>
        <v>260</v>
      </c>
      <c r="J62" s="73" t="str">
        <f t="shared" si="28"/>
        <v>--</v>
      </c>
      <c r="K62" s="32"/>
      <c r="L62" s="233"/>
      <c r="M62" s="279"/>
      <c r="N62" s="279"/>
      <c r="O62" s="279"/>
      <c r="P62" s="279"/>
      <c r="Q62" s="279"/>
      <c r="R62" s="279"/>
      <c r="S62" s="279"/>
      <c r="T62" s="279"/>
      <c r="U62" s="280"/>
      <c r="V62" s="103"/>
      <c r="W62" s="72"/>
      <c r="X62" s="72"/>
      <c r="Y62" s="72"/>
      <c r="Z62" s="45">
        <v>13</v>
      </c>
      <c r="AA62" s="77">
        <f t="shared" ref="AA62:AA67" si="29">AB61+1</f>
        <v>145</v>
      </c>
      <c r="AB62" s="77">
        <f t="shared" ref="AB62:AB67" si="30">AB61+12</f>
        <v>156</v>
      </c>
      <c r="AC62" s="72">
        <f t="shared" si="17"/>
        <v>1</v>
      </c>
      <c r="AD62" s="72">
        <f t="shared" si="18"/>
        <v>0</v>
      </c>
      <c r="AE62" s="109" t="str">
        <f t="shared" si="19"/>
        <v>257-260</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484</v>
      </c>
      <c r="D63" s="102" t="s">
        <v>750</v>
      </c>
      <c r="E63" s="32">
        <v>4</v>
      </c>
      <c r="F63" s="32" t="s">
        <v>483</v>
      </c>
      <c r="G63" s="68" t="s">
        <v>277</v>
      </c>
      <c r="H63" s="69">
        <f t="shared" si="26"/>
        <v>253</v>
      </c>
      <c r="I63" s="70">
        <f t="shared" si="27"/>
        <v>256</v>
      </c>
      <c r="J63" s="73" t="str">
        <f t="shared" si="28"/>
        <v>--</v>
      </c>
      <c r="K63" s="32"/>
      <c r="L63" s="233"/>
      <c r="M63" s="279"/>
      <c r="N63" s="279"/>
      <c r="O63" s="279"/>
      <c r="P63" s="279"/>
      <c r="Q63" s="279"/>
      <c r="R63" s="279"/>
      <c r="S63" s="279"/>
      <c r="T63" s="279"/>
      <c r="U63" s="280"/>
      <c r="V63" s="103"/>
      <c r="W63" s="72"/>
      <c r="X63" s="72"/>
      <c r="Y63" s="72"/>
      <c r="Z63" s="45">
        <v>14</v>
      </c>
      <c r="AA63" s="77">
        <f t="shared" si="29"/>
        <v>157</v>
      </c>
      <c r="AB63" s="77">
        <f t="shared" si="30"/>
        <v>168</v>
      </c>
      <c r="AC63" s="72">
        <f t="shared" si="17"/>
        <v>1</v>
      </c>
      <c r="AD63" s="72">
        <f t="shared" si="18"/>
        <v>0</v>
      </c>
      <c r="AE63" s="109" t="str">
        <f t="shared" si="19"/>
        <v>253-256</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9"/>
      <c r="N64" s="279"/>
      <c r="O64" s="279"/>
      <c r="P64" s="279"/>
      <c r="Q64" s="279"/>
      <c r="R64" s="279"/>
      <c r="S64" s="279"/>
      <c r="T64" s="279"/>
      <c r="U64" s="280"/>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9"/>
      <c r="N65" s="279"/>
      <c r="O65" s="279"/>
      <c r="P65" s="279"/>
      <c r="Q65" s="279"/>
      <c r="R65" s="279"/>
      <c r="S65" s="279"/>
      <c r="T65" s="279"/>
      <c r="U65" s="280"/>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9"/>
      <c r="N66" s="279"/>
      <c r="O66" s="279"/>
      <c r="P66" s="279"/>
      <c r="Q66" s="279"/>
      <c r="R66" s="279"/>
      <c r="S66" s="279"/>
      <c r="T66" s="279"/>
      <c r="U66" s="280"/>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9"/>
      <c r="N67" s="279"/>
      <c r="O67" s="279"/>
      <c r="P67" s="279"/>
      <c r="Q67" s="279"/>
      <c r="R67" s="279"/>
      <c r="S67" s="279"/>
      <c r="T67" s="279"/>
      <c r="U67" s="280"/>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9"/>
      <c r="N68" s="279"/>
      <c r="O68" s="279"/>
      <c r="P68" s="279"/>
      <c r="Q68" s="279"/>
      <c r="R68" s="279"/>
      <c r="S68" s="279"/>
      <c r="T68" s="279"/>
      <c r="U68" s="280"/>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9"/>
      <c r="N69" s="279"/>
      <c r="O69" s="279"/>
      <c r="P69" s="279"/>
      <c r="Q69" s="279"/>
      <c r="R69" s="279"/>
      <c r="S69" s="279"/>
      <c r="T69" s="279"/>
      <c r="U69" s="280"/>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9"/>
      <c r="N70" s="279"/>
      <c r="O70" s="279"/>
      <c r="P70" s="279"/>
      <c r="Q70" s="279"/>
      <c r="R70" s="279"/>
      <c r="S70" s="279"/>
      <c r="T70" s="279"/>
      <c r="U70" s="280"/>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9"/>
      <c r="N71" s="279"/>
      <c r="O71" s="279"/>
      <c r="P71" s="279"/>
      <c r="Q71" s="279"/>
      <c r="R71" s="279"/>
      <c r="S71" s="279"/>
      <c r="T71" s="279"/>
      <c r="U71" s="280"/>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9"/>
      <c r="N72" s="279"/>
      <c r="O72" s="279"/>
      <c r="P72" s="279"/>
      <c r="Q72" s="279"/>
      <c r="R72" s="279"/>
      <c r="S72" s="279"/>
      <c r="T72" s="279"/>
      <c r="U72" s="280"/>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9"/>
      <c r="N73" s="279"/>
      <c r="O73" s="279"/>
      <c r="P73" s="279"/>
      <c r="Q73" s="279"/>
      <c r="R73" s="279"/>
      <c r="S73" s="279"/>
      <c r="T73" s="279"/>
      <c r="U73" s="280"/>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9"/>
      <c r="N74" s="279"/>
      <c r="O74" s="279"/>
      <c r="P74" s="279"/>
      <c r="Q74" s="279"/>
      <c r="R74" s="279"/>
      <c r="S74" s="279"/>
      <c r="T74" s="279"/>
      <c r="U74" s="280"/>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9"/>
      <c r="N75" s="279"/>
      <c r="O75" s="279"/>
      <c r="P75" s="279"/>
      <c r="Q75" s="279"/>
      <c r="R75" s="279"/>
      <c r="S75" s="279"/>
      <c r="T75" s="279"/>
      <c r="U75" s="280"/>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9"/>
      <c r="N76" s="279"/>
      <c r="O76" s="279"/>
      <c r="P76" s="279"/>
      <c r="Q76" s="279"/>
      <c r="R76" s="279"/>
      <c r="S76" s="279"/>
      <c r="T76" s="279"/>
      <c r="U76" s="280"/>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9"/>
      <c r="N77" s="279"/>
      <c r="O77" s="279"/>
      <c r="P77" s="279"/>
      <c r="Q77" s="279"/>
      <c r="R77" s="279"/>
      <c r="S77" s="279"/>
      <c r="T77" s="279"/>
      <c r="U77" s="280"/>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9"/>
      <c r="N78" s="279"/>
      <c r="O78" s="279"/>
      <c r="P78" s="279"/>
      <c r="Q78" s="279"/>
      <c r="R78" s="279"/>
      <c r="S78" s="279"/>
      <c r="T78" s="279"/>
      <c r="U78" s="280"/>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9"/>
      <c r="N79" s="279"/>
      <c r="O79" s="279"/>
      <c r="P79" s="279"/>
      <c r="Q79" s="279"/>
      <c r="R79" s="279"/>
      <c r="S79" s="279"/>
      <c r="T79" s="279"/>
      <c r="U79" s="280"/>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9"/>
      <c r="N80" s="279"/>
      <c r="O80" s="279"/>
      <c r="P80" s="279"/>
      <c r="Q80" s="279"/>
      <c r="R80" s="279"/>
      <c r="S80" s="279"/>
      <c r="T80" s="279"/>
      <c r="U80" s="280"/>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9"/>
      <c r="N81" s="279"/>
      <c r="O81" s="279"/>
      <c r="P81" s="279"/>
      <c r="Q81" s="279"/>
      <c r="R81" s="279"/>
      <c r="S81" s="279"/>
      <c r="T81" s="279"/>
      <c r="U81" s="280"/>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9"/>
      <c r="N82" s="279"/>
      <c r="O82" s="279"/>
      <c r="P82" s="279"/>
      <c r="Q82" s="279"/>
      <c r="R82" s="279"/>
      <c r="S82" s="279"/>
      <c r="T82" s="279"/>
      <c r="U82" s="280"/>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320" t="s">
        <v>305</v>
      </c>
      <c r="C83" s="321"/>
      <c r="D83" s="79"/>
      <c r="E83" s="80"/>
      <c r="F83" s="80"/>
      <c r="G83" s="81"/>
      <c r="H83" s="192"/>
      <c r="I83" s="192"/>
      <c r="J83" s="192"/>
      <c r="K83" s="82"/>
      <c r="L83" s="320" t="s">
        <v>306</v>
      </c>
      <c r="M83" s="331"/>
      <c r="N83" s="331"/>
      <c r="O83" s="331"/>
      <c r="P83" s="331"/>
      <c r="Q83" s="331"/>
      <c r="R83" s="331"/>
      <c r="S83" s="331"/>
      <c r="T83" s="331"/>
      <c r="U83" s="321"/>
      <c r="V83" s="104"/>
      <c r="W83" s="72"/>
      <c r="X83" s="72"/>
      <c r="Y83" s="72"/>
      <c r="Z83" s="72"/>
      <c r="AA83" s="72" t="str">
        <f t="shared" si="32"/>
        <v/>
      </c>
      <c r="AB83" s="72"/>
      <c r="AC83" s="72">
        <f>SUM(AC58:AC82)</f>
        <v>25</v>
      </c>
      <c r="AD83" s="72">
        <f>SUM(AD58:AD82)</f>
        <v>19</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0" t="s">
        <v>307</v>
      </c>
      <c r="C84" s="321"/>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3" t="s">
        <v>222</v>
      </c>
      <c r="C88" s="314"/>
      <c r="D88" s="315" t="s">
        <v>223</v>
      </c>
      <c r="E88" s="306"/>
      <c r="F88" s="88"/>
      <c r="G88" s="316" t="s">
        <v>224</v>
      </c>
      <c r="H88" s="317"/>
      <c r="I88" s="28">
        <f>SUM(E99:E123)</f>
        <v>24</v>
      </c>
      <c r="J88" s="318" t="s">
        <v>225</v>
      </c>
      <c r="K88" s="319"/>
      <c r="L88" s="306"/>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6" t="s">
        <v>226</v>
      </c>
      <c r="AA88" s="297"/>
      <c r="AB88" s="298"/>
      <c r="AC88" s="25"/>
      <c r="AD88" s="25"/>
      <c r="AH88" s="109">
        <v>2</v>
      </c>
      <c r="AI88" s="109" t="str">
        <f>IF($E89="SS",COUNTIFS($C99:$C123,"FST",$E99:$E123,"2"),"0")</f>
        <v>0</v>
      </c>
      <c r="AJ88" s="109">
        <f>IF($E89="RPX",COUNTIFS($C99:$C123,"FST",$E99:$E123,"2"),"0")</f>
        <v>0</v>
      </c>
      <c r="AK88" s="109" t="str">
        <f>IF($E89="EUC",COUNTIFS($C99:$C123,"FST",$E99:$E123,"2"),"0")</f>
        <v>0</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RPX</v>
      </c>
      <c r="F89" s="88"/>
      <c r="G89" s="305" t="s">
        <v>230</v>
      </c>
      <c r="H89" s="306"/>
      <c r="I89" s="33">
        <f>E90-I88</f>
        <v>0</v>
      </c>
      <c r="J89" s="290" t="s">
        <v>231</v>
      </c>
      <c r="K89" s="291"/>
      <c r="L89" s="34">
        <f>I93</f>
        <v>217</v>
      </c>
      <c r="M89" s="196">
        <v>4</v>
      </c>
      <c r="N89" s="35">
        <f>SUM(AI89,AI100)</f>
        <v>0</v>
      </c>
      <c r="O89" s="35">
        <v>0</v>
      </c>
      <c r="P89" s="35">
        <f>SUM(AJ89,AJ100)</f>
        <v>2</v>
      </c>
      <c r="Q89" s="35">
        <v>0</v>
      </c>
      <c r="R89" s="35">
        <f>COUNTIFS($E99:$E123,"4",$F99:$F123,"Pole",$C99:$C123,"FST")</f>
        <v>2</v>
      </c>
      <c r="S89" s="35">
        <f>SUM(AL89,AK100)</f>
        <v>0</v>
      </c>
      <c r="T89" s="35">
        <v>0</v>
      </c>
      <c r="U89" s="35">
        <f>SUM(AK89,AL100)</f>
        <v>0</v>
      </c>
      <c r="V89" s="35">
        <v>0</v>
      </c>
      <c r="W89" s="34">
        <f>COUNTIFS($E99:$E123,"4",$F99:$F123,"HH",$C99:$C123,"FST")</f>
        <v>0</v>
      </c>
      <c r="X89" s="35">
        <f>COUNTIFS($E99:$E123,"4",$F99:$F123,"Ped",$C99:$C123,"FST")</f>
        <v>0</v>
      </c>
      <c r="Y89" s="25"/>
      <c r="Z89" s="299" t="s">
        <v>232</v>
      </c>
      <c r="AA89" s="301" t="s">
        <v>233</v>
      </c>
      <c r="AB89" s="302"/>
      <c r="AC89" s="25"/>
      <c r="AD89" s="25"/>
      <c r="AH89" s="109">
        <v>4</v>
      </c>
      <c r="AI89" s="109" t="str">
        <f>IF($E89="SS",COUNTIFS($C99:$C123,"FST",$E99:$E123,"4"),"0")</f>
        <v>0</v>
      </c>
      <c r="AJ89" s="109">
        <f>IF($E89="RPX",COUNTIFS($C99:$C123,"FST",$E99:$E123,"4"),"0")</f>
        <v>2</v>
      </c>
      <c r="AK89" s="109" t="str">
        <f>IF($E89="EUC",COUNTIFS($C99:$C123,"FST",$E99:$E123,"4"),"0")</f>
        <v>0</v>
      </c>
      <c r="AL89" s="109" t="str">
        <f>IF($E89="RPX-T",COUNTIFS($C99:$C123,"FST",$E99:$E123,"4"),"0")</f>
        <v>0</v>
      </c>
      <c r="AS89" s="109" t="str">
        <f>IF(AND(E94="Y",E90=24,E91=0),"Y","N")</f>
        <v>Y</v>
      </c>
      <c r="AT89" s="110" t="s">
        <v>234</v>
      </c>
      <c r="AU89" s="109">
        <f>COUNTIFS($E89,"SS",$AS89,"Y")</f>
        <v>0</v>
      </c>
      <c r="AV89" s="111">
        <f>COUNTIFS($E89,"RPX",$AS89,"Y")</f>
        <v>1</v>
      </c>
      <c r="AW89" s="111">
        <f>COUNTIFS($E89,"EUC",$AS89,"Y")</f>
        <v>0</v>
      </c>
      <c r="AX89" s="109">
        <f>COUNTIFS($E89,"RPX-T",$AS89,"Y")</f>
        <v>0</v>
      </c>
      <c r="BA89" s="227"/>
    </row>
    <row r="90" spans="1:53" ht="16.5" thickTop="1" thickBot="1" x14ac:dyDescent="0.3">
      <c r="A90" s="88"/>
      <c r="B90" s="36" t="s">
        <v>235</v>
      </c>
      <c r="C90" s="37">
        <v>0</v>
      </c>
      <c r="D90" s="38" t="s">
        <v>236</v>
      </c>
      <c r="E90" s="32">
        <v>24</v>
      </c>
      <c r="F90" s="88"/>
      <c r="G90" s="292" t="s">
        <v>237</v>
      </c>
      <c r="H90" s="293"/>
      <c r="I90" s="35">
        <f>IF(E90=0,0,12-(MOD(I88,12)))</f>
        <v>12</v>
      </c>
      <c r="J90" s="290" t="s">
        <v>238</v>
      </c>
      <c r="K90" s="291"/>
      <c r="L90" s="39">
        <f>I94-I88</f>
        <v>216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0"/>
      <c r="AA90" s="303"/>
      <c r="AB90" s="304"/>
      <c r="AC90" s="25"/>
      <c r="AD90" s="25"/>
      <c r="AH90" s="109">
        <v>6</v>
      </c>
      <c r="AI90" s="109" t="str">
        <f>IF($E89="SS",COUNTIFS($C99:$C123,"FST",$E99:$E123,"6"),"0")</f>
        <v>0</v>
      </c>
      <c r="AJ90" s="109">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2" t="s">
        <v>242</v>
      </c>
      <c r="H91" s="43" t="s">
        <v>243</v>
      </c>
      <c r="I91" s="35">
        <f>IF(E91&lt;&gt;0,1,0)</f>
        <v>0</v>
      </c>
      <c r="J91" s="292" t="s">
        <v>244</v>
      </c>
      <c r="K91" s="293"/>
      <c r="L91" s="44">
        <f>'Cable Calculator'!N3</f>
        <v>704</v>
      </c>
      <c r="M91" s="196">
        <v>8</v>
      </c>
      <c r="N91" s="35">
        <f>SUM(AI91,AI102)</f>
        <v>0</v>
      </c>
      <c r="O91" s="35">
        <v>0</v>
      </c>
      <c r="P91" s="35">
        <f>SUM(AJ91,AJ102)</f>
        <v>2</v>
      </c>
      <c r="Q91" s="35">
        <v>0</v>
      </c>
      <c r="R91" s="35">
        <f>COUNTIFS($E99:$E123,"8",$F99:$F123,"Pole",$C99:$C123,"FST")</f>
        <v>2</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f>IF($E89="RPX",COUNTIFS($C99:$C123,"FST",$E99:$E123,"8"),"0")</f>
        <v>2</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217</v>
      </c>
      <c r="F92" s="88"/>
      <c r="G92" s="323"/>
      <c r="H92" s="47" t="s">
        <v>248</v>
      </c>
      <c r="I92" s="35">
        <f>IF(E91&lt;&gt;0,E91,0)</f>
        <v>0</v>
      </c>
      <c r="J92" s="194"/>
      <c r="K92" s="195"/>
      <c r="L92" s="48"/>
      <c r="M92" s="196">
        <v>12</v>
      </c>
      <c r="N92" s="35" t="str">
        <f>IF($E89="SS",SUM(AI92,AJ103,AM124,AO124,AQ124),"0")</f>
        <v>0</v>
      </c>
      <c r="O92" s="35" t="str">
        <f>IF($E89="SS",SUM(AN124,AP124,AR124),"0")</f>
        <v>0</v>
      </c>
      <c r="P92" s="35">
        <f>IF($E89="RPX",SUM(AJ92,AJ103,AM124,AO124,AQ124),"0")</f>
        <v>0</v>
      </c>
      <c r="Q92" s="35">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f>IF($E89="RPX",COUNTIFS($C99:$C123,"FST",$E99:$E123,"12"),"0")</f>
        <v>0</v>
      </c>
      <c r="AK92" s="109" t="str">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2</v>
      </c>
      <c r="F93" s="88"/>
      <c r="G93" s="322" t="s">
        <v>251</v>
      </c>
      <c r="H93" s="51" t="s">
        <v>252</v>
      </c>
      <c r="I93" s="112">
        <f>E92</f>
        <v>217</v>
      </c>
      <c r="J93" s="324" t="s">
        <v>253</v>
      </c>
      <c r="K93" s="325"/>
      <c r="L93" s="32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3"/>
      <c r="H94" s="47" t="s">
        <v>257</v>
      </c>
      <c r="I94" s="35">
        <f>IF(E92="","0",IF(AND(E89="EUC",E90=432), I93+(203-E91),IF(E92=0,0,(E92+(E90-E91)-1))))</f>
        <v>240</v>
      </c>
      <c r="J94" s="287" t="str">
        <f>IFERROR(IF(OR(E89="EUC",E89="SS"),"---",IF(OR(P88,S88),"NO 2F Tethers for RPX!",IF(OR(P90,S90),"NO 6F Tethers for RPX!","---"))),"---")</f>
        <v>---</v>
      </c>
      <c r="K94" s="288"/>
      <c r="L94" s="289"/>
      <c r="M94" s="287" t="str">
        <f>IF(E91&gt;60,"Dead Count &gt;60: Consider Downsize","---")</f>
        <v>---</v>
      </c>
      <c r="N94" s="288"/>
      <c r="O94" s="288"/>
      <c r="P94" s="288"/>
      <c r="Q94" s="288"/>
      <c r="R94" s="288"/>
      <c r="S94" s="288"/>
      <c r="T94" s="288"/>
      <c r="U94" s="289"/>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24</v>
      </c>
      <c r="D95" s="31" t="s">
        <v>259</v>
      </c>
      <c r="E95" s="101" t="str">
        <f>IF(AS89="Y","DBL",IF(AS90="Y","TRPL",IF(AS91="Y","QUAD","")))</f>
        <v>DBL</v>
      </c>
      <c r="F95" s="88"/>
      <c r="G95" s="192"/>
      <c r="H95" s="57"/>
      <c r="I95" s="192"/>
      <c r="J95" s="287"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8"/>
      <c r="L95" s="289"/>
      <c r="M95" s="287" t="str">
        <f>IF(AND(OR(E89="SS",E89="RPX",E89="EUC",E89="RPX-T"),(OR(C99="",C99="Field SPL"))),"Cannot have FlexNap cables without tethers","---")</f>
        <v>---</v>
      </c>
      <c r="N95" s="288"/>
      <c r="O95" s="288"/>
      <c r="P95" s="288"/>
      <c r="Q95" s="288"/>
      <c r="R95" s="288"/>
      <c r="S95" s="288"/>
      <c r="T95" s="288"/>
      <c r="U95" s="289"/>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7" t="str">
        <f>IF(AND(OR(E89="RPX", E89="RPX-T", E89="SS"),E90=216),"NO 216 For RPX, RPX-T, OR SS CABLE","---")</f>
        <v>---</v>
      </c>
      <c r="K96" s="288"/>
      <c r="L96" s="289"/>
      <c r="M96" s="287" t="str" cm="1">
        <f t="array" ref="M96">IF(AND(E89="",OR(C99:C123="FST",C99:C123="REV T",C99:C123="DBL REV",C99:C123="TPL REV", C99:C123="QD REV")),"Non-FlexNap cables cannot have tethers","---")</f>
        <v>---</v>
      </c>
      <c r="N96" s="288"/>
      <c r="O96" s="288"/>
      <c r="P96" s="288"/>
      <c r="Q96" s="288"/>
      <c r="R96" s="288"/>
      <c r="S96" s="288"/>
      <c r="T96" s="288"/>
      <c r="U96" s="289"/>
      <c r="V96" s="25"/>
      <c r="W96" s="58"/>
      <c r="X96" s="58"/>
      <c r="Y96" s="25"/>
      <c r="Z96" s="45">
        <v>6</v>
      </c>
      <c r="AA96" s="65">
        <v>61</v>
      </c>
      <c r="AB96" s="65">
        <v>72</v>
      </c>
      <c r="AC96" s="25"/>
      <c r="AD96" s="25"/>
      <c r="BA96" s="226"/>
    </row>
    <row r="97" spans="1:53" ht="15.75" customHeight="1" thickBot="1" x14ac:dyDescent="0.3">
      <c r="A97" s="88"/>
      <c r="B97" s="322" t="s">
        <v>260</v>
      </c>
      <c r="C97" s="294" t="s">
        <v>261</v>
      </c>
      <c r="D97" s="294" t="s">
        <v>262</v>
      </c>
      <c r="E97" s="307" t="s">
        <v>263</v>
      </c>
      <c r="F97" s="294" t="s">
        <v>264</v>
      </c>
      <c r="G97" s="309" t="s">
        <v>265</v>
      </c>
      <c r="H97" s="309" t="s">
        <v>266</v>
      </c>
      <c r="I97" s="309" t="s">
        <v>267</v>
      </c>
      <c r="J97" s="311" t="s">
        <v>268</v>
      </c>
      <c r="K97" s="294" t="s">
        <v>269</v>
      </c>
      <c r="L97" s="281" t="s">
        <v>270</v>
      </c>
      <c r="M97" s="283" t="s">
        <v>271</v>
      </c>
      <c r="N97" s="283"/>
      <c r="O97" s="283"/>
      <c r="P97" s="283"/>
      <c r="Q97" s="283"/>
      <c r="R97" s="283"/>
      <c r="S97" s="283"/>
      <c r="T97" s="283"/>
      <c r="U97" s="284"/>
      <c r="V97" s="107"/>
      <c r="W97" s="72"/>
      <c r="X97" s="72"/>
      <c r="Y97" s="72"/>
      <c r="Z97" s="45">
        <v>7</v>
      </c>
      <c r="AA97" s="65">
        <v>73</v>
      </c>
      <c r="AB97" s="65">
        <v>84</v>
      </c>
      <c r="AC97" s="25"/>
      <c r="AD97" s="25"/>
      <c r="BA97" s="228"/>
    </row>
    <row r="98" spans="1:53" ht="15.75" thickBot="1" x14ac:dyDescent="0.3">
      <c r="A98" s="88"/>
      <c r="B98" s="323"/>
      <c r="C98" s="295"/>
      <c r="D98" s="295"/>
      <c r="E98" s="308"/>
      <c r="F98" s="295"/>
      <c r="G98" s="310"/>
      <c r="H98" s="310"/>
      <c r="I98" s="310"/>
      <c r="J98" s="312"/>
      <c r="K98" s="295"/>
      <c r="L98" s="282"/>
      <c r="M98" s="285"/>
      <c r="N98" s="285"/>
      <c r="O98" s="285"/>
      <c r="P98" s="285"/>
      <c r="Q98" s="285"/>
      <c r="R98" s="285"/>
      <c r="S98" s="285"/>
      <c r="T98" s="285"/>
      <c r="U98" s="28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751</v>
      </c>
      <c r="E99" s="32">
        <v>4</v>
      </c>
      <c r="F99" s="32" t="s">
        <v>483</v>
      </c>
      <c r="G99" s="68" t="s">
        <v>277</v>
      </c>
      <c r="H99" s="69">
        <f>IF(I99=0,0,I99-(E99-1))</f>
        <v>237</v>
      </c>
      <c r="I99" s="70">
        <f>IF(E99=0,0,I94)</f>
        <v>240</v>
      </c>
      <c r="J99" s="71" t="s">
        <v>278</v>
      </c>
      <c r="K99" s="32"/>
      <c r="L99" s="233"/>
      <c r="M99" s="279"/>
      <c r="N99" s="279"/>
      <c r="O99" s="279"/>
      <c r="P99" s="279"/>
      <c r="Q99" s="279"/>
      <c r="R99" s="279"/>
      <c r="S99" s="279"/>
      <c r="T99" s="279"/>
      <c r="U99" s="280"/>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237-240</v>
      </c>
      <c r="AF99" s="109" t="str">
        <f t="shared" ref="AF99:AF123" si="37">IF(C99="Field SPL","N","Y")</f>
        <v>Y</v>
      </c>
      <c r="AG99" s="109" t="str">
        <f t="shared" ref="AG99:AG123" si="38">IF(OR(E$89="RPX",E$89="SS"),"A","B")</f>
        <v>A</v>
      </c>
      <c r="AH99" s="109">
        <v>2</v>
      </c>
      <c r="AI99" s="109" t="str">
        <f>IF(E89="SS",COUNTIFS(C99:C123,"TCF",E99:E123,"2"),"")</f>
        <v/>
      </c>
      <c r="AJ99" s="109">
        <f>IF(E89="RPX",COUNTIFS(C99:C123,"TCF",E99:E123,"2"),"")</f>
        <v>0</v>
      </c>
      <c r="AK99" s="109" t="str">
        <f>IF(E89="RPX-T",COUNTIFS(C99:C123,"TCF",E99:E123,"2"),"")</f>
        <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752</v>
      </c>
      <c r="E100" s="32">
        <v>4</v>
      </c>
      <c r="F100" s="32" t="s">
        <v>483</v>
      </c>
      <c r="G100" s="68" t="s">
        <v>277</v>
      </c>
      <c r="H100" s="69">
        <f t="shared" ref="H100:H123" si="43">IF(E100=0,0,I100-(E100-1))</f>
        <v>233</v>
      </c>
      <c r="I100" s="70">
        <f t="shared" ref="I100:I123" si="44">IF(E100=0,0,H99-1)</f>
        <v>236</v>
      </c>
      <c r="J100" s="73" t="str">
        <f>IF(C100="","--",IF(AND(C100&lt;&gt;"FST",C100&lt;&gt;"TCF",BA99&lt;&gt;0),BA99,"--"))</f>
        <v>--</v>
      </c>
      <c r="K100" s="32"/>
      <c r="L100" s="233"/>
      <c r="M100" s="279"/>
      <c r="N100" s="279"/>
      <c r="O100" s="279"/>
      <c r="P100" s="279"/>
      <c r="Q100" s="279"/>
      <c r="R100" s="279"/>
      <c r="S100" s="279"/>
      <c r="T100" s="279"/>
      <c r="U100" s="280"/>
      <c r="V100" s="103"/>
      <c r="W100" s="72"/>
      <c r="X100" s="72"/>
      <c r="Y100" s="72"/>
      <c r="Z100" s="45">
        <v>10</v>
      </c>
      <c r="AA100" s="46">
        <v>109</v>
      </c>
      <c r="AB100" s="46">
        <v>120</v>
      </c>
      <c r="AC100" s="72">
        <f t="shared" si="34"/>
        <v>1</v>
      </c>
      <c r="AD100" s="72">
        <f t="shared" si="35"/>
        <v>0</v>
      </c>
      <c r="AE100" s="109" t="str">
        <f t="shared" si="36"/>
        <v>233-236</v>
      </c>
      <c r="AF100" s="109" t="str">
        <f t="shared" si="37"/>
        <v>Y</v>
      </c>
      <c r="AG100" s="109" t="str">
        <f t="shared" si="38"/>
        <v>A</v>
      </c>
      <c r="AH100" s="109">
        <v>4</v>
      </c>
      <c r="AI100" s="109" t="str">
        <f>IF(E89="SS",COUNTIFS(C99:C123,"TCF",E99:E123,"4"),"")</f>
        <v/>
      </c>
      <c r="AJ100" s="109">
        <f>IF(E89="RPX",COUNTIFS(C99:C123,"TCF",E99:E123,"4"),"")</f>
        <v>0</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753</v>
      </c>
      <c r="E101" s="32">
        <v>8</v>
      </c>
      <c r="F101" s="32" t="s">
        <v>483</v>
      </c>
      <c r="G101" s="75" t="s">
        <v>277</v>
      </c>
      <c r="H101" s="69">
        <f t="shared" si="43"/>
        <v>225</v>
      </c>
      <c r="I101" s="70">
        <f t="shared" si="44"/>
        <v>232</v>
      </c>
      <c r="J101" s="73" t="str">
        <f t="shared" ref="J101:J123" si="45">IF(C101="","--",IF(AND(C101&lt;&gt;"FST",C101&lt;&gt;"TCF",BA100&lt;&gt;0),BA100,"--"))</f>
        <v>--</v>
      </c>
      <c r="K101" s="32"/>
      <c r="L101" s="233"/>
      <c r="M101" s="279"/>
      <c r="N101" s="279"/>
      <c r="O101" s="279"/>
      <c r="P101" s="279"/>
      <c r="Q101" s="279"/>
      <c r="R101" s="279"/>
      <c r="S101" s="279"/>
      <c r="T101" s="279"/>
      <c r="U101" s="280"/>
      <c r="V101" s="103"/>
      <c r="W101" s="72"/>
      <c r="X101" s="72"/>
      <c r="Y101" s="72"/>
      <c r="Z101" s="45">
        <v>11</v>
      </c>
      <c r="AA101" s="46">
        <v>121</v>
      </c>
      <c r="AB101" s="46">
        <v>132</v>
      </c>
      <c r="AC101" s="72">
        <f t="shared" si="34"/>
        <v>1</v>
      </c>
      <c r="AD101" s="72">
        <f t="shared" si="35"/>
        <v>0</v>
      </c>
      <c r="AE101" s="109" t="str">
        <f t="shared" si="36"/>
        <v>225-232</v>
      </c>
      <c r="AF101" s="109" t="str">
        <f t="shared" si="37"/>
        <v>Y</v>
      </c>
      <c r="AG101" s="109" t="str">
        <f t="shared" si="38"/>
        <v>A</v>
      </c>
      <c r="AH101" s="109">
        <v>6</v>
      </c>
      <c r="AI101" s="109" t="str">
        <f>IF(E89="SS",COUNTIFS(C99:C123,"TCF",E99:E123,"6"),"")</f>
        <v/>
      </c>
      <c r="AJ101" s="109">
        <f>IF(E89="RPX",COUNTIFS(C99:C123,"TCF",E99:E123,"6"),"")</f>
        <v>0</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754</v>
      </c>
      <c r="E102" s="32">
        <v>8</v>
      </c>
      <c r="F102" s="32" t="s">
        <v>483</v>
      </c>
      <c r="G102" s="68" t="s">
        <v>277</v>
      </c>
      <c r="H102" s="69">
        <f t="shared" si="43"/>
        <v>217</v>
      </c>
      <c r="I102" s="70">
        <f t="shared" si="44"/>
        <v>224</v>
      </c>
      <c r="J102" s="73" t="str">
        <f t="shared" si="45"/>
        <v>--</v>
      </c>
      <c r="K102" s="32"/>
      <c r="L102" s="233"/>
      <c r="M102" s="279"/>
      <c r="N102" s="279"/>
      <c r="O102" s="279"/>
      <c r="P102" s="279"/>
      <c r="Q102" s="279"/>
      <c r="R102" s="279"/>
      <c r="S102" s="279"/>
      <c r="T102" s="279"/>
      <c r="U102" s="280"/>
      <c r="V102" s="103"/>
      <c r="W102" s="72"/>
      <c r="X102" s="72"/>
      <c r="Y102" s="72"/>
      <c r="Z102" s="45">
        <v>12</v>
      </c>
      <c r="AA102" s="76">
        <v>133</v>
      </c>
      <c r="AB102" s="76">
        <v>144</v>
      </c>
      <c r="AC102" s="72">
        <f t="shared" si="34"/>
        <v>1</v>
      </c>
      <c r="AD102" s="72">
        <f t="shared" si="35"/>
        <v>0</v>
      </c>
      <c r="AE102" s="109" t="str">
        <f t="shared" si="36"/>
        <v>217-224</v>
      </c>
      <c r="AF102" s="109" t="str">
        <f t="shared" si="37"/>
        <v>Y</v>
      </c>
      <c r="AG102" s="109" t="str">
        <f t="shared" si="38"/>
        <v>A</v>
      </c>
      <c r="AH102" s="109">
        <v>8</v>
      </c>
      <c r="AI102" s="109" t="str">
        <f>IF(E89="SS",COUNTIFS(C99:C123,"TCF",E99:E123,"8"),"")</f>
        <v/>
      </c>
      <c r="AJ102" s="109">
        <f>IF(E89="RPX",COUNTIFS(C99:C123,"TCF",E99:E123,"8"),"")</f>
        <v>0</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c r="D103" s="102"/>
      <c r="E103" s="32"/>
      <c r="F103" s="32"/>
      <c r="G103" s="68" t="s">
        <v>277</v>
      </c>
      <c r="H103" s="69">
        <f t="shared" si="43"/>
        <v>0</v>
      </c>
      <c r="I103" s="70">
        <f t="shared" si="44"/>
        <v>0</v>
      </c>
      <c r="J103" s="73" t="str">
        <f t="shared" si="45"/>
        <v>--</v>
      </c>
      <c r="K103" s="32"/>
      <c r="L103" s="233"/>
      <c r="M103" s="279"/>
      <c r="N103" s="279"/>
      <c r="O103" s="279"/>
      <c r="P103" s="279"/>
      <c r="Q103" s="279"/>
      <c r="R103" s="279"/>
      <c r="S103" s="279"/>
      <c r="T103" s="279"/>
      <c r="U103" s="280"/>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0-0</v>
      </c>
      <c r="AF103" s="109" t="str">
        <f t="shared" si="37"/>
        <v>Y</v>
      </c>
      <c r="AG103" s="109" t="str">
        <f t="shared" si="38"/>
        <v>A</v>
      </c>
      <c r="AH103" s="109">
        <v>12</v>
      </c>
      <c r="AI103" s="109" t="str">
        <f>IF(E89="SS",COUNTIFS(C99:C123,"TCF",E99:E123,"12"),"")</f>
        <v/>
      </c>
      <c r="AJ103" s="109">
        <f>IF(E89="RPX",COUNTIFS(C99:C123,"TCF",E99:E123,"12"),"")</f>
        <v>0</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79"/>
      <c r="N104" s="279"/>
      <c r="O104" s="279"/>
      <c r="P104" s="279"/>
      <c r="Q104" s="279"/>
      <c r="R104" s="279"/>
      <c r="S104" s="279"/>
      <c r="T104" s="279"/>
      <c r="U104" s="280"/>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A</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9"/>
      <c r="N105" s="279"/>
      <c r="O105" s="279"/>
      <c r="P105" s="279"/>
      <c r="Q105" s="279"/>
      <c r="R105" s="279"/>
      <c r="S105" s="279"/>
      <c r="T105" s="279"/>
      <c r="U105" s="280"/>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A</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9"/>
      <c r="N106" s="279"/>
      <c r="O106" s="279"/>
      <c r="P106" s="279"/>
      <c r="Q106" s="279"/>
      <c r="R106" s="279"/>
      <c r="S106" s="279"/>
      <c r="T106" s="279"/>
      <c r="U106" s="280"/>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A</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9"/>
      <c r="N107" s="279"/>
      <c r="O107" s="279"/>
      <c r="P107" s="279"/>
      <c r="Q107" s="279"/>
      <c r="R107" s="279"/>
      <c r="S107" s="279"/>
      <c r="T107" s="279"/>
      <c r="U107" s="280"/>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A</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9"/>
      <c r="N108" s="279"/>
      <c r="O108" s="279"/>
      <c r="P108" s="279"/>
      <c r="Q108" s="279"/>
      <c r="R108" s="279"/>
      <c r="S108" s="279"/>
      <c r="T108" s="279"/>
      <c r="U108" s="280"/>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A</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9"/>
      <c r="N109" s="279"/>
      <c r="O109" s="279"/>
      <c r="P109" s="279"/>
      <c r="Q109" s="279"/>
      <c r="R109" s="279"/>
      <c r="S109" s="279"/>
      <c r="T109" s="279"/>
      <c r="U109" s="280"/>
      <c r="V109" s="103"/>
      <c r="W109" s="84"/>
      <c r="X109" s="84"/>
      <c r="Y109" s="72"/>
      <c r="Z109" s="72"/>
      <c r="AA109" s="72"/>
      <c r="AB109" s="72"/>
      <c r="AC109" s="72">
        <f t="shared" si="34"/>
        <v>1</v>
      </c>
      <c r="AD109" s="72">
        <f t="shared" si="35"/>
        <v>1</v>
      </c>
      <c r="AE109" s="109" t="str">
        <f t="shared" si="36"/>
        <v>0-0</v>
      </c>
      <c r="AF109" s="109" t="str">
        <f t="shared" si="37"/>
        <v>Y</v>
      </c>
      <c r="AG109" s="109" t="str">
        <f t="shared" si="38"/>
        <v>A</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9"/>
      <c r="N110" s="279"/>
      <c r="O110" s="279"/>
      <c r="P110" s="279"/>
      <c r="Q110" s="279"/>
      <c r="R110" s="279"/>
      <c r="S110" s="279"/>
      <c r="T110" s="279"/>
      <c r="U110" s="280"/>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A</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9"/>
      <c r="N111" s="279"/>
      <c r="O111" s="279"/>
      <c r="P111" s="279"/>
      <c r="Q111" s="279"/>
      <c r="R111" s="279"/>
      <c r="S111" s="279"/>
      <c r="T111" s="279"/>
      <c r="U111" s="280"/>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A</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9"/>
      <c r="N112" s="279"/>
      <c r="O112" s="279"/>
      <c r="P112" s="279"/>
      <c r="Q112" s="279"/>
      <c r="R112" s="279"/>
      <c r="S112" s="279"/>
      <c r="T112" s="279"/>
      <c r="U112" s="280"/>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A</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9"/>
      <c r="N113" s="279"/>
      <c r="O113" s="279"/>
      <c r="P113" s="279"/>
      <c r="Q113" s="279"/>
      <c r="R113" s="279"/>
      <c r="S113" s="279"/>
      <c r="T113" s="279"/>
      <c r="U113" s="280"/>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A</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9"/>
      <c r="N114" s="279"/>
      <c r="O114" s="279"/>
      <c r="P114" s="279"/>
      <c r="Q114" s="279"/>
      <c r="R114" s="279"/>
      <c r="S114" s="279"/>
      <c r="T114" s="279"/>
      <c r="U114" s="280"/>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A</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9"/>
      <c r="N115" s="279"/>
      <c r="O115" s="279"/>
      <c r="P115" s="279"/>
      <c r="Q115" s="279"/>
      <c r="R115" s="279"/>
      <c r="S115" s="279"/>
      <c r="T115" s="279"/>
      <c r="U115" s="280"/>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A</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9"/>
      <c r="N116" s="279"/>
      <c r="O116" s="279"/>
      <c r="P116" s="279"/>
      <c r="Q116" s="279"/>
      <c r="R116" s="279"/>
      <c r="S116" s="279"/>
      <c r="T116" s="279"/>
      <c r="U116" s="280"/>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A</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9"/>
      <c r="N117" s="279"/>
      <c r="O117" s="279"/>
      <c r="P117" s="279"/>
      <c r="Q117" s="279"/>
      <c r="R117" s="279"/>
      <c r="S117" s="279"/>
      <c r="T117" s="279"/>
      <c r="U117" s="280"/>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A</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9"/>
      <c r="N118" s="279"/>
      <c r="O118" s="279"/>
      <c r="P118" s="279"/>
      <c r="Q118" s="279"/>
      <c r="R118" s="279"/>
      <c r="S118" s="279"/>
      <c r="T118" s="279"/>
      <c r="U118" s="280"/>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A</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9"/>
      <c r="N119" s="279"/>
      <c r="O119" s="279"/>
      <c r="P119" s="279"/>
      <c r="Q119" s="279"/>
      <c r="R119" s="279"/>
      <c r="S119" s="279"/>
      <c r="T119" s="279"/>
      <c r="U119" s="280"/>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A</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9"/>
      <c r="N120" s="279"/>
      <c r="O120" s="279"/>
      <c r="P120" s="279"/>
      <c r="Q120" s="279"/>
      <c r="R120" s="279"/>
      <c r="S120" s="279"/>
      <c r="T120" s="279"/>
      <c r="U120" s="280"/>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A</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9"/>
      <c r="N121" s="279"/>
      <c r="O121" s="279"/>
      <c r="P121" s="279"/>
      <c r="Q121" s="279"/>
      <c r="R121" s="279"/>
      <c r="S121" s="279"/>
      <c r="T121" s="279"/>
      <c r="U121" s="280"/>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A</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9"/>
      <c r="N122" s="279"/>
      <c r="O122" s="279"/>
      <c r="P122" s="279"/>
      <c r="Q122" s="279"/>
      <c r="R122" s="279"/>
      <c r="S122" s="279"/>
      <c r="T122" s="279"/>
      <c r="U122" s="280"/>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A</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9"/>
      <c r="N123" s="279"/>
      <c r="O123" s="279"/>
      <c r="P123" s="279"/>
      <c r="Q123" s="279"/>
      <c r="R123" s="279"/>
      <c r="S123" s="279"/>
      <c r="T123" s="279"/>
      <c r="U123" s="280"/>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A</v>
      </c>
      <c r="AM123" s="109">
        <f t="shared" si="39"/>
        <v>0</v>
      </c>
      <c r="AN123" s="109">
        <f t="shared" si="40"/>
        <v>0</v>
      </c>
      <c r="AO123" s="109" t="str">
        <f t="shared" si="41"/>
        <v/>
      </c>
      <c r="AQ123" s="109" t="str">
        <f t="shared" si="42"/>
        <v/>
      </c>
      <c r="BA123" s="228"/>
    </row>
    <row r="124" spans="1:53" ht="16.5" thickBot="1" x14ac:dyDescent="0.3">
      <c r="A124" s="88"/>
      <c r="B124" s="320" t="s">
        <v>309</v>
      </c>
      <c r="C124" s="321"/>
      <c r="D124" s="79"/>
      <c r="E124" s="80"/>
      <c r="F124" s="80"/>
      <c r="G124" s="81"/>
      <c r="H124" s="192"/>
      <c r="I124" s="192"/>
      <c r="J124" s="192"/>
      <c r="K124" s="82"/>
      <c r="L124" s="320" t="s">
        <v>306</v>
      </c>
      <c r="M124" s="331"/>
      <c r="N124" s="331"/>
      <c r="O124" s="331"/>
      <c r="P124" s="331"/>
      <c r="Q124" s="331"/>
      <c r="R124" s="331"/>
      <c r="S124" s="331"/>
      <c r="T124" s="331"/>
      <c r="U124" s="321"/>
      <c r="V124" s="104"/>
      <c r="W124" s="72"/>
      <c r="X124" s="72"/>
      <c r="Y124" s="72"/>
      <c r="Z124" s="72"/>
      <c r="AA124" s="72" t="str">
        <f t="shared" si="49"/>
        <v/>
      </c>
      <c r="AB124" s="72"/>
      <c r="AC124" s="72">
        <f>SUM(AC99:AC123)</f>
        <v>25</v>
      </c>
      <c r="AD124" s="72">
        <f>SUM(AD99:AD123)</f>
        <v>21</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0" t="s">
        <v>307</v>
      </c>
      <c r="C125" s="321"/>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3" t="s">
        <v>222</v>
      </c>
      <c r="C129" s="314"/>
      <c r="D129" s="315" t="s">
        <v>223</v>
      </c>
      <c r="E129" s="306"/>
      <c r="F129" s="88"/>
      <c r="G129" s="316" t="s">
        <v>224</v>
      </c>
      <c r="H129" s="317"/>
      <c r="I129" s="28">
        <f>SUM(E140:E164)</f>
        <v>180</v>
      </c>
      <c r="J129" s="318" t="s">
        <v>225</v>
      </c>
      <c r="K129" s="319"/>
      <c r="L129" s="306"/>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6" t="s">
        <v>226</v>
      </c>
      <c r="AA129" s="297"/>
      <c r="AB129" s="298"/>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5" t="s">
        <v>230</v>
      </c>
      <c r="H130" s="306"/>
      <c r="I130" s="33">
        <f>E131-I129</f>
        <v>36</v>
      </c>
      <c r="J130" s="290" t="s">
        <v>231</v>
      </c>
      <c r="K130" s="291"/>
      <c r="L130" s="34">
        <f>I134</f>
        <v>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299" t="s">
        <v>232</v>
      </c>
      <c r="AA130" s="301" t="s">
        <v>233</v>
      </c>
      <c r="AB130" s="302"/>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216</v>
      </c>
      <c r="F131" s="88"/>
      <c r="G131" s="292" t="s">
        <v>237</v>
      </c>
      <c r="H131" s="293"/>
      <c r="I131" s="35">
        <f>IF(E131=0,0,12-(MOD(I129,12)))</f>
        <v>12</v>
      </c>
      <c r="J131" s="290" t="s">
        <v>238</v>
      </c>
      <c r="K131" s="291"/>
      <c r="L131" s="39">
        <f>I135-I129</f>
        <v>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0"/>
      <c r="AA131" s="303"/>
      <c r="AB131" s="304"/>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322" t="s">
        <v>242</v>
      </c>
      <c r="H132" s="43" t="s">
        <v>243</v>
      </c>
      <c r="I132" s="35">
        <f>IF(E132&lt;&gt;0,1,0)</f>
        <v>1</v>
      </c>
      <c r="J132" s="292" t="s">
        <v>244</v>
      </c>
      <c r="K132" s="293"/>
      <c r="L132" s="44">
        <f>'Cable Calculator'!S3</f>
        <v>672</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13</v>
      </c>
      <c r="F133" s="88"/>
      <c r="G133" s="323"/>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18</v>
      </c>
      <c r="F134" s="88"/>
      <c r="G134" s="322" t="s">
        <v>251</v>
      </c>
      <c r="H134" s="51" t="s">
        <v>252</v>
      </c>
      <c r="I134" s="112">
        <f>E133</f>
        <v>13</v>
      </c>
      <c r="J134" s="324" t="s">
        <v>253</v>
      </c>
      <c r="K134" s="325"/>
      <c r="L134" s="32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3"/>
      <c r="H135" s="47" t="s">
        <v>257</v>
      </c>
      <c r="I135" s="35">
        <f>IF(E133="","0",IF(AND(E130="EUC",E131=432), I134+(203-E132),IF(E133=0,0,(E133+(E131-E132)-1))))</f>
        <v>192</v>
      </c>
      <c r="J135" s="287" t="str">
        <f>IFERROR(IF(OR(E130="EUC",E130="SS"),"---",IF(OR(P129,S129),"NO 2F Tethers for RPX!",IF(OR(P131,S131),"NO 6F Tethers for RPX!","---"))),"---")</f>
        <v>---</v>
      </c>
      <c r="K135" s="288"/>
      <c r="L135" s="289"/>
      <c r="M135" s="287" t="str">
        <f>IF(E132&gt;60,"Dead Count &gt;60: Consider Downsize","---")</f>
        <v>---</v>
      </c>
      <c r="N135" s="288"/>
      <c r="O135" s="288"/>
      <c r="P135" s="288"/>
      <c r="Q135" s="288"/>
      <c r="R135" s="288"/>
      <c r="S135" s="288"/>
      <c r="T135" s="288"/>
      <c r="U135" s="289"/>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180</v>
      </c>
      <c r="D136" s="31" t="s">
        <v>259</v>
      </c>
      <c r="E136" s="101" t="str">
        <f>IF(AS130="Y","DBL",IF(AS131="Y","TRPL",IF(AS132="Y","QUAD","")))</f>
        <v/>
      </c>
      <c r="F136" s="88"/>
      <c r="G136" s="192"/>
      <c r="H136" s="57"/>
      <c r="I136" s="192"/>
      <c r="J136" s="287"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8"/>
      <c r="L136" s="289"/>
      <c r="M136" s="287" t="str">
        <f>IF(AND(OR(E130="SS",E130="RPX",E130="EUC",E130="RPX-T"),(OR(C140="",C140="Field SPL"))),"Cannot have FlexNap cables without tethers","---")</f>
        <v>---</v>
      </c>
      <c r="N136" s="288"/>
      <c r="O136" s="288"/>
      <c r="P136" s="288"/>
      <c r="Q136" s="288"/>
      <c r="R136" s="288"/>
      <c r="S136" s="288"/>
      <c r="T136" s="288"/>
      <c r="U136" s="289"/>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7" t="str">
        <f>IF(AND(OR(E130="RPX", E130="RPX-T", E130="SS"),E131=216),"NO 216 For RPX, RPX-T, OR SS CABLE","---")</f>
        <v>---</v>
      </c>
      <c r="K137" s="288"/>
      <c r="L137" s="289"/>
      <c r="M137" s="287" t="str" cm="1">
        <f t="array" ref="M137">IF(AND(E130="",OR(C140:C164="FST",C140:C164="REV T",C140:C164="DBL REV",C140:C164="TPL REV", C140:C164="QD REV")),"Non-FlexNap cables cannot have tethers","---")</f>
        <v>---</v>
      </c>
      <c r="N137" s="288"/>
      <c r="O137" s="288"/>
      <c r="P137" s="288"/>
      <c r="Q137" s="288"/>
      <c r="R137" s="288"/>
      <c r="S137" s="288"/>
      <c r="T137" s="288"/>
      <c r="U137" s="289"/>
      <c r="V137" s="25"/>
      <c r="W137" s="58"/>
      <c r="X137" s="58"/>
      <c r="Y137" s="25"/>
      <c r="Z137" s="45">
        <v>6</v>
      </c>
      <c r="AA137" s="65">
        <v>61</v>
      </c>
      <c r="AB137" s="65">
        <v>72</v>
      </c>
      <c r="AC137" s="25"/>
      <c r="AD137" s="25"/>
      <c r="BA137" s="226"/>
    </row>
    <row r="138" spans="1:53" ht="15.75" customHeight="1" thickBot="1" x14ac:dyDescent="0.3">
      <c r="A138" s="88"/>
      <c r="B138" s="322" t="s">
        <v>260</v>
      </c>
      <c r="C138" s="294" t="s">
        <v>261</v>
      </c>
      <c r="D138" s="294" t="s">
        <v>262</v>
      </c>
      <c r="E138" s="307" t="s">
        <v>263</v>
      </c>
      <c r="F138" s="294" t="s">
        <v>264</v>
      </c>
      <c r="G138" s="309" t="s">
        <v>265</v>
      </c>
      <c r="H138" s="309" t="s">
        <v>266</v>
      </c>
      <c r="I138" s="309" t="s">
        <v>267</v>
      </c>
      <c r="J138" s="311" t="s">
        <v>268</v>
      </c>
      <c r="K138" s="294" t="s">
        <v>269</v>
      </c>
      <c r="L138" s="281" t="s">
        <v>270</v>
      </c>
      <c r="M138" s="283" t="s">
        <v>271</v>
      </c>
      <c r="N138" s="283"/>
      <c r="O138" s="283"/>
      <c r="P138" s="283"/>
      <c r="Q138" s="283"/>
      <c r="R138" s="283"/>
      <c r="S138" s="283"/>
      <c r="T138" s="283"/>
      <c r="U138" s="284"/>
      <c r="V138" s="107"/>
      <c r="W138" s="72"/>
      <c r="X138" s="72"/>
      <c r="Y138" s="72"/>
      <c r="Z138" s="45">
        <v>7</v>
      </c>
      <c r="AA138" s="65">
        <v>73</v>
      </c>
      <c r="AB138" s="65">
        <v>84</v>
      </c>
      <c r="AC138" s="25"/>
      <c r="AD138" s="25"/>
      <c r="BA138" s="228"/>
    </row>
    <row r="139" spans="1:53" ht="15.75" thickBot="1" x14ac:dyDescent="0.3">
      <c r="A139" s="88"/>
      <c r="B139" s="323"/>
      <c r="C139" s="295"/>
      <c r="D139" s="295"/>
      <c r="E139" s="308"/>
      <c r="F139" s="295"/>
      <c r="G139" s="310"/>
      <c r="H139" s="310"/>
      <c r="I139" s="310"/>
      <c r="J139" s="312"/>
      <c r="K139" s="295"/>
      <c r="L139" s="282"/>
      <c r="M139" s="285"/>
      <c r="N139" s="285"/>
      <c r="O139" s="285"/>
      <c r="P139" s="285"/>
      <c r="Q139" s="285"/>
      <c r="R139" s="285"/>
      <c r="S139" s="285"/>
      <c r="T139" s="285"/>
      <c r="U139" s="28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24</v>
      </c>
      <c r="F140" s="32"/>
      <c r="G140" s="68" t="s">
        <v>277</v>
      </c>
      <c r="H140" s="69">
        <f>IF(I140=0,0,I140-(E140-1))</f>
        <v>169</v>
      </c>
      <c r="I140" s="70">
        <f>IF(E140=0,0,I135)</f>
        <v>192</v>
      </c>
      <c r="J140" s="71" t="s">
        <v>278</v>
      </c>
      <c r="K140" s="32"/>
      <c r="L140" s="233"/>
      <c r="M140" s="279" t="s">
        <v>407</v>
      </c>
      <c r="N140" s="279"/>
      <c r="O140" s="279"/>
      <c r="P140" s="279"/>
      <c r="Q140" s="279"/>
      <c r="R140" s="279"/>
      <c r="S140" s="279"/>
      <c r="T140" s="279"/>
      <c r="U140" s="280"/>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169-192</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144</v>
      </c>
      <c r="F141" s="32"/>
      <c r="G141" s="68" t="s">
        <v>277</v>
      </c>
      <c r="H141" s="69">
        <f t="shared" ref="H141:H164" si="60">IF(E141=0,0,I141-(E141-1))</f>
        <v>25</v>
      </c>
      <c r="I141" s="70">
        <f t="shared" ref="I141:I164" si="61">IF(E141=0,0,H140-1)</f>
        <v>168</v>
      </c>
      <c r="J141" s="73" t="str">
        <f>IF(C141="","--",IF(AND(C141&lt;&gt;"FST",C141&lt;&gt;"TCF",BA140&lt;&gt;0),BA140,"--"))</f>
        <v>--</v>
      </c>
      <c r="K141" s="32"/>
      <c r="L141" s="233"/>
      <c r="M141" s="279" t="s">
        <v>408</v>
      </c>
      <c r="N141" s="279"/>
      <c r="O141" s="279"/>
      <c r="P141" s="279"/>
      <c r="Q141" s="279"/>
      <c r="R141" s="279"/>
      <c r="S141" s="279"/>
      <c r="T141" s="279"/>
      <c r="U141" s="280"/>
      <c r="V141" s="103"/>
      <c r="W141" s="72"/>
      <c r="X141" s="72"/>
      <c r="Y141" s="72"/>
      <c r="Z141" s="45">
        <v>10</v>
      </c>
      <c r="AA141" s="46">
        <v>109</v>
      </c>
      <c r="AB141" s="46">
        <v>120</v>
      </c>
      <c r="AC141" s="72">
        <f t="shared" si="51"/>
        <v>1</v>
      </c>
      <c r="AD141" s="72">
        <f t="shared" si="52"/>
        <v>1</v>
      </c>
      <c r="AE141" s="109" t="str">
        <f t="shared" si="53"/>
        <v>25-168</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t="s">
        <v>502</v>
      </c>
      <c r="D142" s="102"/>
      <c r="E142" s="32">
        <v>12</v>
      </c>
      <c r="F142" s="32"/>
      <c r="G142" s="75" t="s">
        <v>277</v>
      </c>
      <c r="H142" s="69">
        <f t="shared" si="60"/>
        <v>13</v>
      </c>
      <c r="I142" s="70">
        <f t="shared" si="61"/>
        <v>24</v>
      </c>
      <c r="J142" s="73" t="str">
        <f t="shared" ref="J142:J164" si="62">IF(C142="","--",IF(AND(C142&lt;&gt;"FST",C142&lt;&gt;"TCF",BA141&lt;&gt;0),BA141,"--"))</f>
        <v>--</v>
      </c>
      <c r="K142" s="32"/>
      <c r="L142" s="233"/>
      <c r="M142" s="279" t="s">
        <v>408</v>
      </c>
      <c r="N142" s="279"/>
      <c r="O142" s="279"/>
      <c r="P142" s="279"/>
      <c r="Q142" s="279"/>
      <c r="R142" s="279"/>
      <c r="S142" s="279"/>
      <c r="T142" s="279"/>
      <c r="U142" s="280"/>
      <c r="V142" s="103"/>
      <c r="W142" s="72"/>
      <c r="X142" s="72"/>
      <c r="Y142" s="72"/>
      <c r="Z142" s="45">
        <v>11</v>
      </c>
      <c r="AA142" s="46">
        <v>121</v>
      </c>
      <c r="AB142" s="46">
        <v>132</v>
      </c>
      <c r="AC142" s="72">
        <f t="shared" si="51"/>
        <v>1</v>
      </c>
      <c r="AD142" s="72">
        <f t="shared" si="52"/>
        <v>1</v>
      </c>
      <c r="AE142" s="109" t="str">
        <f t="shared" si="53"/>
        <v>13-24</v>
      </c>
      <c r="AF142" s="109" t="str">
        <f t="shared" si="54"/>
        <v>N</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9"/>
      <c r="N143" s="279"/>
      <c r="O143" s="279"/>
      <c r="P143" s="279"/>
      <c r="Q143" s="279"/>
      <c r="R143" s="279"/>
      <c r="S143" s="279"/>
      <c r="T143" s="279"/>
      <c r="U143" s="280"/>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9"/>
      <c r="N144" s="279"/>
      <c r="O144" s="279"/>
      <c r="P144" s="279"/>
      <c r="Q144" s="279"/>
      <c r="R144" s="279"/>
      <c r="S144" s="279"/>
      <c r="T144" s="279"/>
      <c r="U144" s="280"/>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254"/>
      <c r="E145" s="32"/>
      <c r="F145" s="32"/>
      <c r="G145" s="68" t="s">
        <v>277</v>
      </c>
      <c r="H145" s="69">
        <f t="shared" si="60"/>
        <v>0</v>
      </c>
      <c r="I145" s="70">
        <f t="shared" si="61"/>
        <v>0</v>
      </c>
      <c r="J145" s="73" t="str">
        <f t="shared" si="62"/>
        <v>--</v>
      </c>
      <c r="K145" s="32"/>
      <c r="L145" s="233"/>
      <c r="M145" s="279"/>
      <c r="N145" s="279"/>
      <c r="O145" s="279"/>
      <c r="P145" s="279"/>
      <c r="Q145" s="279"/>
      <c r="R145" s="279"/>
      <c r="S145" s="279"/>
      <c r="T145" s="279"/>
      <c r="U145" s="280"/>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9"/>
      <c r="N146" s="279"/>
      <c r="O146" s="279"/>
      <c r="P146" s="279"/>
      <c r="Q146" s="279"/>
      <c r="R146" s="279"/>
      <c r="S146" s="279"/>
      <c r="T146" s="279"/>
      <c r="U146" s="280"/>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9"/>
      <c r="N147" s="279"/>
      <c r="O147" s="279"/>
      <c r="P147" s="279"/>
      <c r="Q147" s="279"/>
      <c r="R147" s="279"/>
      <c r="S147" s="279"/>
      <c r="T147" s="279"/>
      <c r="U147" s="280"/>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9"/>
      <c r="N148" s="279"/>
      <c r="O148" s="279"/>
      <c r="P148" s="279"/>
      <c r="Q148" s="279"/>
      <c r="R148" s="279"/>
      <c r="S148" s="279"/>
      <c r="T148" s="279"/>
      <c r="U148" s="280"/>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9"/>
      <c r="N149" s="279"/>
      <c r="O149" s="279"/>
      <c r="P149" s="279"/>
      <c r="Q149" s="279"/>
      <c r="R149" s="279"/>
      <c r="S149" s="279"/>
      <c r="T149" s="279"/>
      <c r="U149" s="280"/>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9"/>
      <c r="N150" s="279"/>
      <c r="O150" s="279"/>
      <c r="P150" s="279"/>
      <c r="Q150" s="279"/>
      <c r="R150" s="279"/>
      <c r="S150" s="279"/>
      <c r="T150" s="279"/>
      <c r="U150" s="280"/>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9"/>
      <c r="N151" s="279"/>
      <c r="O151" s="279"/>
      <c r="P151" s="279"/>
      <c r="Q151" s="279"/>
      <c r="R151" s="279"/>
      <c r="S151" s="279"/>
      <c r="T151" s="279"/>
      <c r="U151" s="280"/>
      <c r="V151" s="103"/>
      <c r="W151" s="84">
        <f>Y151+1</f>
        <v>181</v>
      </c>
      <c r="X151" s="84"/>
      <c r="Y151" s="78">
        <f>SUM(E140:E151)</f>
        <v>180</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9"/>
      <c r="N152" s="279"/>
      <c r="O152" s="279"/>
      <c r="P152" s="279"/>
      <c r="Q152" s="279"/>
      <c r="R152" s="279"/>
      <c r="S152" s="279"/>
      <c r="T152" s="279"/>
      <c r="U152" s="280"/>
      <c r="V152" s="103"/>
      <c r="W152" s="84">
        <f>Y152+1</f>
        <v>181</v>
      </c>
      <c r="X152" s="84"/>
      <c r="Y152" s="78">
        <f>SUM(E140:E152)</f>
        <v>180</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9"/>
      <c r="N153" s="279"/>
      <c r="O153" s="279"/>
      <c r="P153" s="279"/>
      <c r="Q153" s="279"/>
      <c r="R153" s="279"/>
      <c r="S153" s="279"/>
      <c r="T153" s="279"/>
      <c r="U153" s="280"/>
      <c r="V153" s="103"/>
      <c r="W153" s="84">
        <f>Y153+1</f>
        <v>181</v>
      </c>
      <c r="X153" s="84"/>
      <c r="Y153" s="78">
        <f>SUM(E140:E153)</f>
        <v>180</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9"/>
      <c r="N154" s="279"/>
      <c r="O154" s="279"/>
      <c r="P154" s="279"/>
      <c r="Q154" s="279"/>
      <c r="R154" s="279"/>
      <c r="S154" s="279"/>
      <c r="T154" s="279"/>
      <c r="U154" s="280"/>
      <c r="V154" s="103"/>
      <c r="W154" s="84">
        <f>Y154+1</f>
        <v>181</v>
      </c>
      <c r="X154" s="84"/>
      <c r="Y154" s="78">
        <f>SUM(E140:E154)</f>
        <v>180</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9"/>
      <c r="N155" s="279"/>
      <c r="O155" s="279"/>
      <c r="P155" s="279"/>
      <c r="Q155" s="279"/>
      <c r="R155" s="279"/>
      <c r="S155" s="279"/>
      <c r="T155" s="279"/>
      <c r="U155" s="280"/>
      <c r="V155" s="103"/>
      <c r="W155" s="84">
        <f t="shared" ref="W155:W163" si="67">Y155+1</f>
        <v>181</v>
      </c>
      <c r="X155" s="84"/>
      <c r="Y155" s="78">
        <f>SUM(E140:E155)</f>
        <v>180</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9"/>
      <c r="N156" s="279"/>
      <c r="O156" s="279"/>
      <c r="P156" s="279"/>
      <c r="Q156" s="279"/>
      <c r="R156" s="279"/>
      <c r="S156" s="279"/>
      <c r="T156" s="279"/>
      <c r="U156" s="280"/>
      <c r="V156" s="103"/>
      <c r="W156" s="84">
        <f t="shared" si="67"/>
        <v>181</v>
      </c>
      <c r="X156" s="84"/>
      <c r="Y156" s="78">
        <f>SUM(E140:E156)</f>
        <v>180</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9"/>
      <c r="N157" s="279"/>
      <c r="O157" s="279"/>
      <c r="P157" s="279"/>
      <c r="Q157" s="279"/>
      <c r="R157" s="279"/>
      <c r="S157" s="279"/>
      <c r="T157" s="279"/>
      <c r="U157" s="280"/>
      <c r="V157" s="103"/>
      <c r="W157" s="84">
        <f t="shared" si="67"/>
        <v>181</v>
      </c>
      <c r="X157" s="84"/>
      <c r="Y157" s="78">
        <f>SUM(E140:E157)</f>
        <v>180</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9"/>
      <c r="N158" s="279"/>
      <c r="O158" s="279"/>
      <c r="P158" s="279"/>
      <c r="Q158" s="279"/>
      <c r="R158" s="279"/>
      <c r="S158" s="279"/>
      <c r="T158" s="279"/>
      <c r="U158" s="280"/>
      <c r="V158" s="103"/>
      <c r="W158" s="84">
        <f t="shared" si="67"/>
        <v>181</v>
      </c>
      <c r="X158" s="84"/>
      <c r="Y158" s="78">
        <f>SUM(E140:E158)</f>
        <v>180</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9"/>
      <c r="N159" s="279"/>
      <c r="O159" s="279"/>
      <c r="P159" s="279"/>
      <c r="Q159" s="279"/>
      <c r="R159" s="279"/>
      <c r="S159" s="279"/>
      <c r="T159" s="279"/>
      <c r="U159" s="280"/>
      <c r="V159" s="103"/>
      <c r="W159" s="84">
        <f t="shared" si="67"/>
        <v>181</v>
      </c>
      <c r="X159" s="84"/>
      <c r="Y159" s="78">
        <f>SUM(E140:E159)</f>
        <v>180</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9"/>
      <c r="N160" s="279"/>
      <c r="O160" s="279"/>
      <c r="P160" s="279"/>
      <c r="Q160" s="279"/>
      <c r="R160" s="279"/>
      <c r="S160" s="279"/>
      <c r="T160" s="279"/>
      <c r="U160" s="280"/>
      <c r="V160" s="103"/>
      <c r="W160" s="84">
        <f t="shared" si="67"/>
        <v>181</v>
      </c>
      <c r="X160" s="84"/>
      <c r="Y160" s="78">
        <f>SUM(E140:E160)</f>
        <v>180</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9"/>
      <c r="N161" s="279"/>
      <c r="O161" s="279"/>
      <c r="P161" s="279"/>
      <c r="Q161" s="279"/>
      <c r="R161" s="279"/>
      <c r="S161" s="279"/>
      <c r="T161" s="279"/>
      <c r="U161" s="280"/>
      <c r="V161" s="103"/>
      <c r="W161" s="84">
        <f t="shared" si="67"/>
        <v>181</v>
      </c>
      <c r="X161" s="84"/>
      <c r="Y161" s="78">
        <f>SUM(E140:E161)</f>
        <v>180</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9"/>
      <c r="N162" s="279"/>
      <c r="O162" s="279"/>
      <c r="P162" s="279"/>
      <c r="Q162" s="279"/>
      <c r="R162" s="279"/>
      <c r="S162" s="279"/>
      <c r="T162" s="279"/>
      <c r="U162" s="280"/>
      <c r="V162" s="103"/>
      <c r="W162" s="84">
        <f t="shared" si="67"/>
        <v>181</v>
      </c>
      <c r="X162" s="84"/>
      <c r="Y162" s="78">
        <f>SUM(E140:E162)</f>
        <v>180</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9"/>
      <c r="N163" s="279"/>
      <c r="O163" s="279"/>
      <c r="P163" s="279"/>
      <c r="Q163" s="279"/>
      <c r="R163" s="279"/>
      <c r="S163" s="279"/>
      <c r="T163" s="279"/>
      <c r="U163" s="280"/>
      <c r="V163" s="103"/>
      <c r="W163" s="84">
        <f t="shared" si="67"/>
        <v>181</v>
      </c>
      <c r="X163" s="84"/>
      <c r="Y163" s="78">
        <f>SUM(E140:E163)</f>
        <v>180</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9"/>
      <c r="N164" s="279"/>
      <c r="O164" s="279"/>
      <c r="P164" s="279"/>
      <c r="Q164" s="279"/>
      <c r="R164" s="279"/>
      <c r="S164" s="279"/>
      <c r="T164" s="279"/>
      <c r="U164" s="280"/>
      <c r="V164" s="103"/>
      <c r="W164" s="72"/>
      <c r="X164" s="72"/>
      <c r="Y164" s="78">
        <f>SUM(E140:E164)</f>
        <v>180</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0" t="s">
        <v>311</v>
      </c>
      <c r="C165" s="321"/>
      <c r="D165" s="79"/>
      <c r="E165" s="80"/>
      <c r="F165" s="80"/>
      <c r="G165" s="81"/>
      <c r="H165" s="192"/>
      <c r="I165" s="192"/>
      <c r="J165" s="192"/>
      <c r="K165" s="82"/>
      <c r="L165" s="320" t="s">
        <v>306</v>
      </c>
      <c r="M165" s="331"/>
      <c r="N165" s="331"/>
      <c r="O165" s="331"/>
      <c r="P165" s="331"/>
      <c r="Q165" s="331"/>
      <c r="R165" s="331"/>
      <c r="S165" s="331"/>
      <c r="T165" s="331"/>
      <c r="U165" s="321"/>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0" t="s">
        <v>307</v>
      </c>
      <c r="C166" s="321"/>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3" t="s">
        <v>222</v>
      </c>
      <c r="C170" s="314"/>
      <c r="D170" s="315" t="s">
        <v>223</v>
      </c>
      <c r="E170" s="306"/>
      <c r="F170" s="88"/>
      <c r="G170" s="316" t="s">
        <v>224</v>
      </c>
      <c r="H170" s="317"/>
      <c r="I170" s="28">
        <f>SUM(E181:E205)</f>
        <v>24</v>
      </c>
      <c r="J170" s="318" t="s">
        <v>225</v>
      </c>
      <c r="K170" s="319"/>
      <c r="L170" s="306"/>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6" t="s">
        <v>226</v>
      </c>
      <c r="AA170" s="297"/>
      <c r="AB170" s="298"/>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5" t="s">
        <v>230</v>
      </c>
      <c r="H171" s="306"/>
      <c r="I171" s="33">
        <f>E172-I170</f>
        <v>0</v>
      </c>
      <c r="J171" s="290" t="s">
        <v>231</v>
      </c>
      <c r="K171" s="291"/>
      <c r="L171" s="34">
        <f>I175</f>
        <v>169</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9" t="s">
        <v>232</v>
      </c>
      <c r="AA171" s="301" t="s">
        <v>233</v>
      </c>
      <c r="AB171" s="302"/>
      <c r="AC171" s="25"/>
      <c r="AD171" s="25"/>
      <c r="AH171" s="109">
        <v>4</v>
      </c>
      <c r="AI171" s="109" t="str">
        <f>IF($E171="SS",COUNTIFS($C181:$C205,"FST",$E181:$E205,"4"),"0")</f>
        <v>0</v>
      </c>
      <c r="AJ171" s="109">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292" t="s">
        <v>237</v>
      </c>
      <c r="H172" s="293"/>
      <c r="I172" s="35">
        <f>IF(E172=0,0,12-(MOD(I170,12)))</f>
        <v>12</v>
      </c>
      <c r="J172" s="290" t="s">
        <v>238</v>
      </c>
      <c r="K172" s="291"/>
      <c r="L172" s="39">
        <f>I176-I170</f>
        <v>168</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0"/>
      <c r="AA172" s="303"/>
      <c r="AB172" s="304"/>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2" t="s">
        <v>242</v>
      </c>
      <c r="H173" s="43" t="s">
        <v>243</v>
      </c>
      <c r="I173" s="35">
        <f>IF(E173&lt;&gt;0,1,0)</f>
        <v>0</v>
      </c>
      <c r="J173" s="292" t="s">
        <v>244</v>
      </c>
      <c r="K173" s="293"/>
      <c r="L173" s="44">
        <f>'Cable Calculator'!X3</f>
        <v>466</v>
      </c>
      <c r="M173" s="196">
        <v>8</v>
      </c>
      <c r="N173" s="35">
        <f>SUM(AI173,AI184)</f>
        <v>0</v>
      </c>
      <c r="O173" s="35">
        <v>0</v>
      </c>
      <c r="P173" s="35">
        <f>SUM(AJ173,AJ184)</f>
        <v>3</v>
      </c>
      <c r="Q173" s="35">
        <v>0</v>
      </c>
      <c r="R173" s="35">
        <f>COUNTIFS($E181:$E205,"8",$F181:$F205,"Pole",$C181:$C205,"FST")</f>
        <v>3</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3</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169</v>
      </c>
      <c r="F174" s="88"/>
      <c r="G174" s="323"/>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0</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2" t="s">
        <v>251</v>
      </c>
      <c r="H175" s="51" t="s">
        <v>252</v>
      </c>
      <c r="I175" s="112">
        <f>E174</f>
        <v>169</v>
      </c>
      <c r="J175" s="324" t="s">
        <v>253</v>
      </c>
      <c r="K175" s="325"/>
      <c r="L175" s="32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3"/>
      <c r="H176" s="47" t="s">
        <v>257</v>
      </c>
      <c r="I176" s="35">
        <f>IF(E174="","0",IF(AND(E171="EUC",E172=432), I175+(203-E173),IF(E174=0,0,(E174+(E172-E173)-1))))</f>
        <v>192</v>
      </c>
      <c r="J176" s="287" t="str">
        <f>IFERROR(IF(OR(E171="EUC",E171="SS"),"---",IF(OR(P170,S170),"NO 2F Tethers for RPX!",IF(OR(P172,S172),"NO 6F Tethers for RPX!","---"))),"---")</f>
        <v>---</v>
      </c>
      <c r="K176" s="288"/>
      <c r="L176" s="289"/>
      <c r="M176" s="287" t="str">
        <f>IF(E173&gt;60,"Dead Count &gt;60: Consider Downsize","---")</f>
        <v>---</v>
      </c>
      <c r="N176" s="288"/>
      <c r="O176" s="288"/>
      <c r="P176" s="288"/>
      <c r="Q176" s="288"/>
      <c r="R176" s="288"/>
      <c r="S176" s="288"/>
      <c r="T176" s="288"/>
      <c r="U176" s="289"/>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87"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8"/>
      <c r="L177" s="289"/>
      <c r="M177" s="287" t="str">
        <f>IF(AND(OR(E171="SS",E171="RPX",E171="EUC",E171="RPX-T"),(OR(C181="",C181="Field SPL"))),"Cannot have FlexNap cables without tethers","---")</f>
        <v>---</v>
      </c>
      <c r="N177" s="288"/>
      <c r="O177" s="288"/>
      <c r="P177" s="288"/>
      <c r="Q177" s="288"/>
      <c r="R177" s="288"/>
      <c r="S177" s="288"/>
      <c r="T177" s="288"/>
      <c r="U177" s="289"/>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7" t="str">
        <f>IF(AND(OR(E171="RPX", E171="RPX-T", E171="SS"),E172=216),"NO 216 For RPX, RPX-T, OR SS CABLE","---")</f>
        <v>---</v>
      </c>
      <c r="K178" s="288"/>
      <c r="L178" s="289"/>
      <c r="M178" s="287" t="str" cm="1">
        <f t="array" ref="M178">IF(AND(E171="",OR(C181:C205="FST",C181:C205="REV T",C181:C205="DBL REV",C181:C205="TPL REV", C181:C205="QD REV")),"Non-FlexNap cables cannot have tethers","---")</f>
        <v>---</v>
      </c>
      <c r="N178" s="288"/>
      <c r="O178" s="288"/>
      <c r="P178" s="288"/>
      <c r="Q178" s="288"/>
      <c r="R178" s="288"/>
      <c r="S178" s="288"/>
      <c r="T178" s="288"/>
      <c r="U178" s="289"/>
      <c r="V178" s="25"/>
      <c r="W178" s="58"/>
      <c r="X178" s="58"/>
      <c r="Y178" s="25"/>
      <c r="Z178" s="45">
        <v>6</v>
      </c>
      <c r="AA178" s="65">
        <v>61</v>
      </c>
      <c r="AB178" s="65">
        <v>72</v>
      </c>
      <c r="AC178" s="25"/>
      <c r="AD178" s="25"/>
      <c r="BA178" s="226"/>
    </row>
    <row r="179" spans="1:53" ht="15.75" customHeight="1" thickBot="1" x14ac:dyDescent="0.3">
      <c r="A179" s="88"/>
      <c r="B179" s="322" t="s">
        <v>260</v>
      </c>
      <c r="C179" s="294" t="s">
        <v>261</v>
      </c>
      <c r="D179" s="294" t="s">
        <v>262</v>
      </c>
      <c r="E179" s="307" t="s">
        <v>263</v>
      </c>
      <c r="F179" s="294" t="s">
        <v>264</v>
      </c>
      <c r="G179" s="309" t="s">
        <v>265</v>
      </c>
      <c r="H179" s="309" t="s">
        <v>266</v>
      </c>
      <c r="I179" s="309" t="s">
        <v>267</v>
      </c>
      <c r="J179" s="311" t="s">
        <v>268</v>
      </c>
      <c r="K179" s="294" t="s">
        <v>269</v>
      </c>
      <c r="L179" s="281" t="s">
        <v>270</v>
      </c>
      <c r="M179" s="283" t="s">
        <v>271</v>
      </c>
      <c r="N179" s="283"/>
      <c r="O179" s="283"/>
      <c r="P179" s="283"/>
      <c r="Q179" s="283"/>
      <c r="R179" s="283"/>
      <c r="S179" s="283"/>
      <c r="T179" s="283"/>
      <c r="U179" s="284"/>
      <c r="V179" s="107"/>
      <c r="W179" s="72"/>
      <c r="X179" s="72"/>
      <c r="Y179" s="72"/>
      <c r="Z179" s="45">
        <v>7</v>
      </c>
      <c r="AA179" s="65">
        <v>73</v>
      </c>
      <c r="AB179" s="65">
        <v>84</v>
      </c>
      <c r="AC179" s="25"/>
      <c r="AD179" s="25"/>
      <c r="BA179" s="228"/>
    </row>
    <row r="180" spans="1:53" ht="15.75" thickBot="1" x14ac:dyDescent="0.3">
      <c r="A180" s="88"/>
      <c r="B180" s="323"/>
      <c r="C180" s="295"/>
      <c r="D180" s="295"/>
      <c r="E180" s="308"/>
      <c r="F180" s="295"/>
      <c r="G180" s="310"/>
      <c r="H180" s="310"/>
      <c r="I180" s="310"/>
      <c r="J180" s="312"/>
      <c r="K180" s="295"/>
      <c r="L180" s="282"/>
      <c r="M180" s="285"/>
      <c r="N180" s="285"/>
      <c r="O180" s="285"/>
      <c r="P180" s="285"/>
      <c r="Q180" s="285"/>
      <c r="R180" s="285"/>
      <c r="S180" s="285"/>
      <c r="T180" s="285"/>
      <c r="U180" s="28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755</v>
      </c>
      <c r="E181" s="32">
        <v>8</v>
      </c>
      <c r="F181" s="32" t="s">
        <v>483</v>
      </c>
      <c r="G181" s="68" t="s">
        <v>277</v>
      </c>
      <c r="H181" s="69">
        <f>IF(I181=0,0,I181-(E181-1))</f>
        <v>185</v>
      </c>
      <c r="I181" s="70">
        <f>IF(E181=0,0,I176)</f>
        <v>192</v>
      </c>
      <c r="J181" s="71" t="s">
        <v>278</v>
      </c>
      <c r="K181" s="32"/>
      <c r="L181" s="233"/>
      <c r="M181" s="279"/>
      <c r="N181" s="279"/>
      <c r="O181" s="279"/>
      <c r="P181" s="279"/>
      <c r="Q181" s="279"/>
      <c r="R181" s="279"/>
      <c r="S181" s="279"/>
      <c r="T181" s="279"/>
      <c r="U181" s="280"/>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185-192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8</v>
      </c>
    </row>
    <row r="182" spans="1:53" ht="15.75" thickBot="1" x14ac:dyDescent="0.3">
      <c r="A182" s="88"/>
      <c r="B182" s="66" t="s">
        <v>279</v>
      </c>
      <c r="C182" s="67" t="s">
        <v>484</v>
      </c>
      <c r="D182" s="102" t="s">
        <v>756</v>
      </c>
      <c r="E182" s="32">
        <v>8</v>
      </c>
      <c r="F182" s="32" t="s">
        <v>483</v>
      </c>
      <c r="G182" s="68" t="s">
        <v>277</v>
      </c>
      <c r="H182" s="69">
        <f t="shared" ref="H182:H205" si="77">IF(E182=0,0,I182-(E182-1))</f>
        <v>177</v>
      </c>
      <c r="I182" s="70">
        <f t="shared" ref="I182:I205" si="78">IF(E182=0,0,H181-1)</f>
        <v>184</v>
      </c>
      <c r="J182" s="73" t="str">
        <f>IF(C182="","--",IF(AND(C182&lt;&gt;"FST",C182&lt;&gt;"TCF",BA181&lt;&gt;0),BA181,"--"))</f>
        <v>--</v>
      </c>
      <c r="K182" s="32"/>
      <c r="L182" s="233"/>
      <c r="M182" s="279"/>
      <c r="N182" s="279"/>
      <c r="O182" s="279"/>
      <c r="P182" s="279"/>
      <c r="Q182" s="279"/>
      <c r="R182" s="279"/>
      <c r="S182" s="279"/>
      <c r="T182" s="279"/>
      <c r="U182" s="280"/>
      <c r="V182" s="103"/>
      <c r="W182" s="72"/>
      <c r="X182" s="72"/>
      <c r="Y182" s="72"/>
      <c r="Z182" s="45">
        <v>10</v>
      </c>
      <c r="AA182" s="46">
        <v>109</v>
      </c>
      <c r="AB182" s="46">
        <v>120</v>
      </c>
      <c r="AC182" s="72">
        <f t="shared" si="68"/>
        <v>1</v>
      </c>
      <c r="AD182" s="72">
        <f t="shared" si="69"/>
        <v>0</v>
      </c>
      <c r="AE182" s="109" t="str">
        <f t="shared" si="70"/>
        <v>177-184</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757</v>
      </c>
      <c r="E183" s="32">
        <v>8</v>
      </c>
      <c r="F183" s="32" t="s">
        <v>483</v>
      </c>
      <c r="G183" s="75" t="s">
        <v>277</v>
      </c>
      <c r="H183" s="69">
        <f t="shared" si="77"/>
        <v>169</v>
      </c>
      <c r="I183" s="70">
        <f t="shared" si="78"/>
        <v>176</v>
      </c>
      <c r="J183" s="73" t="str">
        <f t="shared" ref="J183:J205" si="79">IF(C183="","--",IF(AND(C183&lt;&gt;"FST",C183&lt;&gt;"TCF",BA182&lt;&gt;0),BA182,"--"))</f>
        <v>--</v>
      </c>
      <c r="K183" s="32"/>
      <c r="L183" s="233"/>
      <c r="M183" s="279"/>
      <c r="N183" s="279"/>
      <c r="O183" s="279"/>
      <c r="P183" s="279"/>
      <c r="Q183" s="279"/>
      <c r="R183" s="279"/>
      <c r="S183" s="279"/>
      <c r="T183" s="279"/>
      <c r="U183" s="280"/>
      <c r="V183" s="103"/>
      <c r="W183" s="72"/>
      <c r="X183" s="72"/>
      <c r="Y183" s="72"/>
      <c r="Z183" s="45">
        <v>11</v>
      </c>
      <c r="AA183" s="46">
        <v>121</v>
      </c>
      <c r="AB183" s="46">
        <v>132</v>
      </c>
      <c r="AC183" s="72">
        <f t="shared" si="68"/>
        <v>1</v>
      </c>
      <c r="AD183" s="72">
        <f t="shared" si="69"/>
        <v>0</v>
      </c>
      <c r="AE183" s="109" t="str">
        <f t="shared" si="70"/>
        <v>169-176</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9"/>
      <c r="N184" s="279"/>
      <c r="O184" s="279"/>
      <c r="P184" s="279"/>
      <c r="Q184" s="279"/>
      <c r="R184" s="279"/>
      <c r="S184" s="279"/>
      <c r="T184" s="279"/>
      <c r="U184" s="280"/>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9"/>
      <c r="N185" s="279"/>
      <c r="O185" s="279"/>
      <c r="P185" s="279"/>
      <c r="Q185" s="279"/>
      <c r="R185" s="279"/>
      <c r="S185" s="279"/>
      <c r="T185" s="279"/>
      <c r="U185" s="280"/>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9"/>
      <c r="N186" s="279"/>
      <c r="O186" s="279"/>
      <c r="P186" s="279"/>
      <c r="Q186" s="279"/>
      <c r="R186" s="279"/>
      <c r="S186" s="279"/>
      <c r="T186" s="279"/>
      <c r="U186" s="280"/>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9"/>
      <c r="N187" s="279"/>
      <c r="O187" s="279"/>
      <c r="P187" s="279"/>
      <c r="Q187" s="279"/>
      <c r="R187" s="279"/>
      <c r="S187" s="279"/>
      <c r="T187" s="279"/>
      <c r="U187" s="280"/>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9"/>
      <c r="N188" s="279"/>
      <c r="O188" s="279"/>
      <c r="P188" s="279"/>
      <c r="Q188" s="279"/>
      <c r="R188" s="279"/>
      <c r="S188" s="279"/>
      <c r="T188" s="279"/>
      <c r="U188" s="280"/>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9"/>
      <c r="N189" s="279"/>
      <c r="O189" s="279"/>
      <c r="P189" s="279"/>
      <c r="Q189" s="279"/>
      <c r="R189" s="279"/>
      <c r="S189" s="279"/>
      <c r="T189" s="279"/>
      <c r="U189" s="280"/>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9"/>
      <c r="N190" s="279"/>
      <c r="O190" s="279"/>
      <c r="P190" s="279"/>
      <c r="Q190" s="279"/>
      <c r="R190" s="279"/>
      <c r="S190" s="279"/>
      <c r="T190" s="279"/>
      <c r="U190" s="280"/>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9"/>
      <c r="N191" s="279"/>
      <c r="O191" s="279"/>
      <c r="P191" s="279"/>
      <c r="Q191" s="279"/>
      <c r="R191" s="279"/>
      <c r="S191" s="279"/>
      <c r="T191" s="279"/>
      <c r="U191" s="280"/>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9"/>
      <c r="N192" s="279"/>
      <c r="O192" s="279"/>
      <c r="P192" s="279"/>
      <c r="Q192" s="279"/>
      <c r="R192" s="279"/>
      <c r="S192" s="279"/>
      <c r="T192" s="279"/>
      <c r="U192" s="280"/>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9"/>
      <c r="N193" s="279"/>
      <c r="O193" s="279"/>
      <c r="P193" s="279"/>
      <c r="Q193" s="279"/>
      <c r="R193" s="279"/>
      <c r="S193" s="279"/>
      <c r="T193" s="279"/>
      <c r="U193" s="280"/>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9"/>
      <c r="N194" s="279"/>
      <c r="O194" s="279"/>
      <c r="P194" s="279"/>
      <c r="Q194" s="279"/>
      <c r="R194" s="279"/>
      <c r="S194" s="279"/>
      <c r="T194" s="279"/>
      <c r="U194" s="280"/>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9"/>
      <c r="N195" s="279"/>
      <c r="O195" s="279"/>
      <c r="P195" s="279"/>
      <c r="Q195" s="279"/>
      <c r="R195" s="279"/>
      <c r="S195" s="279"/>
      <c r="T195" s="279"/>
      <c r="U195" s="280"/>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9"/>
      <c r="N196" s="279"/>
      <c r="O196" s="279"/>
      <c r="P196" s="279"/>
      <c r="Q196" s="279"/>
      <c r="R196" s="279"/>
      <c r="S196" s="279"/>
      <c r="T196" s="279"/>
      <c r="U196" s="280"/>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9"/>
      <c r="N197" s="279"/>
      <c r="O197" s="279"/>
      <c r="P197" s="279"/>
      <c r="Q197" s="279"/>
      <c r="R197" s="279"/>
      <c r="S197" s="279"/>
      <c r="T197" s="279"/>
      <c r="U197" s="280"/>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9"/>
      <c r="N198" s="279"/>
      <c r="O198" s="279"/>
      <c r="P198" s="279"/>
      <c r="Q198" s="279"/>
      <c r="R198" s="279"/>
      <c r="S198" s="279"/>
      <c r="T198" s="279"/>
      <c r="U198" s="280"/>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9"/>
      <c r="N199" s="279"/>
      <c r="O199" s="279"/>
      <c r="P199" s="279"/>
      <c r="Q199" s="279"/>
      <c r="R199" s="279"/>
      <c r="S199" s="279"/>
      <c r="T199" s="279"/>
      <c r="U199" s="280"/>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9"/>
      <c r="N200" s="279"/>
      <c r="O200" s="279"/>
      <c r="P200" s="279"/>
      <c r="Q200" s="279"/>
      <c r="R200" s="279"/>
      <c r="S200" s="279"/>
      <c r="T200" s="279"/>
      <c r="U200" s="280"/>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9"/>
      <c r="N201" s="279"/>
      <c r="O201" s="279"/>
      <c r="P201" s="279"/>
      <c r="Q201" s="279"/>
      <c r="R201" s="279"/>
      <c r="S201" s="279"/>
      <c r="T201" s="279"/>
      <c r="U201" s="280"/>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9"/>
      <c r="N202" s="279"/>
      <c r="O202" s="279"/>
      <c r="P202" s="279"/>
      <c r="Q202" s="279"/>
      <c r="R202" s="279"/>
      <c r="S202" s="279"/>
      <c r="T202" s="279"/>
      <c r="U202" s="280"/>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9"/>
      <c r="N203" s="279"/>
      <c r="O203" s="279"/>
      <c r="P203" s="279"/>
      <c r="Q203" s="279"/>
      <c r="R203" s="279"/>
      <c r="S203" s="279"/>
      <c r="T203" s="279"/>
      <c r="U203" s="280"/>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9"/>
      <c r="N204" s="279"/>
      <c r="O204" s="279"/>
      <c r="P204" s="279"/>
      <c r="Q204" s="279"/>
      <c r="R204" s="279"/>
      <c r="S204" s="279"/>
      <c r="T204" s="279"/>
      <c r="U204" s="280"/>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9"/>
      <c r="N205" s="279"/>
      <c r="O205" s="279"/>
      <c r="P205" s="279"/>
      <c r="Q205" s="279"/>
      <c r="R205" s="279"/>
      <c r="S205" s="279"/>
      <c r="T205" s="279"/>
      <c r="U205" s="280"/>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320" t="s">
        <v>313</v>
      </c>
      <c r="C206" s="321"/>
      <c r="D206" s="79"/>
      <c r="E206" s="80"/>
      <c r="F206" s="80"/>
      <c r="G206" s="81"/>
      <c r="H206" s="192"/>
      <c r="I206" s="192"/>
      <c r="J206" s="192"/>
      <c r="K206" s="82"/>
      <c r="L206" s="320" t="s">
        <v>306</v>
      </c>
      <c r="M206" s="331"/>
      <c r="N206" s="331"/>
      <c r="O206" s="331"/>
      <c r="P206" s="331"/>
      <c r="Q206" s="331"/>
      <c r="R206" s="331"/>
      <c r="S206" s="331"/>
      <c r="T206" s="331"/>
      <c r="U206" s="321"/>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20" t="s">
        <v>307</v>
      </c>
      <c r="C207" s="321"/>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3" t="s">
        <v>222</v>
      </c>
      <c r="C211" s="314"/>
      <c r="D211" s="315" t="s">
        <v>223</v>
      </c>
      <c r="E211" s="306"/>
      <c r="F211" s="88"/>
      <c r="G211" s="316" t="s">
        <v>224</v>
      </c>
      <c r="H211" s="317"/>
      <c r="I211" s="28">
        <f>SUM(E222:E246)</f>
        <v>156</v>
      </c>
      <c r="J211" s="318" t="s">
        <v>225</v>
      </c>
      <c r="K211" s="319"/>
      <c r="L211" s="306"/>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6" t="s">
        <v>226</v>
      </c>
      <c r="AA211" s="297"/>
      <c r="AB211" s="298"/>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5" t="s">
        <v>230</v>
      </c>
      <c r="H212" s="306"/>
      <c r="I212" s="33">
        <f>E213-I211</f>
        <v>60</v>
      </c>
      <c r="J212" s="290" t="s">
        <v>231</v>
      </c>
      <c r="K212" s="291"/>
      <c r="L212" s="34">
        <f>I216</f>
        <v>13</v>
      </c>
      <c r="M212" s="196">
        <v>4</v>
      </c>
      <c r="N212" s="35">
        <f>SUM(AI212,AI223)</f>
        <v>0</v>
      </c>
      <c r="O212" s="35">
        <v>0</v>
      </c>
      <c r="P212" s="35">
        <f>SUM(AJ212,AJ223)</f>
        <v>0</v>
      </c>
      <c r="Q212" s="35">
        <v>0</v>
      </c>
      <c r="R212" s="35">
        <f>COUNTIFS($E222:$E246,"4",$F222:$F246,"Pole",$C222:$C246,"FST")</f>
        <v>1</v>
      </c>
      <c r="S212" s="35">
        <f>SUM(AL212,AK223)</f>
        <v>0</v>
      </c>
      <c r="T212" s="35">
        <v>0</v>
      </c>
      <c r="U212" s="35">
        <f>SUM(AK212,AL223)</f>
        <v>1</v>
      </c>
      <c r="V212" s="35">
        <v>0</v>
      </c>
      <c r="W212" s="34">
        <f>COUNTIFS($E222:$E246,"4",$F222:$F246,"HH",$C222:$C246,"FST")</f>
        <v>0</v>
      </c>
      <c r="X212" s="35">
        <f>COUNTIFS($E222:$E246,"4",$F222:$F246,"Ped",$C222:$C246,"FST")</f>
        <v>0</v>
      </c>
      <c r="Y212" s="25"/>
      <c r="Z212" s="299" t="s">
        <v>232</v>
      </c>
      <c r="AA212" s="301" t="s">
        <v>233</v>
      </c>
      <c r="AB212" s="302"/>
      <c r="AC212" s="25"/>
      <c r="AD212" s="25"/>
      <c r="AH212" s="109">
        <v>4</v>
      </c>
      <c r="AI212" s="109" t="str">
        <f>IF($E212="SS",COUNTIFS($C222:$C246,"FST",$E222:$E246,"4"),"0")</f>
        <v>0</v>
      </c>
      <c r="AJ212" s="109" t="str">
        <f>IF($E212="RPX",COUNTIFS($C222:$C246,"FST",$E222:$E246,"4"),"0")</f>
        <v>0</v>
      </c>
      <c r="AK212" s="109">
        <f>IF($E212="EUC",COUNTIFS($C222:$C246,"FST",$E222:$E246,"4"),"0")</f>
        <v>1</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216</v>
      </c>
      <c r="F213" s="88"/>
      <c r="G213" s="292" t="s">
        <v>237</v>
      </c>
      <c r="H213" s="293"/>
      <c r="I213" s="35">
        <f>IF(E213=0,0,12-(MOD(I211,12)))</f>
        <v>12</v>
      </c>
      <c r="J213" s="290" t="s">
        <v>238</v>
      </c>
      <c r="K213" s="291"/>
      <c r="L213" s="39">
        <f>I217-I211</f>
        <v>12</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0"/>
      <c r="AA213" s="303"/>
      <c r="AB213" s="304"/>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60</v>
      </c>
      <c r="F214" s="88"/>
      <c r="G214" s="322" t="s">
        <v>242</v>
      </c>
      <c r="H214" s="43" t="s">
        <v>243</v>
      </c>
      <c r="I214" s="35">
        <f>IF(E214&lt;&gt;0,1,0)</f>
        <v>1</v>
      </c>
      <c r="J214" s="292" t="s">
        <v>244</v>
      </c>
      <c r="K214" s="293"/>
      <c r="L214" s="44">
        <f>'Cable Calculator'!AC3</f>
        <v>1371</v>
      </c>
      <c r="M214" s="196">
        <v>8</v>
      </c>
      <c r="N214" s="35">
        <f>SUM(AI214,AI225)</f>
        <v>0</v>
      </c>
      <c r="O214" s="35">
        <v>0</v>
      </c>
      <c r="P214" s="35">
        <f>SUM(AJ214,AJ225)</f>
        <v>0</v>
      </c>
      <c r="Q214" s="35">
        <v>0</v>
      </c>
      <c r="R214" s="35">
        <f>COUNTIFS($E222:$E246,"8",$F222:$F246,"Pole",$C222:$C246,"FST")</f>
        <v>1</v>
      </c>
      <c r="S214" s="35">
        <f>SUM(AL214,AK225)</f>
        <v>0</v>
      </c>
      <c r="T214" s="35">
        <v>0</v>
      </c>
      <c r="U214" s="35">
        <f>SUM(AK214,AL225)</f>
        <v>1</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13</v>
      </c>
      <c r="F215" s="88"/>
      <c r="G215" s="323"/>
      <c r="H215" s="47" t="s">
        <v>248</v>
      </c>
      <c r="I215" s="35">
        <f>IF(E214&lt;&gt;0,E214,0)</f>
        <v>60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2</v>
      </c>
      <c r="S215" s="35" t="str">
        <f>IF($E212="RPX-T",SUM(AL215,AK226,AM247,AO247,AQ247),"0")</f>
        <v>0</v>
      </c>
      <c r="T215" s="35" t="str">
        <f>IF($E212="RPX-T",SUM(AN247,AP247,AR247),"0")</f>
        <v>0</v>
      </c>
      <c r="U215" s="35">
        <f>IF($E212="EUC",SUM(AK215,AL226,AM247,AO247,AQ247),"0")</f>
        <v>4</v>
      </c>
      <c r="V215" s="35">
        <f>IF($E212="EUC",SUM($AN247,AP247,AR247),"0")</f>
        <v>1</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2</v>
      </c>
      <c r="AL215" s="109" t="str">
        <f>IF($E212="RPX-T",COUNTIFS($C222:$C246,"FST",$E222:$E246,"12"),"0")</f>
        <v>0</v>
      </c>
      <c r="BA215" s="227"/>
    </row>
    <row r="216" spans="1:53" ht="16.5" customHeight="1" thickTop="1" thickBot="1" x14ac:dyDescent="0.3">
      <c r="A216" s="88"/>
      <c r="B216" s="36" t="s">
        <v>249</v>
      </c>
      <c r="C216" s="30">
        <v>0</v>
      </c>
      <c r="D216" s="49" t="s">
        <v>250</v>
      </c>
      <c r="E216" s="50">
        <f>E213/12</f>
        <v>18</v>
      </c>
      <c r="F216" s="88"/>
      <c r="G216" s="322" t="s">
        <v>251</v>
      </c>
      <c r="H216" s="51" t="s">
        <v>252</v>
      </c>
      <c r="I216" s="112">
        <f>E215</f>
        <v>13</v>
      </c>
      <c r="J216" s="324" t="s">
        <v>253</v>
      </c>
      <c r="K216" s="325"/>
      <c r="L216" s="32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3"/>
      <c r="H217" s="47" t="s">
        <v>257</v>
      </c>
      <c r="I217" s="35">
        <f>IF(E215="","0",IF(AND(E212="EUC",E213=432), I216+(203-E214),IF(E215=0,0,(E215+(E213-E214)-1))))</f>
        <v>168</v>
      </c>
      <c r="J217" s="287" t="str">
        <f>IFERROR(IF(OR(E212="EUC",E212="SS"),"---",IF(OR(P211,S211),"NO 2F Tethers for RPX!",IF(OR(P213,S213),"NO 6F Tethers for RPX!","---"))),"---")</f>
        <v>---</v>
      </c>
      <c r="K217" s="288"/>
      <c r="L217" s="289"/>
      <c r="M217" s="287" t="str">
        <f>IF(E214&gt;60,"Dead Count &gt;60: Consider Downsize","---")</f>
        <v>---</v>
      </c>
      <c r="N217" s="288"/>
      <c r="O217" s="288"/>
      <c r="P217" s="288"/>
      <c r="Q217" s="288"/>
      <c r="R217" s="288"/>
      <c r="S217" s="288"/>
      <c r="T217" s="288"/>
      <c r="U217" s="289"/>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156</v>
      </c>
      <c r="D218" s="31" t="s">
        <v>259</v>
      </c>
      <c r="E218" s="101" t="str">
        <f>IF(AS212="Y","DBL",IF(AS213="Y","TRPL",IF(AS214="Y","QUAD","")))</f>
        <v/>
      </c>
      <c r="F218" s="88"/>
      <c r="G218" s="192"/>
      <c r="H218" s="57"/>
      <c r="I218" s="192"/>
      <c r="J218" s="287"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8"/>
      <c r="L218" s="289"/>
      <c r="M218" s="287" t="str">
        <f>IF(AND(OR(E212="SS",E212="RPX",E212="EUC",E212="RPX-T"),(OR(C222="",C222="Field SPL"))),"Cannot have FlexNap cables without tethers","---")</f>
        <v>---</v>
      </c>
      <c r="N218" s="288"/>
      <c r="O218" s="288"/>
      <c r="P218" s="288"/>
      <c r="Q218" s="288"/>
      <c r="R218" s="288"/>
      <c r="S218" s="288"/>
      <c r="T218" s="288"/>
      <c r="U218" s="289"/>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7" t="str">
        <f>IF(AND(OR(E212="RPX", E212="RPX-T", E212="SS"),E213=216),"NO 216 For RPX, RPX-T, OR SS CABLE","---")</f>
        <v>---</v>
      </c>
      <c r="K219" s="288"/>
      <c r="L219" s="289"/>
      <c r="M219" s="287" t="str" cm="1">
        <f t="array" ref="M219">IF(AND(E212="",OR(C222:C246="FST",C222:C246="REV T",C222:C246="DBL REV",C222:C246="TPL REV", C222:C246="QD REV")),"Non-FlexNap cables cannot have tethers","---")</f>
        <v>---</v>
      </c>
      <c r="N219" s="288"/>
      <c r="O219" s="288"/>
      <c r="P219" s="288"/>
      <c r="Q219" s="288"/>
      <c r="R219" s="288"/>
      <c r="S219" s="288"/>
      <c r="T219" s="288"/>
      <c r="U219" s="289"/>
      <c r="V219" s="25"/>
      <c r="W219" s="58"/>
      <c r="X219" s="58"/>
      <c r="Y219" s="25"/>
      <c r="Z219" s="45">
        <v>6</v>
      </c>
      <c r="AA219" s="65">
        <v>61</v>
      </c>
      <c r="AB219" s="65">
        <v>72</v>
      </c>
      <c r="AC219" s="25"/>
      <c r="AD219" s="25"/>
      <c r="BA219" s="226"/>
    </row>
    <row r="220" spans="1:53" ht="15.75" customHeight="1" thickBot="1" x14ac:dyDescent="0.3">
      <c r="A220" s="88"/>
      <c r="B220" s="322" t="s">
        <v>260</v>
      </c>
      <c r="C220" s="294" t="s">
        <v>261</v>
      </c>
      <c r="D220" s="294" t="s">
        <v>262</v>
      </c>
      <c r="E220" s="307" t="s">
        <v>263</v>
      </c>
      <c r="F220" s="294" t="s">
        <v>264</v>
      </c>
      <c r="G220" s="309" t="s">
        <v>265</v>
      </c>
      <c r="H220" s="309" t="s">
        <v>266</v>
      </c>
      <c r="I220" s="309" t="s">
        <v>267</v>
      </c>
      <c r="J220" s="311" t="s">
        <v>268</v>
      </c>
      <c r="K220" s="294" t="s">
        <v>269</v>
      </c>
      <c r="L220" s="281" t="s">
        <v>270</v>
      </c>
      <c r="M220" s="283" t="s">
        <v>271</v>
      </c>
      <c r="N220" s="283"/>
      <c r="O220" s="283"/>
      <c r="P220" s="283"/>
      <c r="Q220" s="283"/>
      <c r="R220" s="283"/>
      <c r="S220" s="283"/>
      <c r="T220" s="283"/>
      <c r="U220" s="284"/>
      <c r="V220" s="107"/>
      <c r="W220" s="72"/>
      <c r="X220" s="72"/>
      <c r="Y220" s="72"/>
      <c r="Z220" s="45">
        <v>7</v>
      </c>
      <c r="AA220" s="65">
        <v>73</v>
      </c>
      <c r="AB220" s="65">
        <v>84</v>
      </c>
      <c r="AC220" s="25"/>
      <c r="AD220" s="25"/>
      <c r="BA220" s="228"/>
    </row>
    <row r="221" spans="1:53" ht="15.75" thickBot="1" x14ac:dyDescent="0.3">
      <c r="A221" s="88"/>
      <c r="B221" s="323"/>
      <c r="C221" s="295"/>
      <c r="D221" s="295"/>
      <c r="E221" s="308"/>
      <c r="F221" s="295"/>
      <c r="G221" s="310"/>
      <c r="H221" s="310"/>
      <c r="I221" s="310"/>
      <c r="J221" s="312"/>
      <c r="K221" s="295"/>
      <c r="L221" s="282"/>
      <c r="M221" s="285"/>
      <c r="N221" s="285"/>
      <c r="O221" s="285"/>
      <c r="P221" s="285"/>
      <c r="Q221" s="285"/>
      <c r="R221" s="285"/>
      <c r="S221" s="285"/>
      <c r="T221" s="285"/>
      <c r="U221" s="28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773</v>
      </c>
      <c r="E222" s="32">
        <v>12</v>
      </c>
      <c r="F222" s="32" t="s">
        <v>483</v>
      </c>
      <c r="G222" s="68" t="s">
        <v>277</v>
      </c>
      <c r="H222" s="69">
        <f>IF(I222=0,0,I222-(E222-1))</f>
        <v>157</v>
      </c>
      <c r="I222" s="70">
        <f>IF(E222=0,0,I217)</f>
        <v>168</v>
      </c>
      <c r="J222" s="71" t="s">
        <v>278</v>
      </c>
      <c r="K222" s="32"/>
      <c r="L222" s="233"/>
      <c r="M222" s="279"/>
      <c r="N222" s="279"/>
      <c r="O222" s="279"/>
      <c r="P222" s="279"/>
      <c r="Q222" s="279"/>
      <c r="R222" s="279"/>
      <c r="S222" s="279"/>
      <c r="T222" s="279"/>
      <c r="U222" s="280"/>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157-168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499</v>
      </c>
      <c r="D223" s="102"/>
      <c r="E223" s="32">
        <v>12</v>
      </c>
      <c r="F223" s="32"/>
      <c r="G223" s="68" t="s">
        <v>277</v>
      </c>
      <c r="H223" s="69">
        <f t="shared" ref="H223:H246" si="94">IF(E223=0,0,I223-(E223-1))</f>
        <v>145</v>
      </c>
      <c r="I223" s="70">
        <f t="shared" ref="I223:I246" si="95">IF(E223=0,0,H222-1)</f>
        <v>156</v>
      </c>
      <c r="J223" s="73" t="str">
        <f>IF(C223="","--",IF(AND(C223&lt;&gt;"FST",C223&lt;&gt;"TCF",BA222&lt;&gt;0),BA222,"--"))</f>
        <v>--</v>
      </c>
      <c r="K223" s="32"/>
      <c r="L223" s="233"/>
      <c r="M223" s="279" t="s">
        <v>409</v>
      </c>
      <c r="N223" s="279"/>
      <c r="O223" s="279"/>
      <c r="P223" s="279"/>
      <c r="Q223" s="279"/>
      <c r="R223" s="279"/>
      <c r="S223" s="279"/>
      <c r="T223" s="279"/>
      <c r="U223" s="280"/>
      <c r="V223" s="103"/>
      <c r="W223" s="72"/>
      <c r="X223" s="72"/>
      <c r="Y223" s="72"/>
      <c r="Z223" s="45">
        <v>10</v>
      </c>
      <c r="AA223" s="46">
        <v>109</v>
      </c>
      <c r="AB223" s="46">
        <v>120</v>
      </c>
      <c r="AC223" s="72">
        <f t="shared" si="85"/>
        <v>1</v>
      </c>
      <c r="AD223" s="72">
        <f t="shared" si="86"/>
        <v>1</v>
      </c>
      <c r="AE223" s="109" t="str">
        <f t="shared" si="87"/>
        <v>145-156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0.5</v>
      </c>
      <c r="AN223" s="109">
        <f t="shared" si="91"/>
        <v>0.5</v>
      </c>
      <c r="AO223" s="109" t="str">
        <f t="shared" si="92"/>
        <v/>
      </c>
      <c r="AQ223" s="109" t="str">
        <f t="shared" si="93"/>
        <v/>
      </c>
      <c r="BA223" s="229">
        <f>MOD(SUM(E222:E223),12)</f>
        <v>0</v>
      </c>
    </row>
    <row r="224" spans="1:53" ht="15.75" thickBot="1" x14ac:dyDescent="0.3">
      <c r="A224" s="88"/>
      <c r="B224" s="74" t="s">
        <v>280</v>
      </c>
      <c r="C224" s="67" t="s">
        <v>499</v>
      </c>
      <c r="D224" s="102"/>
      <c r="E224" s="32">
        <v>12</v>
      </c>
      <c r="F224" s="32"/>
      <c r="G224" s="75" t="s">
        <v>277</v>
      </c>
      <c r="H224" s="69">
        <f t="shared" si="94"/>
        <v>133</v>
      </c>
      <c r="I224" s="70">
        <f t="shared" si="95"/>
        <v>144</v>
      </c>
      <c r="J224" s="73" t="str">
        <f t="shared" ref="J224:J246" si="96">IF(C224="","--",IF(AND(C224&lt;&gt;"FST",C224&lt;&gt;"TCF",BA223&lt;&gt;0),BA223,"--"))</f>
        <v>--</v>
      </c>
      <c r="K224" s="32"/>
      <c r="L224" s="233"/>
      <c r="M224" s="279" t="s">
        <v>409</v>
      </c>
      <c r="N224" s="279"/>
      <c r="O224" s="279"/>
      <c r="P224" s="279"/>
      <c r="Q224" s="279"/>
      <c r="R224" s="279"/>
      <c r="S224" s="279"/>
      <c r="T224" s="279"/>
      <c r="U224" s="280"/>
      <c r="V224" s="103"/>
      <c r="W224" s="72"/>
      <c r="X224" s="72"/>
      <c r="Y224" s="72"/>
      <c r="Z224" s="45">
        <v>11</v>
      </c>
      <c r="AA224" s="46">
        <v>121</v>
      </c>
      <c r="AB224" s="46">
        <v>132</v>
      </c>
      <c r="AC224" s="72">
        <f t="shared" si="85"/>
        <v>1</v>
      </c>
      <c r="AD224" s="72">
        <f t="shared" si="86"/>
        <v>1</v>
      </c>
      <c r="AE224" s="109" t="str">
        <f t="shared" si="87"/>
        <v>133-144</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0.5</v>
      </c>
      <c r="AN224" s="109">
        <f t="shared" si="91"/>
        <v>0.5</v>
      </c>
      <c r="AO224" s="109" t="str">
        <f t="shared" si="92"/>
        <v/>
      </c>
      <c r="AQ224" s="109" t="str">
        <f t="shared" si="93"/>
        <v/>
      </c>
      <c r="BA224" s="229">
        <f>MOD(SUM(E222:E225),12)</f>
        <v>0</v>
      </c>
    </row>
    <row r="225" spans="1:53" ht="15.75" thickBot="1" x14ac:dyDescent="0.3">
      <c r="A225" s="88"/>
      <c r="B225" s="66" t="s">
        <v>281</v>
      </c>
      <c r="C225" s="67" t="s">
        <v>484</v>
      </c>
      <c r="D225" s="102" t="s">
        <v>758</v>
      </c>
      <c r="E225" s="32">
        <v>12</v>
      </c>
      <c r="F225" s="32" t="s">
        <v>483</v>
      </c>
      <c r="G225" s="68" t="s">
        <v>277</v>
      </c>
      <c r="H225" s="69">
        <f t="shared" si="94"/>
        <v>121</v>
      </c>
      <c r="I225" s="70">
        <f t="shared" si="95"/>
        <v>132</v>
      </c>
      <c r="J225" s="73" t="str">
        <f t="shared" si="96"/>
        <v>--</v>
      </c>
      <c r="K225" s="32"/>
      <c r="L225" s="233"/>
      <c r="M225" s="279"/>
      <c r="N225" s="279"/>
      <c r="O225" s="279"/>
      <c r="P225" s="279"/>
      <c r="Q225" s="279"/>
      <c r="R225" s="279"/>
      <c r="S225" s="279"/>
      <c r="T225" s="279"/>
      <c r="U225" s="280"/>
      <c r="V225" s="103"/>
      <c r="W225" s="72"/>
      <c r="X225" s="72"/>
      <c r="Y225" s="72"/>
      <c r="Z225" s="45">
        <v>12</v>
      </c>
      <c r="AA225" s="76">
        <v>133</v>
      </c>
      <c r="AB225" s="76">
        <v>144</v>
      </c>
      <c r="AC225" s="72">
        <f t="shared" si="85"/>
        <v>1</v>
      </c>
      <c r="AD225" s="72">
        <f t="shared" si="86"/>
        <v>0</v>
      </c>
      <c r="AE225" s="109" t="str">
        <f t="shared" si="87"/>
        <v>121-132</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t="s">
        <v>494</v>
      </c>
      <c r="D226" s="102"/>
      <c r="E226" s="32">
        <v>12</v>
      </c>
      <c r="F226" s="32"/>
      <c r="G226" s="68" t="s">
        <v>277</v>
      </c>
      <c r="H226" s="69">
        <f t="shared" si="94"/>
        <v>109</v>
      </c>
      <c r="I226" s="70">
        <f t="shared" si="95"/>
        <v>120</v>
      </c>
      <c r="J226" s="73" t="str">
        <f t="shared" si="96"/>
        <v>--</v>
      </c>
      <c r="K226" s="32"/>
      <c r="L226" s="233"/>
      <c r="M226" s="279" t="s">
        <v>410</v>
      </c>
      <c r="N226" s="279"/>
      <c r="O226" s="279"/>
      <c r="P226" s="279"/>
      <c r="Q226" s="279"/>
      <c r="R226" s="279"/>
      <c r="S226" s="279"/>
      <c r="T226" s="279"/>
      <c r="U226" s="280"/>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109-120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1</v>
      </c>
      <c r="AN226" s="109">
        <f t="shared" si="91"/>
        <v>0</v>
      </c>
      <c r="AO226" s="109" t="str">
        <f t="shared" si="92"/>
        <v/>
      </c>
      <c r="AQ226" s="109" t="str">
        <f t="shared" si="93"/>
        <v/>
      </c>
      <c r="BA226" s="229">
        <f>MOD(SUM(E222:E227),12)</f>
        <v>8</v>
      </c>
    </row>
    <row r="227" spans="1:53" ht="15.75" thickBot="1" x14ac:dyDescent="0.3">
      <c r="A227" s="88"/>
      <c r="B227" s="66" t="s">
        <v>283</v>
      </c>
      <c r="C227" s="67" t="s">
        <v>484</v>
      </c>
      <c r="D227" s="102" t="s">
        <v>774</v>
      </c>
      <c r="E227" s="32">
        <v>8</v>
      </c>
      <c r="F227" s="32" t="s">
        <v>483</v>
      </c>
      <c r="G227" s="68" t="s">
        <v>277</v>
      </c>
      <c r="H227" s="69">
        <f t="shared" si="94"/>
        <v>101</v>
      </c>
      <c r="I227" s="70">
        <f t="shared" si="95"/>
        <v>108</v>
      </c>
      <c r="J227" s="73" t="str">
        <f t="shared" si="96"/>
        <v>--</v>
      </c>
      <c r="K227" s="32"/>
      <c r="L227" s="233"/>
      <c r="M227" s="279"/>
      <c r="N227" s="279"/>
      <c r="O227" s="279"/>
      <c r="P227" s="279"/>
      <c r="Q227" s="279"/>
      <c r="R227" s="279"/>
      <c r="S227" s="279"/>
      <c r="T227" s="279"/>
      <c r="U227" s="280"/>
      <c r="V227" s="103"/>
      <c r="W227" s="72"/>
      <c r="X227" s="72"/>
      <c r="Y227" s="72"/>
      <c r="Z227" s="45">
        <v>14</v>
      </c>
      <c r="AA227" s="77">
        <f t="shared" si="97"/>
        <v>157</v>
      </c>
      <c r="AB227" s="77">
        <f t="shared" si="98"/>
        <v>168</v>
      </c>
      <c r="AC227" s="72">
        <f t="shared" si="85"/>
        <v>1</v>
      </c>
      <c r="AD227" s="72">
        <f t="shared" si="86"/>
        <v>0</v>
      </c>
      <c r="AE227" s="109" t="str">
        <f t="shared" si="87"/>
        <v>101-108</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t="s">
        <v>484</v>
      </c>
      <c r="D228" s="102" t="s">
        <v>775</v>
      </c>
      <c r="E228" s="32">
        <v>4</v>
      </c>
      <c r="F228" s="32" t="s">
        <v>483</v>
      </c>
      <c r="G228" s="68" t="s">
        <v>277</v>
      </c>
      <c r="H228" s="69">
        <f t="shared" si="94"/>
        <v>97</v>
      </c>
      <c r="I228" s="70">
        <f t="shared" si="95"/>
        <v>100</v>
      </c>
      <c r="J228" s="73" t="str">
        <f t="shared" si="96"/>
        <v>--</v>
      </c>
      <c r="K228" s="32"/>
      <c r="L228" s="233"/>
      <c r="M228" s="279"/>
      <c r="N228" s="279"/>
      <c r="O228" s="279"/>
      <c r="P228" s="279"/>
      <c r="Q228" s="279"/>
      <c r="R228" s="279"/>
      <c r="S228" s="279"/>
      <c r="T228" s="279"/>
      <c r="U228" s="280"/>
      <c r="V228" s="103"/>
      <c r="W228" s="72"/>
      <c r="X228" s="72"/>
      <c r="Y228" s="72"/>
      <c r="Z228" s="45">
        <v>15</v>
      </c>
      <c r="AA228" s="77">
        <f t="shared" si="97"/>
        <v>169</v>
      </c>
      <c r="AB228" s="77">
        <f t="shared" si="98"/>
        <v>180</v>
      </c>
      <c r="AC228" s="72">
        <f t="shared" si="85"/>
        <v>1</v>
      </c>
      <c r="AD228" s="72">
        <f t="shared" si="86"/>
        <v>0</v>
      </c>
      <c r="AE228" s="109" t="str">
        <f t="shared" si="87"/>
        <v>97-100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t="s">
        <v>502</v>
      </c>
      <c r="D229" s="102"/>
      <c r="E229" s="32">
        <v>48</v>
      </c>
      <c r="F229" s="32"/>
      <c r="G229" s="68" t="s">
        <v>277</v>
      </c>
      <c r="H229" s="69">
        <f t="shared" si="94"/>
        <v>49</v>
      </c>
      <c r="I229" s="70">
        <f t="shared" si="95"/>
        <v>96</v>
      </c>
      <c r="J229" s="73" t="str">
        <f t="shared" si="96"/>
        <v>--</v>
      </c>
      <c r="K229" s="32"/>
      <c r="L229" s="233"/>
      <c r="M229" s="279" t="s">
        <v>411</v>
      </c>
      <c r="N229" s="279"/>
      <c r="O229" s="279"/>
      <c r="P229" s="279"/>
      <c r="Q229" s="279"/>
      <c r="R229" s="279"/>
      <c r="S229" s="279"/>
      <c r="T229" s="279"/>
      <c r="U229" s="280"/>
      <c r="V229" s="103"/>
      <c r="W229" s="72"/>
      <c r="X229" s="72"/>
      <c r="Y229" s="72"/>
      <c r="Z229" s="45">
        <f>Z228+1</f>
        <v>16</v>
      </c>
      <c r="AA229" s="77">
        <f t="shared" si="97"/>
        <v>181</v>
      </c>
      <c r="AB229" s="77">
        <f t="shared" si="98"/>
        <v>192</v>
      </c>
      <c r="AC229" s="72">
        <f t="shared" si="85"/>
        <v>1</v>
      </c>
      <c r="AD229" s="72">
        <f t="shared" si="86"/>
        <v>1</v>
      </c>
      <c r="AE229" s="109" t="str">
        <f t="shared" si="87"/>
        <v>49-96</v>
      </c>
      <c r="AF229" s="109" t="str">
        <f t="shared" si="88"/>
        <v>N</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t="s">
        <v>502</v>
      </c>
      <c r="D230" s="102"/>
      <c r="E230" s="32">
        <v>36</v>
      </c>
      <c r="F230" s="32"/>
      <c r="G230" s="68" t="s">
        <v>277</v>
      </c>
      <c r="H230" s="69">
        <f t="shared" si="94"/>
        <v>13</v>
      </c>
      <c r="I230" s="70">
        <f t="shared" si="95"/>
        <v>48</v>
      </c>
      <c r="J230" s="73" t="str">
        <f t="shared" si="96"/>
        <v>--</v>
      </c>
      <c r="K230" s="32"/>
      <c r="L230" s="233"/>
      <c r="M230" s="279" t="s">
        <v>412</v>
      </c>
      <c r="N230" s="279"/>
      <c r="O230" s="279"/>
      <c r="P230" s="279"/>
      <c r="Q230" s="279"/>
      <c r="R230" s="279"/>
      <c r="S230" s="279"/>
      <c r="T230" s="279"/>
      <c r="U230" s="280"/>
      <c r="V230" s="103"/>
      <c r="W230" s="72"/>
      <c r="X230" s="72"/>
      <c r="Y230" s="72"/>
      <c r="Z230" s="45">
        <f>Z229+1</f>
        <v>17</v>
      </c>
      <c r="AA230" s="77">
        <f t="shared" si="97"/>
        <v>193</v>
      </c>
      <c r="AB230" s="77">
        <f t="shared" si="98"/>
        <v>204</v>
      </c>
      <c r="AC230" s="72">
        <f t="shared" si="85"/>
        <v>1</v>
      </c>
      <c r="AD230" s="72">
        <f t="shared" si="86"/>
        <v>1</v>
      </c>
      <c r="AE230" s="109" t="str">
        <f t="shared" si="87"/>
        <v>13-48</v>
      </c>
      <c r="AF230" s="109" t="str">
        <f t="shared" si="88"/>
        <v>N</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9"/>
      <c r="N231" s="279"/>
      <c r="O231" s="279"/>
      <c r="P231" s="279"/>
      <c r="Q231" s="279"/>
      <c r="R231" s="279"/>
      <c r="S231" s="279"/>
      <c r="T231" s="279"/>
      <c r="U231" s="280"/>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9"/>
      <c r="N232" s="279"/>
      <c r="O232" s="279"/>
      <c r="P232" s="279"/>
      <c r="Q232" s="279"/>
      <c r="R232" s="279"/>
      <c r="S232" s="279"/>
      <c r="T232" s="279"/>
      <c r="U232" s="280"/>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9"/>
      <c r="N233" s="279"/>
      <c r="O233" s="279"/>
      <c r="P233" s="279"/>
      <c r="Q233" s="279"/>
      <c r="R233" s="279"/>
      <c r="S233" s="279"/>
      <c r="T233" s="279"/>
      <c r="U233" s="280"/>
      <c r="V233" s="103"/>
      <c r="W233" s="84">
        <f>Y233+1</f>
        <v>157</v>
      </c>
      <c r="X233" s="84"/>
      <c r="Y233" s="78">
        <f>SUM(E222:E233)</f>
        <v>156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9"/>
      <c r="N234" s="279"/>
      <c r="O234" s="279"/>
      <c r="P234" s="279"/>
      <c r="Q234" s="279"/>
      <c r="R234" s="279"/>
      <c r="S234" s="279"/>
      <c r="T234" s="279"/>
      <c r="U234" s="280"/>
      <c r="V234" s="103"/>
      <c r="W234" s="84">
        <f>Y234+1</f>
        <v>157</v>
      </c>
      <c r="X234" s="84"/>
      <c r="Y234" s="78">
        <f>SUM(E222:E234)</f>
        <v>156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9"/>
      <c r="N235" s="279"/>
      <c r="O235" s="279"/>
      <c r="P235" s="279"/>
      <c r="Q235" s="279"/>
      <c r="R235" s="279"/>
      <c r="S235" s="279"/>
      <c r="T235" s="279"/>
      <c r="U235" s="280"/>
      <c r="V235" s="103"/>
      <c r="W235" s="84">
        <f>Y235+1</f>
        <v>157</v>
      </c>
      <c r="X235" s="84"/>
      <c r="Y235" s="78">
        <f>SUM(E222:E235)</f>
        <v>156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9"/>
      <c r="N236" s="279"/>
      <c r="O236" s="279"/>
      <c r="P236" s="279"/>
      <c r="Q236" s="279"/>
      <c r="R236" s="279"/>
      <c r="S236" s="279"/>
      <c r="T236" s="279"/>
      <c r="U236" s="280"/>
      <c r="V236" s="103"/>
      <c r="W236" s="84">
        <f>Y236+1</f>
        <v>157</v>
      </c>
      <c r="X236" s="84"/>
      <c r="Y236" s="78">
        <f>SUM(E222:E236)</f>
        <v>156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9"/>
      <c r="N237" s="279"/>
      <c r="O237" s="279"/>
      <c r="P237" s="279"/>
      <c r="Q237" s="279"/>
      <c r="R237" s="279"/>
      <c r="S237" s="279"/>
      <c r="T237" s="279"/>
      <c r="U237" s="280"/>
      <c r="V237" s="103"/>
      <c r="W237" s="84">
        <f t="shared" ref="W237:W245" si="101">Y237+1</f>
        <v>157</v>
      </c>
      <c r="X237" s="84"/>
      <c r="Y237" s="78">
        <f>SUM(E222:E237)</f>
        <v>156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9"/>
      <c r="N238" s="279"/>
      <c r="O238" s="279"/>
      <c r="P238" s="279"/>
      <c r="Q238" s="279"/>
      <c r="R238" s="279"/>
      <c r="S238" s="279"/>
      <c r="T238" s="279"/>
      <c r="U238" s="280"/>
      <c r="V238" s="103"/>
      <c r="W238" s="84">
        <f t="shared" si="101"/>
        <v>157</v>
      </c>
      <c r="X238" s="84"/>
      <c r="Y238" s="78">
        <f>SUM(E222:E238)</f>
        <v>156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9"/>
      <c r="N239" s="279"/>
      <c r="O239" s="279"/>
      <c r="P239" s="279"/>
      <c r="Q239" s="279"/>
      <c r="R239" s="279"/>
      <c r="S239" s="279"/>
      <c r="T239" s="279"/>
      <c r="U239" s="280"/>
      <c r="V239" s="103"/>
      <c r="W239" s="84">
        <f t="shared" si="101"/>
        <v>157</v>
      </c>
      <c r="X239" s="84"/>
      <c r="Y239" s="78">
        <f>SUM(E222:E239)</f>
        <v>156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9"/>
      <c r="N240" s="279"/>
      <c r="O240" s="279"/>
      <c r="P240" s="279"/>
      <c r="Q240" s="279"/>
      <c r="R240" s="279"/>
      <c r="S240" s="279"/>
      <c r="T240" s="279"/>
      <c r="U240" s="280"/>
      <c r="V240" s="103"/>
      <c r="W240" s="84">
        <f t="shared" si="101"/>
        <v>157</v>
      </c>
      <c r="X240" s="84"/>
      <c r="Y240" s="78">
        <f>SUM(E222:E240)</f>
        <v>156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9"/>
      <c r="N241" s="279"/>
      <c r="O241" s="279"/>
      <c r="P241" s="279"/>
      <c r="Q241" s="279"/>
      <c r="R241" s="279"/>
      <c r="S241" s="279"/>
      <c r="T241" s="279"/>
      <c r="U241" s="280"/>
      <c r="V241" s="103"/>
      <c r="W241" s="84">
        <f t="shared" si="101"/>
        <v>157</v>
      </c>
      <c r="X241" s="84"/>
      <c r="Y241" s="78">
        <f>SUM(E222:E241)</f>
        <v>156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9"/>
      <c r="N242" s="279"/>
      <c r="O242" s="279"/>
      <c r="P242" s="279"/>
      <c r="Q242" s="279"/>
      <c r="R242" s="279"/>
      <c r="S242" s="279"/>
      <c r="T242" s="279"/>
      <c r="U242" s="280"/>
      <c r="V242" s="103"/>
      <c r="W242" s="84">
        <f t="shared" si="101"/>
        <v>157</v>
      </c>
      <c r="X242" s="84"/>
      <c r="Y242" s="78">
        <f>SUM(E222:E242)</f>
        <v>156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9"/>
      <c r="N243" s="279"/>
      <c r="O243" s="279"/>
      <c r="P243" s="279"/>
      <c r="Q243" s="279"/>
      <c r="R243" s="279"/>
      <c r="S243" s="279"/>
      <c r="T243" s="279"/>
      <c r="U243" s="280"/>
      <c r="V243" s="103"/>
      <c r="W243" s="84">
        <f t="shared" si="101"/>
        <v>157</v>
      </c>
      <c r="X243" s="84"/>
      <c r="Y243" s="78">
        <f>SUM(E222:E243)</f>
        <v>156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9"/>
      <c r="N244" s="279"/>
      <c r="O244" s="279"/>
      <c r="P244" s="279"/>
      <c r="Q244" s="279"/>
      <c r="R244" s="279"/>
      <c r="S244" s="279"/>
      <c r="T244" s="279"/>
      <c r="U244" s="280"/>
      <c r="V244" s="103"/>
      <c r="W244" s="84">
        <f t="shared" si="101"/>
        <v>157</v>
      </c>
      <c r="X244" s="84"/>
      <c r="Y244" s="78">
        <f>SUM(E222:E244)</f>
        <v>156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9"/>
      <c r="N245" s="279"/>
      <c r="O245" s="279"/>
      <c r="P245" s="279"/>
      <c r="Q245" s="279"/>
      <c r="R245" s="279"/>
      <c r="S245" s="279"/>
      <c r="T245" s="279"/>
      <c r="U245" s="280"/>
      <c r="V245" s="103"/>
      <c r="W245" s="84">
        <f t="shared" si="101"/>
        <v>157</v>
      </c>
      <c r="X245" s="84"/>
      <c r="Y245" s="78">
        <f>SUM(E222:E245)</f>
        <v>156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9"/>
      <c r="N246" s="279"/>
      <c r="O246" s="279"/>
      <c r="P246" s="279"/>
      <c r="Q246" s="279"/>
      <c r="R246" s="279"/>
      <c r="S246" s="279"/>
      <c r="T246" s="279"/>
      <c r="U246" s="280"/>
      <c r="V246" s="103"/>
      <c r="W246" s="72"/>
      <c r="X246" s="72"/>
      <c r="Y246" s="78">
        <f>SUM(E222:E246)</f>
        <v>156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0" t="s">
        <v>315</v>
      </c>
      <c r="C247" s="321"/>
      <c r="D247" s="79"/>
      <c r="E247" s="80"/>
      <c r="F247" s="80"/>
      <c r="G247" s="81"/>
      <c r="H247" s="192"/>
      <c r="I247" s="192"/>
      <c r="J247" s="192"/>
      <c r="K247" s="82"/>
      <c r="L247" s="320" t="s">
        <v>306</v>
      </c>
      <c r="M247" s="331"/>
      <c r="N247" s="331"/>
      <c r="O247" s="331"/>
      <c r="P247" s="331"/>
      <c r="Q247" s="331"/>
      <c r="R247" s="331"/>
      <c r="S247" s="331"/>
      <c r="T247" s="331"/>
      <c r="U247" s="321"/>
      <c r="V247" s="104"/>
      <c r="W247" s="72"/>
      <c r="X247" s="72"/>
      <c r="Y247" s="72"/>
      <c r="Z247" s="72"/>
      <c r="AA247" s="72" t="str">
        <f t="shared" si="100"/>
        <v/>
      </c>
      <c r="AB247" s="72"/>
      <c r="AC247" s="72">
        <f>SUM(AC222:AC246)</f>
        <v>25</v>
      </c>
      <c r="AD247" s="72">
        <f>SUM(AD222:AD246)</f>
        <v>21</v>
      </c>
      <c r="AM247" s="109">
        <f>SUM(AM222:AM246)</f>
        <v>2</v>
      </c>
      <c r="AN247" s="109">
        <f>SUM(AN222:AN246)</f>
        <v>1</v>
      </c>
      <c r="AO247" s="109">
        <f>((COUNTIF(AO222:AO246,"Y")/3)*2)</f>
        <v>0</v>
      </c>
      <c r="AP247" s="109">
        <f>(COUNTIF(AO222:AO246,"Y")/3)</f>
        <v>0</v>
      </c>
      <c r="AQ247" s="109">
        <f>(COUNTIF(AQ222:AQ246,"Y")/2)</f>
        <v>0</v>
      </c>
      <c r="AR247" s="109">
        <f>(COUNTIF(AQ222:AQ246,"Y")/2)</f>
        <v>0</v>
      </c>
      <c r="BA247" s="228"/>
    </row>
    <row r="248" spans="1:53" ht="16.5" thickBot="1" x14ac:dyDescent="0.3">
      <c r="A248" s="88"/>
      <c r="B248" s="320" t="s">
        <v>307</v>
      </c>
      <c r="C248" s="321"/>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3" t="s">
        <v>222</v>
      </c>
      <c r="C252" s="314"/>
      <c r="D252" s="315" t="s">
        <v>223</v>
      </c>
      <c r="E252" s="306"/>
      <c r="F252" s="88"/>
      <c r="G252" s="316" t="s">
        <v>224</v>
      </c>
      <c r="H252" s="317"/>
      <c r="I252" s="28">
        <f>SUM(E263:E287)</f>
        <v>24</v>
      </c>
      <c r="J252" s="318" t="s">
        <v>225</v>
      </c>
      <c r="K252" s="319"/>
      <c r="L252" s="306"/>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6" t="s">
        <v>226</v>
      </c>
      <c r="AA252" s="297"/>
      <c r="AB252" s="298"/>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5" t="s">
        <v>230</v>
      </c>
      <c r="H253" s="306"/>
      <c r="I253" s="33">
        <f>E254-I252</f>
        <v>0</v>
      </c>
      <c r="J253" s="290" t="s">
        <v>231</v>
      </c>
      <c r="K253" s="291"/>
      <c r="L253" s="34">
        <f>I257</f>
        <v>133</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299" t="s">
        <v>232</v>
      </c>
      <c r="AA253" s="301" t="s">
        <v>233</v>
      </c>
      <c r="AB253" s="302"/>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292" t="s">
        <v>237</v>
      </c>
      <c r="H254" s="293"/>
      <c r="I254" s="35">
        <f>IF(E254=0,0,12-(MOD(I252,12)))</f>
        <v>12</v>
      </c>
      <c r="J254" s="290" t="s">
        <v>238</v>
      </c>
      <c r="K254" s="291"/>
      <c r="L254" s="39">
        <f>I258-I252</f>
        <v>132</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0"/>
      <c r="AA254" s="303"/>
      <c r="AB254" s="304"/>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2" t="s">
        <v>242</v>
      </c>
      <c r="H255" s="43" t="s">
        <v>243</v>
      </c>
      <c r="I255" s="35">
        <f>IF(E255&lt;&gt;0,1,0)</f>
        <v>0</v>
      </c>
      <c r="J255" s="292" t="s">
        <v>244</v>
      </c>
      <c r="K255" s="293"/>
      <c r="L255" s="44">
        <f>'Cable Calculator'!AH3</f>
        <v>1204</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133</v>
      </c>
      <c r="F256" s="88"/>
      <c r="G256" s="323"/>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2" t="s">
        <v>251</v>
      </c>
      <c r="H257" s="51" t="s">
        <v>252</v>
      </c>
      <c r="I257" s="112">
        <f>E256</f>
        <v>133</v>
      </c>
      <c r="J257" s="324" t="s">
        <v>253</v>
      </c>
      <c r="K257" s="325"/>
      <c r="L257" s="32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3"/>
      <c r="H258" s="47" t="s">
        <v>257</v>
      </c>
      <c r="I258" s="35">
        <f>IF(E256="","0",IF(AND(E253="EUC",E254=432), I257+(203-E255),IF(E256=0,0,(E256+(E254-E255)-1))))</f>
        <v>156</v>
      </c>
      <c r="J258" s="287" t="str">
        <f>IFERROR(IF(OR(E253="EUC",E253="SS"),"---",IF(OR(P252,S252),"NO 2F Tethers for RPX!",IF(OR(P254,S254),"NO 6F Tethers for RPX!","---"))),"---")</f>
        <v>---</v>
      </c>
      <c r="K258" s="288"/>
      <c r="L258" s="289"/>
      <c r="M258" s="287" t="str">
        <f>IF(E255&gt;60,"Dead Count &gt;60: Consider Downsize","---")</f>
        <v>---</v>
      </c>
      <c r="N258" s="288"/>
      <c r="O258" s="288"/>
      <c r="P258" s="288"/>
      <c r="Q258" s="288"/>
      <c r="R258" s="288"/>
      <c r="S258" s="288"/>
      <c r="T258" s="288"/>
      <c r="U258" s="289"/>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87"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8"/>
      <c r="L259" s="289"/>
      <c r="M259" s="287" t="str">
        <f>IF(AND(OR(E253="SS",E253="RPX",E253="EUC",E253="RPX-T"),(OR(C263="",C263="Field SPL"))),"Cannot have FlexNap cables without tethers","---")</f>
        <v>---</v>
      </c>
      <c r="N259" s="288"/>
      <c r="O259" s="288"/>
      <c r="P259" s="288"/>
      <c r="Q259" s="288"/>
      <c r="R259" s="288"/>
      <c r="S259" s="288"/>
      <c r="T259" s="288"/>
      <c r="U259" s="289"/>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7" t="str">
        <f>IF(AND(OR(E253="RPX", E253="RPX-T", E253="SS"),E254=216),"NO 216 For RPX, RPX-T, OR SS CABLE","---")</f>
        <v>---</v>
      </c>
      <c r="K260" s="288"/>
      <c r="L260" s="289"/>
      <c r="M260" s="287" t="str" cm="1">
        <f t="array" ref="M260">IF(AND(E253="",OR(C263:C287="FST",C263:C287="REV T",C263:C287="DBL REV",C263:C287="TPL REV", C263:C287="QD REV")),"Non-FlexNap cables cannot have tethers","---")</f>
        <v>---</v>
      </c>
      <c r="N260" s="288"/>
      <c r="O260" s="288"/>
      <c r="P260" s="288"/>
      <c r="Q260" s="288"/>
      <c r="R260" s="288"/>
      <c r="S260" s="288"/>
      <c r="T260" s="288"/>
      <c r="U260" s="289"/>
      <c r="V260" s="25"/>
      <c r="W260" s="58"/>
      <c r="X260" s="58"/>
      <c r="Y260" s="25"/>
      <c r="Z260" s="45">
        <v>6</v>
      </c>
      <c r="AA260" s="65">
        <v>61</v>
      </c>
      <c r="AB260" s="65">
        <v>72</v>
      </c>
      <c r="AC260" s="25"/>
      <c r="AD260" s="25"/>
      <c r="BA260" s="226"/>
    </row>
    <row r="261" spans="1:53" ht="15.75" customHeight="1" thickBot="1" x14ac:dyDescent="0.3">
      <c r="A261" s="88"/>
      <c r="B261" s="322" t="s">
        <v>260</v>
      </c>
      <c r="C261" s="294" t="s">
        <v>261</v>
      </c>
      <c r="D261" s="294" t="s">
        <v>262</v>
      </c>
      <c r="E261" s="307" t="s">
        <v>263</v>
      </c>
      <c r="F261" s="294" t="s">
        <v>264</v>
      </c>
      <c r="G261" s="309" t="s">
        <v>265</v>
      </c>
      <c r="H261" s="309" t="s">
        <v>266</v>
      </c>
      <c r="I261" s="309" t="s">
        <v>267</v>
      </c>
      <c r="J261" s="311" t="s">
        <v>268</v>
      </c>
      <c r="K261" s="294" t="s">
        <v>269</v>
      </c>
      <c r="L261" s="281" t="s">
        <v>270</v>
      </c>
      <c r="M261" s="283" t="s">
        <v>271</v>
      </c>
      <c r="N261" s="283"/>
      <c r="O261" s="283"/>
      <c r="P261" s="283"/>
      <c r="Q261" s="283"/>
      <c r="R261" s="283"/>
      <c r="S261" s="283"/>
      <c r="T261" s="283"/>
      <c r="U261" s="284"/>
      <c r="V261" s="107"/>
      <c r="W261" s="72"/>
      <c r="X261" s="72"/>
      <c r="Y261" s="72"/>
      <c r="Z261" s="45">
        <v>7</v>
      </c>
      <c r="AA261" s="65">
        <v>73</v>
      </c>
      <c r="AB261" s="65">
        <v>84</v>
      </c>
      <c r="AC261" s="25"/>
      <c r="AD261" s="25"/>
      <c r="BA261" s="228"/>
    </row>
    <row r="262" spans="1:53" ht="15.75" thickBot="1" x14ac:dyDescent="0.3">
      <c r="A262" s="88"/>
      <c r="B262" s="323"/>
      <c r="C262" s="295"/>
      <c r="D262" s="295"/>
      <c r="E262" s="308"/>
      <c r="F262" s="295"/>
      <c r="G262" s="310"/>
      <c r="H262" s="310"/>
      <c r="I262" s="310"/>
      <c r="J262" s="312"/>
      <c r="K262" s="295"/>
      <c r="L262" s="282"/>
      <c r="M262" s="285"/>
      <c r="N262" s="285"/>
      <c r="O262" s="285"/>
      <c r="P262" s="285"/>
      <c r="Q262" s="285"/>
      <c r="R262" s="285"/>
      <c r="S262" s="285"/>
      <c r="T262" s="285"/>
      <c r="U262" s="28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759</v>
      </c>
      <c r="E263" s="32">
        <v>4</v>
      </c>
      <c r="F263" s="32" t="s">
        <v>483</v>
      </c>
      <c r="G263" s="68" t="s">
        <v>277</v>
      </c>
      <c r="H263" s="69">
        <f>IF(I263=0,0,I263-(E263-1))</f>
        <v>153</v>
      </c>
      <c r="I263" s="70">
        <f>IF(E263=0,0,I258)</f>
        <v>156</v>
      </c>
      <c r="J263" s="71" t="s">
        <v>278</v>
      </c>
      <c r="K263" s="32"/>
      <c r="L263" s="233"/>
      <c r="M263" s="279"/>
      <c r="N263" s="279"/>
      <c r="O263" s="279"/>
      <c r="P263" s="279"/>
      <c r="Q263" s="279"/>
      <c r="R263" s="279"/>
      <c r="S263" s="279"/>
      <c r="T263" s="279"/>
      <c r="U263" s="280"/>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153-156</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760</v>
      </c>
      <c r="E264" s="32">
        <v>4</v>
      </c>
      <c r="F264" s="32" t="s">
        <v>483</v>
      </c>
      <c r="G264" s="68" t="s">
        <v>277</v>
      </c>
      <c r="H264" s="69">
        <f t="shared" ref="H264:H287" si="111">IF(E264=0,0,I264-(E264-1))</f>
        <v>149</v>
      </c>
      <c r="I264" s="70">
        <f t="shared" ref="I264:I287" si="112">IF(E264=0,0,H263-1)</f>
        <v>152</v>
      </c>
      <c r="J264" s="73" t="str">
        <f>IF(C264="","--",IF(AND(C264&lt;&gt;"FST",C264&lt;&gt;"TCF",BA263&lt;&gt;0),BA263,"--"))</f>
        <v>--</v>
      </c>
      <c r="K264" s="32"/>
      <c r="L264" s="233"/>
      <c r="M264" s="279"/>
      <c r="N264" s="279"/>
      <c r="O264" s="279"/>
      <c r="P264" s="279"/>
      <c r="Q264" s="279"/>
      <c r="R264" s="279"/>
      <c r="S264" s="279"/>
      <c r="T264" s="279"/>
      <c r="U264" s="280"/>
      <c r="V264" s="103"/>
      <c r="W264" s="72"/>
      <c r="X264" s="72"/>
      <c r="Y264" s="72"/>
      <c r="Z264" s="45">
        <v>10</v>
      </c>
      <c r="AA264" s="46">
        <v>109</v>
      </c>
      <c r="AB264" s="46">
        <v>120</v>
      </c>
      <c r="AC264" s="72">
        <f t="shared" si="102"/>
        <v>1</v>
      </c>
      <c r="AD264" s="72">
        <f t="shared" si="103"/>
        <v>0</v>
      </c>
      <c r="AE264" s="109" t="str">
        <f t="shared" si="104"/>
        <v>149-152</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761</v>
      </c>
      <c r="E265" s="32">
        <v>4</v>
      </c>
      <c r="F265" s="32" t="s">
        <v>483</v>
      </c>
      <c r="G265" s="75" t="s">
        <v>277</v>
      </c>
      <c r="H265" s="69">
        <f t="shared" si="111"/>
        <v>145</v>
      </c>
      <c r="I265" s="70">
        <f t="shared" si="112"/>
        <v>148</v>
      </c>
      <c r="J265" s="73" t="str">
        <f t="shared" ref="J265:J287" si="113">IF(C265="","--",IF(AND(C265&lt;&gt;"FST",C265&lt;&gt;"TCF",BA264&lt;&gt;0),BA264,"--"))</f>
        <v>--</v>
      </c>
      <c r="K265" s="32"/>
      <c r="L265" s="233"/>
      <c r="M265" s="279"/>
      <c r="N265" s="279"/>
      <c r="O265" s="279"/>
      <c r="P265" s="279"/>
      <c r="Q265" s="279"/>
      <c r="R265" s="279"/>
      <c r="S265" s="279"/>
      <c r="T265" s="279"/>
      <c r="U265" s="280"/>
      <c r="V265" s="103"/>
      <c r="W265" s="72"/>
      <c r="X265" s="72"/>
      <c r="Y265" s="72"/>
      <c r="Z265" s="45">
        <v>11</v>
      </c>
      <c r="AA265" s="46">
        <v>121</v>
      </c>
      <c r="AB265" s="46">
        <v>132</v>
      </c>
      <c r="AC265" s="72">
        <f t="shared" si="102"/>
        <v>1</v>
      </c>
      <c r="AD265" s="72">
        <f t="shared" si="103"/>
        <v>0</v>
      </c>
      <c r="AE265" s="109" t="str">
        <f t="shared" si="104"/>
        <v>145-148</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762</v>
      </c>
      <c r="E266" s="32">
        <v>4</v>
      </c>
      <c r="F266" s="32" t="s">
        <v>483</v>
      </c>
      <c r="G266" s="68" t="s">
        <v>277</v>
      </c>
      <c r="H266" s="69">
        <f t="shared" si="111"/>
        <v>141</v>
      </c>
      <c r="I266" s="70">
        <f t="shared" si="112"/>
        <v>144</v>
      </c>
      <c r="J266" s="73" t="str">
        <f t="shared" si="113"/>
        <v>--</v>
      </c>
      <c r="K266" s="32"/>
      <c r="L266" s="233"/>
      <c r="M266" s="279"/>
      <c r="N266" s="279"/>
      <c r="O266" s="279"/>
      <c r="P266" s="279"/>
      <c r="Q266" s="279"/>
      <c r="R266" s="279"/>
      <c r="S266" s="279"/>
      <c r="T266" s="279"/>
      <c r="U266" s="280"/>
      <c r="V266" s="103"/>
      <c r="W266" s="72"/>
      <c r="X266" s="72"/>
      <c r="Y266" s="72"/>
      <c r="Z266" s="45">
        <v>12</v>
      </c>
      <c r="AA266" s="76">
        <v>133</v>
      </c>
      <c r="AB266" s="76">
        <v>144</v>
      </c>
      <c r="AC266" s="72">
        <f t="shared" si="102"/>
        <v>1</v>
      </c>
      <c r="AD266" s="72">
        <f t="shared" si="103"/>
        <v>0</v>
      </c>
      <c r="AE266" s="109" t="str">
        <f t="shared" si="104"/>
        <v>141-144</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763</v>
      </c>
      <c r="E267" s="32">
        <v>8</v>
      </c>
      <c r="F267" s="32" t="s">
        <v>483</v>
      </c>
      <c r="G267" s="68" t="s">
        <v>277</v>
      </c>
      <c r="H267" s="69">
        <f t="shared" si="111"/>
        <v>133</v>
      </c>
      <c r="I267" s="70">
        <f t="shared" si="112"/>
        <v>140</v>
      </c>
      <c r="J267" s="73" t="str">
        <f t="shared" si="113"/>
        <v>--</v>
      </c>
      <c r="K267" s="32"/>
      <c r="L267" s="233"/>
      <c r="M267" s="279"/>
      <c r="N267" s="279"/>
      <c r="O267" s="279"/>
      <c r="P267" s="279"/>
      <c r="Q267" s="279"/>
      <c r="R267" s="279"/>
      <c r="S267" s="279"/>
      <c r="T267" s="279"/>
      <c r="U267" s="280"/>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133-140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9"/>
      <c r="N268" s="279"/>
      <c r="O268" s="279"/>
      <c r="P268" s="279"/>
      <c r="Q268" s="279"/>
      <c r="R268" s="279"/>
      <c r="S268" s="279"/>
      <c r="T268" s="279"/>
      <c r="U268" s="280"/>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9"/>
      <c r="N269" s="279"/>
      <c r="O269" s="279"/>
      <c r="P269" s="279"/>
      <c r="Q269" s="279"/>
      <c r="R269" s="279"/>
      <c r="S269" s="279"/>
      <c r="T269" s="279"/>
      <c r="U269" s="280"/>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9"/>
      <c r="N270" s="279"/>
      <c r="O270" s="279"/>
      <c r="P270" s="279"/>
      <c r="Q270" s="279"/>
      <c r="R270" s="279"/>
      <c r="S270" s="279"/>
      <c r="T270" s="279"/>
      <c r="U270" s="280"/>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9"/>
      <c r="N271" s="279"/>
      <c r="O271" s="279"/>
      <c r="P271" s="279"/>
      <c r="Q271" s="279"/>
      <c r="R271" s="279"/>
      <c r="S271" s="279"/>
      <c r="T271" s="279"/>
      <c r="U271" s="280"/>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9"/>
      <c r="N272" s="279"/>
      <c r="O272" s="279"/>
      <c r="P272" s="279"/>
      <c r="Q272" s="279"/>
      <c r="R272" s="279"/>
      <c r="S272" s="279"/>
      <c r="T272" s="279"/>
      <c r="U272" s="280"/>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9"/>
      <c r="N273" s="279"/>
      <c r="O273" s="279"/>
      <c r="P273" s="279"/>
      <c r="Q273" s="279"/>
      <c r="R273" s="279"/>
      <c r="S273" s="279"/>
      <c r="T273" s="279"/>
      <c r="U273" s="280"/>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9"/>
      <c r="N274" s="279"/>
      <c r="O274" s="279"/>
      <c r="P274" s="279"/>
      <c r="Q274" s="279"/>
      <c r="R274" s="279"/>
      <c r="S274" s="279"/>
      <c r="T274" s="279"/>
      <c r="U274" s="280"/>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9"/>
      <c r="N275" s="279"/>
      <c r="O275" s="279"/>
      <c r="P275" s="279"/>
      <c r="Q275" s="279"/>
      <c r="R275" s="279"/>
      <c r="S275" s="279"/>
      <c r="T275" s="279"/>
      <c r="U275" s="280"/>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9"/>
      <c r="N276" s="279"/>
      <c r="O276" s="279"/>
      <c r="P276" s="279"/>
      <c r="Q276" s="279"/>
      <c r="R276" s="279"/>
      <c r="S276" s="279"/>
      <c r="T276" s="279"/>
      <c r="U276" s="280"/>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9"/>
      <c r="N277" s="279"/>
      <c r="O277" s="279"/>
      <c r="P277" s="279"/>
      <c r="Q277" s="279"/>
      <c r="R277" s="279"/>
      <c r="S277" s="279"/>
      <c r="T277" s="279"/>
      <c r="U277" s="280"/>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9"/>
      <c r="N278" s="279"/>
      <c r="O278" s="279"/>
      <c r="P278" s="279"/>
      <c r="Q278" s="279"/>
      <c r="R278" s="279"/>
      <c r="S278" s="279"/>
      <c r="T278" s="279"/>
      <c r="U278" s="280"/>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9"/>
      <c r="N279" s="279"/>
      <c r="O279" s="279"/>
      <c r="P279" s="279"/>
      <c r="Q279" s="279"/>
      <c r="R279" s="279"/>
      <c r="S279" s="279"/>
      <c r="T279" s="279"/>
      <c r="U279" s="280"/>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9"/>
      <c r="N280" s="279"/>
      <c r="O280" s="279"/>
      <c r="P280" s="279"/>
      <c r="Q280" s="279"/>
      <c r="R280" s="279"/>
      <c r="S280" s="279"/>
      <c r="T280" s="279"/>
      <c r="U280" s="280"/>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9"/>
      <c r="N281" s="279"/>
      <c r="O281" s="279"/>
      <c r="P281" s="279"/>
      <c r="Q281" s="279"/>
      <c r="R281" s="279"/>
      <c r="S281" s="279"/>
      <c r="T281" s="279"/>
      <c r="U281" s="280"/>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9"/>
      <c r="N282" s="279"/>
      <c r="O282" s="279"/>
      <c r="P282" s="279"/>
      <c r="Q282" s="279"/>
      <c r="R282" s="279"/>
      <c r="S282" s="279"/>
      <c r="T282" s="279"/>
      <c r="U282" s="280"/>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9"/>
      <c r="N283" s="279"/>
      <c r="O283" s="279"/>
      <c r="P283" s="279"/>
      <c r="Q283" s="279"/>
      <c r="R283" s="279"/>
      <c r="S283" s="279"/>
      <c r="T283" s="279"/>
      <c r="U283" s="280"/>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9"/>
      <c r="N284" s="279"/>
      <c r="O284" s="279"/>
      <c r="P284" s="279"/>
      <c r="Q284" s="279"/>
      <c r="R284" s="279"/>
      <c r="S284" s="279"/>
      <c r="T284" s="279"/>
      <c r="U284" s="280"/>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9"/>
      <c r="N285" s="279"/>
      <c r="O285" s="279"/>
      <c r="P285" s="279"/>
      <c r="Q285" s="279"/>
      <c r="R285" s="279"/>
      <c r="S285" s="279"/>
      <c r="T285" s="279"/>
      <c r="U285" s="280"/>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9"/>
      <c r="N286" s="279"/>
      <c r="O286" s="279"/>
      <c r="P286" s="279"/>
      <c r="Q286" s="279"/>
      <c r="R286" s="279"/>
      <c r="S286" s="279"/>
      <c r="T286" s="279"/>
      <c r="U286" s="280"/>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9"/>
      <c r="N287" s="279"/>
      <c r="O287" s="279"/>
      <c r="P287" s="279"/>
      <c r="Q287" s="279"/>
      <c r="R287" s="279"/>
      <c r="S287" s="279"/>
      <c r="T287" s="279"/>
      <c r="U287" s="280"/>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320" t="s">
        <v>317</v>
      </c>
      <c r="C288" s="321"/>
      <c r="D288" s="79"/>
      <c r="E288" s="80"/>
      <c r="F288" s="80"/>
      <c r="G288" s="81"/>
      <c r="H288" s="192"/>
      <c r="I288" s="192"/>
      <c r="J288" s="192"/>
      <c r="K288" s="82"/>
      <c r="L288" s="320" t="s">
        <v>306</v>
      </c>
      <c r="M288" s="331"/>
      <c r="N288" s="331"/>
      <c r="O288" s="331"/>
      <c r="P288" s="331"/>
      <c r="Q288" s="331"/>
      <c r="R288" s="331"/>
      <c r="S288" s="331"/>
      <c r="T288" s="331"/>
      <c r="U288" s="321"/>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0" t="s">
        <v>307</v>
      </c>
      <c r="C289" s="321"/>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3" t="s">
        <v>222</v>
      </c>
      <c r="C293" s="314"/>
      <c r="D293" s="315" t="s">
        <v>223</v>
      </c>
      <c r="E293" s="306"/>
      <c r="F293" s="88"/>
      <c r="G293" s="316" t="s">
        <v>224</v>
      </c>
      <c r="H293" s="317"/>
      <c r="I293" s="28">
        <f>SUM(E304:E328)</f>
        <v>12</v>
      </c>
      <c r="J293" s="318" t="s">
        <v>225</v>
      </c>
      <c r="K293" s="319"/>
      <c r="L293" s="306"/>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6" t="s">
        <v>226</v>
      </c>
      <c r="AA293" s="297"/>
      <c r="AB293" s="298"/>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1</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RPX</v>
      </c>
      <c r="F294" s="88"/>
      <c r="G294" s="305" t="s">
        <v>230</v>
      </c>
      <c r="H294" s="306"/>
      <c r="I294" s="33">
        <f>E295-I293</f>
        <v>12</v>
      </c>
      <c r="J294" s="290" t="s">
        <v>231</v>
      </c>
      <c r="K294" s="291"/>
      <c r="L294" s="34">
        <f>I298</f>
        <v>109</v>
      </c>
      <c r="M294" s="196">
        <v>4</v>
      </c>
      <c r="N294" s="35">
        <f>SUM(AI294,AI305)</f>
        <v>0</v>
      </c>
      <c r="O294" s="35">
        <v>0</v>
      </c>
      <c r="P294" s="35">
        <f>SUM(AJ294,AJ305)</f>
        <v>1</v>
      </c>
      <c r="Q294" s="35">
        <v>0</v>
      </c>
      <c r="R294" s="35">
        <f>COUNTIFS($E304:$E328,"4",$F304:$F328,"Pole",$C304:$C328,"FST")</f>
        <v>1</v>
      </c>
      <c r="S294" s="35">
        <f>SUM(AL294,AK305)</f>
        <v>0</v>
      </c>
      <c r="T294" s="35">
        <v>0</v>
      </c>
      <c r="U294" s="35">
        <f>SUM(AK294,AL305)</f>
        <v>0</v>
      </c>
      <c r="V294" s="35">
        <v>0</v>
      </c>
      <c r="W294" s="34">
        <f>COUNTIFS($E304:$E328,"4",$F304:$F328,"HH",$C304:$C328,"FST")</f>
        <v>0</v>
      </c>
      <c r="X294" s="35">
        <f>COUNTIFS($E304:$E328,"4",$F304:$F328,"Ped",$C304:$C328,"FST")</f>
        <v>0</v>
      </c>
      <c r="Y294" s="25"/>
      <c r="Z294" s="299" t="s">
        <v>232</v>
      </c>
      <c r="AA294" s="301" t="s">
        <v>233</v>
      </c>
      <c r="AB294" s="302"/>
      <c r="AC294" s="25"/>
      <c r="AD294" s="25"/>
      <c r="AH294" s="109">
        <v>4</v>
      </c>
      <c r="AI294" s="109" t="str">
        <f>IF($E294="SS",COUNTIFS($C304:$C328,"FST",$E304:$E328,"4"),"0")</f>
        <v>0</v>
      </c>
      <c r="AJ294" s="109">
        <f>IF($E294="RPX",COUNTIFS($C304:$C328,"FST",$E304:$E328,"4"),"0")</f>
        <v>1</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2" t="s">
        <v>237</v>
      </c>
      <c r="H295" s="293"/>
      <c r="I295" s="35">
        <f>IF(E295=0,0,12-(MOD(I293,12)))</f>
        <v>12</v>
      </c>
      <c r="J295" s="290" t="s">
        <v>238</v>
      </c>
      <c r="K295" s="291"/>
      <c r="L295" s="39">
        <f>I299-I293</f>
        <v>108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0"/>
      <c r="AA295" s="303"/>
      <c r="AB295" s="304"/>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322" t="s">
        <v>242</v>
      </c>
      <c r="H296" s="43" t="s">
        <v>243</v>
      </c>
      <c r="I296" s="35">
        <f>IF(E296&lt;&gt;0,1,0)</f>
        <v>1</v>
      </c>
      <c r="J296" s="292" t="s">
        <v>244</v>
      </c>
      <c r="K296" s="293"/>
      <c r="L296" s="44">
        <f>'Cable Calculator'!AM3</f>
        <v>360</v>
      </c>
      <c r="M296" s="196">
        <v>8</v>
      </c>
      <c r="N296" s="35">
        <f>SUM(AI296,AI307)</f>
        <v>0</v>
      </c>
      <c r="O296" s="35">
        <v>0</v>
      </c>
      <c r="P296" s="35">
        <f>SUM(AJ296,AJ307)</f>
        <v>1</v>
      </c>
      <c r="Q296" s="35">
        <v>0</v>
      </c>
      <c r="R296" s="35">
        <f>COUNTIFS($E304:$E328,"8",$F304:$F328,"Pole",$C304:$C328,"FST")</f>
        <v>1</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1</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109</v>
      </c>
      <c r="F297" s="88"/>
      <c r="G297" s="323"/>
      <c r="H297" s="47" t="s">
        <v>248</v>
      </c>
      <c r="I297" s="35">
        <f>IF(E296&lt;&gt;0,E296,0)</f>
        <v>12</v>
      </c>
      <c r="J297" s="194"/>
      <c r="K297" s="195"/>
      <c r="L297" s="48"/>
      <c r="M297" s="196">
        <v>12</v>
      </c>
      <c r="N297" s="35" t="str">
        <f>IF($E294="SS",SUM(AI297,AJ308,AM329,AO329,AQ329),"0")</f>
        <v>0</v>
      </c>
      <c r="O297" s="35" t="str">
        <f>IF($E294="SS",SUM(AN329,AP329,AR329),"0")</f>
        <v>0</v>
      </c>
      <c r="P297" s="35">
        <f>IF($E294="RPX",SUM(AJ297,AJ308,AM329,AO329,AQ329),"0")</f>
        <v>0</v>
      </c>
      <c r="Q297" s="35">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2" t="s">
        <v>251</v>
      </c>
      <c r="H298" s="51" t="s">
        <v>252</v>
      </c>
      <c r="I298" s="112">
        <f>E297</f>
        <v>109</v>
      </c>
      <c r="J298" s="324" t="s">
        <v>253</v>
      </c>
      <c r="K298" s="325"/>
      <c r="L298" s="32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3"/>
      <c r="H299" s="47" t="s">
        <v>257</v>
      </c>
      <c r="I299" s="35">
        <f>IF(E297="","0",IF(AND(E294="EUC",E295=432), I298+(203-E296),IF(E297=0,0,(E297+(E295-E296)-1))))</f>
        <v>120</v>
      </c>
      <c r="J299" s="287" t="str">
        <f>IFERROR(IF(OR(E294="EUC",E294="SS"),"---",IF(OR(P293,S293),"NO 2F Tethers for RPX!",IF(OR(P295,S295),"NO 6F Tethers for RPX!","---"))),"---")</f>
        <v>---</v>
      </c>
      <c r="K299" s="288"/>
      <c r="L299" s="289"/>
      <c r="M299" s="287" t="str">
        <f>IF(E296&gt;60,"Dead Count &gt;60: Consider Downsize","---")</f>
        <v>---</v>
      </c>
      <c r="N299" s="288"/>
      <c r="O299" s="288"/>
      <c r="P299" s="288"/>
      <c r="Q299" s="288"/>
      <c r="R299" s="288"/>
      <c r="S299" s="288"/>
      <c r="T299" s="288"/>
      <c r="U299" s="289"/>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87"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8"/>
      <c r="L300" s="289"/>
      <c r="M300" s="287" t="str">
        <f>IF(AND(OR(E294="SS",E294="RPX",E294="EUC",E294="RPX-T"),(OR(C304="",C304="Field SPL"))),"Cannot have FlexNap cables without tethers","---")</f>
        <v>---</v>
      </c>
      <c r="N300" s="288"/>
      <c r="O300" s="288"/>
      <c r="P300" s="288"/>
      <c r="Q300" s="288"/>
      <c r="R300" s="288"/>
      <c r="S300" s="288"/>
      <c r="T300" s="288"/>
      <c r="U300" s="289"/>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7" t="str">
        <f>IF(AND(OR(E294="RPX", E294="RPX-T", E294="SS"),E295=216),"NO 216 For RPX, RPX-T, OR SS CABLE","---")</f>
        <v>---</v>
      </c>
      <c r="K301" s="288"/>
      <c r="L301" s="289"/>
      <c r="M301" s="287" t="str" cm="1">
        <f t="array" ref="M301">IF(AND(E294="",OR(C304:C328="FST",C304:C328="REV T",C304:C328="DBL REV",C304:C328="TPL REV", C304:C328="QD REV")),"Non-FlexNap cables cannot have tethers","---")</f>
        <v>---</v>
      </c>
      <c r="N301" s="288"/>
      <c r="O301" s="288"/>
      <c r="P301" s="288"/>
      <c r="Q301" s="288"/>
      <c r="R301" s="288"/>
      <c r="S301" s="288"/>
      <c r="T301" s="288"/>
      <c r="U301" s="289"/>
      <c r="V301" s="25"/>
      <c r="W301" s="58"/>
      <c r="X301" s="58"/>
      <c r="Y301" s="25"/>
      <c r="Z301" s="45">
        <v>6</v>
      </c>
      <c r="AA301" s="65">
        <v>61</v>
      </c>
      <c r="AB301" s="65">
        <v>72</v>
      </c>
      <c r="AC301" s="25"/>
      <c r="AD301" s="25"/>
      <c r="BA301" s="226"/>
    </row>
    <row r="302" spans="1:53" ht="15.75" customHeight="1" thickBot="1" x14ac:dyDescent="0.3">
      <c r="A302" s="88"/>
      <c r="B302" s="322" t="s">
        <v>260</v>
      </c>
      <c r="C302" s="294" t="s">
        <v>261</v>
      </c>
      <c r="D302" s="294" t="s">
        <v>262</v>
      </c>
      <c r="E302" s="307" t="s">
        <v>263</v>
      </c>
      <c r="F302" s="294" t="s">
        <v>264</v>
      </c>
      <c r="G302" s="309" t="s">
        <v>265</v>
      </c>
      <c r="H302" s="309" t="s">
        <v>266</v>
      </c>
      <c r="I302" s="309" t="s">
        <v>267</v>
      </c>
      <c r="J302" s="311" t="s">
        <v>268</v>
      </c>
      <c r="K302" s="294" t="s">
        <v>269</v>
      </c>
      <c r="L302" s="281" t="s">
        <v>270</v>
      </c>
      <c r="M302" s="283" t="s">
        <v>271</v>
      </c>
      <c r="N302" s="283"/>
      <c r="O302" s="283"/>
      <c r="P302" s="283"/>
      <c r="Q302" s="283"/>
      <c r="R302" s="283"/>
      <c r="S302" s="283"/>
      <c r="T302" s="283"/>
      <c r="U302" s="284"/>
      <c r="V302" s="107"/>
      <c r="W302" s="72"/>
      <c r="X302" s="72"/>
      <c r="Y302" s="72"/>
      <c r="Z302" s="45">
        <v>7</v>
      </c>
      <c r="AA302" s="65">
        <v>73</v>
      </c>
      <c r="AB302" s="65">
        <v>84</v>
      </c>
      <c r="AC302" s="25"/>
      <c r="AD302" s="25"/>
      <c r="BA302" s="228"/>
    </row>
    <row r="303" spans="1:53" ht="15.75" thickBot="1" x14ac:dyDescent="0.3">
      <c r="A303" s="88"/>
      <c r="B303" s="323"/>
      <c r="C303" s="295"/>
      <c r="D303" s="295"/>
      <c r="E303" s="308"/>
      <c r="F303" s="295"/>
      <c r="G303" s="310"/>
      <c r="H303" s="310"/>
      <c r="I303" s="310"/>
      <c r="J303" s="312"/>
      <c r="K303" s="295"/>
      <c r="L303" s="282"/>
      <c r="M303" s="285"/>
      <c r="N303" s="285"/>
      <c r="O303" s="285"/>
      <c r="P303" s="285"/>
      <c r="Q303" s="285"/>
      <c r="R303" s="285"/>
      <c r="S303" s="285"/>
      <c r="T303" s="285"/>
      <c r="U303" s="28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764</v>
      </c>
      <c r="E304" s="32">
        <v>4</v>
      </c>
      <c r="F304" s="32" t="s">
        <v>483</v>
      </c>
      <c r="G304" s="68" t="s">
        <v>277</v>
      </c>
      <c r="H304" s="69">
        <f>IF(I304=0,0,I304-(E304-1))</f>
        <v>117</v>
      </c>
      <c r="I304" s="70">
        <f>IF(E304=0,0,I299)</f>
        <v>120</v>
      </c>
      <c r="J304" s="71" t="s">
        <v>278</v>
      </c>
      <c r="K304" s="32"/>
      <c r="L304" s="233"/>
      <c r="M304" s="279"/>
      <c r="N304" s="279"/>
      <c r="O304" s="279"/>
      <c r="P304" s="279"/>
      <c r="Q304" s="279"/>
      <c r="R304" s="279"/>
      <c r="S304" s="279"/>
      <c r="T304" s="279"/>
      <c r="U304" s="280"/>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117-120</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765</v>
      </c>
      <c r="E305" s="32">
        <v>8</v>
      </c>
      <c r="F305" s="32" t="s">
        <v>483</v>
      </c>
      <c r="G305" s="68" t="s">
        <v>277</v>
      </c>
      <c r="H305" s="69">
        <f t="shared" ref="H305:H328" si="128">IF(E305=0,0,I305-(E305-1))</f>
        <v>109</v>
      </c>
      <c r="I305" s="70">
        <f t="shared" ref="I305:I328" si="129">IF(E305=0,0,H304-1)</f>
        <v>116</v>
      </c>
      <c r="J305" s="73" t="str">
        <f>IF(C305="","--",IF(AND(C305&lt;&gt;"FST",C305&lt;&gt;"TCF",BA304&lt;&gt;0),BA304,"--"))</f>
        <v>--</v>
      </c>
      <c r="K305" s="32"/>
      <c r="L305" s="233"/>
      <c r="M305" s="279"/>
      <c r="N305" s="279"/>
      <c r="O305" s="279"/>
      <c r="P305" s="279"/>
      <c r="Q305" s="279"/>
      <c r="R305" s="279"/>
      <c r="S305" s="279"/>
      <c r="T305" s="279"/>
      <c r="U305" s="280"/>
      <c r="V305" s="103"/>
      <c r="W305" s="72"/>
      <c r="X305" s="72"/>
      <c r="Y305" s="72"/>
      <c r="Z305" s="45">
        <v>10</v>
      </c>
      <c r="AA305" s="46">
        <v>109</v>
      </c>
      <c r="AB305" s="46">
        <v>120</v>
      </c>
      <c r="AC305" s="72">
        <f t="shared" si="119"/>
        <v>1</v>
      </c>
      <c r="AD305" s="72">
        <f t="shared" si="120"/>
        <v>0</v>
      </c>
      <c r="AE305" s="109" t="str">
        <f t="shared" si="121"/>
        <v>109-116</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79"/>
      <c r="N306" s="279"/>
      <c r="O306" s="279"/>
      <c r="P306" s="279"/>
      <c r="Q306" s="279"/>
      <c r="R306" s="279"/>
      <c r="S306" s="279"/>
      <c r="T306" s="279"/>
      <c r="U306" s="280"/>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9"/>
      <c r="N307" s="279"/>
      <c r="O307" s="279"/>
      <c r="P307" s="279"/>
      <c r="Q307" s="279"/>
      <c r="R307" s="279"/>
      <c r="S307" s="279"/>
      <c r="T307" s="279"/>
      <c r="U307" s="280"/>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9"/>
      <c r="N308" s="279"/>
      <c r="O308" s="279"/>
      <c r="P308" s="279"/>
      <c r="Q308" s="279"/>
      <c r="R308" s="279"/>
      <c r="S308" s="279"/>
      <c r="T308" s="279"/>
      <c r="U308" s="280"/>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9"/>
      <c r="N309" s="279"/>
      <c r="O309" s="279"/>
      <c r="P309" s="279"/>
      <c r="Q309" s="279"/>
      <c r="R309" s="279"/>
      <c r="S309" s="279"/>
      <c r="T309" s="279"/>
      <c r="U309" s="280"/>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9"/>
      <c r="N310" s="279"/>
      <c r="O310" s="279"/>
      <c r="P310" s="279"/>
      <c r="Q310" s="279"/>
      <c r="R310" s="279"/>
      <c r="S310" s="279"/>
      <c r="T310" s="279"/>
      <c r="U310" s="280"/>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9"/>
      <c r="N311" s="279"/>
      <c r="O311" s="279"/>
      <c r="P311" s="279"/>
      <c r="Q311" s="279"/>
      <c r="R311" s="279"/>
      <c r="S311" s="279"/>
      <c r="T311" s="279"/>
      <c r="U311" s="280"/>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9"/>
      <c r="N312" s="279"/>
      <c r="O312" s="279"/>
      <c r="P312" s="279"/>
      <c r="Q312" s="279"/>
      <c r="R312" s="279"/>
      <c r="S312" s="279"/>
      <c r="T312" s="279"/>
      <c r="U312" s="280"/>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9"/>
      <c r="N313" s="279"/>
      <c r="O313" s="279"/>
      <c r="P313" s="279"/>
      <c r="Q313" s="279"/>
      <c r="R313" s="279"/>
      <c r="S313" s="279"/>
      <c r="T313" s="279"/>
      <c r="U313" s="280"/>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9"/>
      <c r="N314" s="279"/>
      <c r="O314" s="279"/>
      <c r="P314" s="279"/>
      <c r="Q314" s="279"/>
      <c r="R314" s="279"/>
      <c r="S314" s="279"/>
      <c r="T314" s="279"/>
      <c r="U314" s="280"/>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9"/>
      <c r="N315" s="279"/>
      <c r="O315" s="279"/>
      <c r="P315" s="279"/>
      <c r="Q315" s="279"/>
      <c r="R315" s="279"/>
      <c r="S315" s="279"/>
      <c r="T315" s="279"/>
      <c r="U315" s="280"/>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9"/>
      <c r="N316" s="279"/>
      <c r="O316" s="279"/>
      <c r="P316" s="279"/>
      <c r="Q316" s="279"/>
      <c r="R316" s="279"/>
      <c r="S316" s="279"/>
      <c r="T316" s="279"/>
      <c r="U316" s="280"/>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9"/>
      <c r="N317" s="279"/>
      <c r="O317" s="279"/>
      <c r="P317" s="279"/>
      <c r="Q317" s="279"/>
      <c r="R317" s="279"/>
      <c r="S317" s="279"/>
      <c r="T317" s="279"/>
      <c r="U317" s="280"/>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9"/>
      <c r="N318" s="279"/>
      <c r="O318" s="279"/>
      <c r="P318" s="279"/>
      <c r="Q318" s="279"/>
      <c r="R318" s="279"/>
      <c r="S318" s="279"/>
      <c r="T318" s="279"/>
      <c r="U318" s="280"/>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9"/>
      <c r="N319" s="279"/>
      <c r="O319" s="279"/>
      <c r="P319" s="279"/>
      <c r="Q319" s="279"/>
      <c r="R319" s="279"/>
      <c r="S319" s="279"/>
      <c r="T319" s="279"/>
      <c r="U319" s="280"/>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9"/>
      <c r="N320" s="279"/>
      <c r="O320" s="279"/>
      <c r="P320" s="279"/>
      <c r="Q320" s="279"/>
      <c r="R320" s="279"/>
      <c r="S320" s="279"/>
      <c r="T320" s="279"/>
      <c r="U320" s="280"/>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9"/>
      <c r="N321" s="279"/>
      <c r="O321" s="279"/>
      <c r="P321" s="279"/>
      <c r="Q321" s="279"/>
      <c r="R321" s="279"/>
      <c r="S321" s="279"/>
      <c r="T321" s="279"/>
      <c r="U321" s="280"/>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9"/>
      <c r="N322" s="279"/>
      <c r="O322" s="279"/>
      <c r="P322" s="279"/>
      <c r="Q322" s="279"/>
      <c r="R322" s="279"/>
      <c r="S322" s="279"/>
      <c r="T322" s="279"/>
      <c r="U322" s="280"/>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9"/>
      <c r="N323" s="279"/>
      <c r="O323" s="279"/>
      <c r="P323" s="279"/>
      <c r="Q323" s="279"/>
      <c r="R323" s="279"/>
      <c r="S323" s="279"/>
      <c r="T323" s="279"/>
      <c r="U323" s="280"/>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9"/>
      <c r="N324" s="279"/>
      <c r="O324" s="279"/>
      <c r="P324" s="279"/>
      <c r="Q324" s="279"/>
      <c r="R324" s="279"/>
      <c r="S324" s="279"/>
      <c r="T324" s="279"/>
      <c r="U324" s="280"/>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9"/>
      <c r="N325" s="279"/>
      <c r="O325" s="279"/>
      <c r="P325" s="279"/>
      <c r="Q325" s="279"/>
      <c r="R325" s="279"/>
      <c r="S325" s="279"/>
      <c r="T325" s="279"/>
      <c r="U325" s="280"/>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9"/>
      <c r="N326" s="279"/>
      <c r="O326" s="279"/>
      <c r="P326" s="279"/>
      <c r="Q326" s="279"/>
      <c r="R326" s="279"/>
      <c r="S326" s="279"/>
      <c r="T326" s="279"/>
      <c r="U326" s="280"/>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9"/>
      <c r="N327" s="279"/>
      <c r="O327" s="279"/>
      <c r="P327" s="279"/>
      <c r="Q327" s="279"/>
      <c r="R327" s="279"/>
      <c r="S327" s="279"/>
      <c r="T327" s="279"/>
      <c r="U327" s="280"/>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9"/>
      <c r="N328" s="279"/>
      <c r="O328" s="279"/>
      <c r="P328" s="279"/>
      <c r="Q328" s="279"/>
      <c r="R328" s="279"/>
      <c r="S328" s="279"/>
      <c r="T328" s="279"/>
      <c r="U328" s="280"/>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320" t="s">
        <v>319</v>
      </c>
      <c r="C329" s="321"/>
      <c r="D329" s="79"/>
      <c r="E329" s="80"/>
      <c r="F329" s="80"/>
      <c r="G329" s="81"/>
      <c r="H329" s="192"/>
      <c r="I329" s="192"/>
      <c r="J329" s="192"/>
      <c r="K329" s="82"/>
      <c r="L329" s="320" t="s">
        <v>306</v>
      </c>
      <c r="M329" s="331"/>
      <c r="N329" s="331"/>
      <c r="O329" s="331"/>
      <c r="P329" s="331"/>
      <c r="Q329" s="331"/>
      <c r="R329" s="331"/>
      <c r="S329" s="331"/>
      <c r="T329" s="331"/>
      <c r="U329" s="321"/>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0" t="s">
        <v>307</v>
      </c>
      <c r="C330" s="321"/>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3" t="s">
        <v>222</v>
      </c>
      <c r="C334" s="314"/>
      <c r="D334" s="315" t="s">
        <v>223</v>
      </c>
      <c r="E334" s="306"/>
      <c r="F334" s="88"/>
      <c r="G334" s="316" t="s">
        <v>224</v>
      </c>
      <c r="H334" s="317"/>
      <c r="I334" s="28">
        <f>SUM(E345:E369)</f>
        <v>48</v>
      </c>
      <c r="J334" s="318" t="s">
        <v>225</v>
      </c>
      <c r="K334" s="319"/>
      <c r="L334" s="306"/>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6" t="s">
        <v>226</v>
      </c>
      <c r="AA334" s="297"/>
      <c r="AB334" s="298"/>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5" t="s">
        <v>230</v>
      </c>
      <c r="H335" s="306"/>
      <c r="I335" s="33">
        <f>E336-I334</f>
        <v>0</v>
      </c>
      <c r="J335" s="290" t="s">
        <v>231</v>
      </c>
      <c r="K335" s="291"/>
      <c r="L335" s="34">
        <f>I339</f>
        <v>49</v>
      </c>
      <c r="M335" s="196">
        <v>4</v>
      </c>
      <c r="N335" s="35">
        <f>SUM(AI335,AI346)</f>
        <v>0</v>
      </c>
      <c r="O335" s="35">
        <v>0</v>
      </c>
      <c r="P335" s="35">
        <f>SUM(AJ335,AJ346)</f>
        <v>0</v>
      </c>
      <c r="Q335" s="35">
        <v>0</v>
      </c>
      <c r="R335" s="35">
        <f>COUNTIFS($E345:$E369,"4",$F345:$F369,"Pole",$C345:$C369,"FST")</f>
        <v>3</v>
      </c>
      <c r="S335" s="35">
        <f>SUM(AL335,AK346)</f>
        <v>0</v>
      </c>
      <c r="T335" s="35">
        <v>0</v>
      </c>
      <c r="U335" s="35">
        <f>SUM(AK335,AL346)</f>
        <v>6</v>
      </c>
      <c r="V335" s="35">
        <v>0</v>
      </c>
      <c r="W335" s="34">
        <f>COUNTIFS($E345:$E369,"4",$F345:$F369,"HH",$C345:$C369,"FST")</f>
        <v>3</v>
      </c>
      <c r="X335" s="35">
        <f>COUNTIFS($E345:$E369,"4",$F345:$F369,"Ped",$C345:$C369,"FST")</f>
        <v>0</v>
      </c>
      <c r="Y335" s="25"/>
      <c r="Z335" s="299" t="s">
        <v>232</v>
      </c>
      <c r="AA335" s="301" t="s">
        <v>233</v>
      </c>
      <c r="AB335" s="302"/>
      <c r="AC335" s="25"/>
      <c r="AD335" s="25"/>
      <c r="AH335" s="109">
        <v>4</v>
      </c>
      <c r="AI335" s="109" t="str">
        <f>IF($E335="SS",COUNTIFS($C345:$C369,"FST",$E345:$E369,"4"),"0")</f>
        <v>0</v>
      </c>
      <c r="AJ335" s="109" t="str">
        <f>IF($E335="RPX",COUNTIFS($C345:$C369,"FST",$E345:$E369,"4"),"0")</f>
        <v>0</v>
      </c>
      <c r="AK335" s="109">
        <f>IF($E335="EUC",COUNTIFS($C345:$C369,"FST",$E345:$E369,"4"),"0")</f>
        <v>6</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48</v>
      </c>
      <c r="F336" s="88"/>
      <c r="G336" s="292" t="s">
        <v>237</v>
      </c>
      <c r="H336" s="293"/>
      <c r="I336" s="35">
        <f>IF(E336=0,0,12-(MOD(I334,12)))</f>
        <v>12</v>
      </c>
      <c r="J336" s="290" t="s">
        <v>238</v>
      </c>
      <c r="K336" s="291"/>
      <c r="L336" s="39">
        <f>I340-I334</f>
        <v>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0"/>
      <c r="AA336" s="303"/>
      <c r="AB336" s="304"/>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2" t="s">
        <v>242</v>
      </c>
      <c r="H337" s="43" t="s">
        <v>243</v>
      </c>
      <c r="I337" s="35">
        <f>IF(E337&lt;&gt;0,1,0)</f>
        <v>0</v>
      </c>
      <c r="J337" s="292" t="s">
        <v>244</v>
      </c>
      <c r="K337" s="293"/>
      <c r="L337" s="44">
        <f>'Cable Calculator'!AR3</f>
        <v>2166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49</v>
      </c>
      <c r="F338" s="88"/>
      <c r="G338" s="323"/>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4</v>
      </c>
      <c r="F339" s="88"/>
      <c r="G339" s="322" t="s">
        <v>251</v>
      </c>
      <c r="H339" s="51" t="s">
        <v>252</v>
      </c>
      <c r="I339" s="112">
        <f>E338</f>
        <v>49</v>
      </c>
      <c r="J339" s="324" t="s">
        <v>253</v>
      </c>
      <c r="K339" s="325"/>
      <c r="L339" s="32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3"/>
      <c r="H340" s="47" t="s">
        <v>257</v>
      </c>
      <c r="I340" s="35">
        <f>IF(E338="","0",IF(AND(E335="EUC",E336=432), I339+(203-E337),IF(E338=0,0,(E338+(E336-E337)-1))))</f>
        <v>96</v>
      </c>
      <c r="J340" s="287" t="str">
        <f>IFERROR(IF(OR(E335="EUC",E335="SS"),"---",IF(OR(P334,S334),"NO 2F Tethers for RPX!",IF(OR(P336,S336),"NO 6F Tethers for RPX!","---"))),"---")</f>
        <v>---</v>
      </c>
      <c r="K340" s="288"/>
      <c r="L340" s="289"/>
      <c r="M340" s="287" t="str">
        <f>IF(E337&gt;60,"Dead Count &gt;60: Consider Downsize","---")</f>
        <v>---</v>
      </c>
      <c r="N340" s="288"/>
      <c r="O340" s="288"/>
      <c r="P340" s="288"/>
      <c r="Q340" s="288"/>
      <c r="R340" s="288"/>
      <c r="S340" s="288"/>
      <c r="T340" s="288"/>
      <c r="U340" s="289"/>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48</v>
      </c>
      <c r="D341" s="31" t="s">
        <v>259</v>
      </c>
      <c r="E341" s="101" t="str">
        <f>IF(AS335="Y","DBL",IF(AS336="Y","TRPL",IF(AS337="Y","QUAD","")))</f>
        <v/>
      </c>
      <c r="F341" s="88"/>
      <c r="G341" s="192"/>
      <c r="H341" s="57"/>
      <c r="I341" s="192"/>
      <c r="J341" s="287"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8"/>
      <c r="L341" s="289"/>
      <c r="M341" s="287" t="str">
        <f>IF(AND(OR(E335="SS",E335="RPX",E335="EUC",E335="RPX-T"),(OR(C345="",C345="Field SPL"))),"Cannot have FlexNap cables without tethers","---")</f>
        <v>---</v>
      </c>
      <c r="N341" s="288"/>
      <c r="O341" s="288"/>
      <c r="P341" s="288"/>
      <c r="Q341" s="288"/>
      <c r="R341" s="288"/>
      <c r="S341" s="288"/>
      <c r="T341" s="288"/>
      <c r="U341" s="289"/>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7" t="str">
        <f>IF(AND(OR(E335="RPX", E335="RPX-T", E335="SS"),E336=216),"NO 216 For RPX, RPX-T, OR SS CABLE","---")</f>
        <v>---</v>
      </c>
      <c r="K342" s="288"/>
      <c r="L342" s="289"/>
      <c r="M342" s="287" t="str" cm="1">
        <f t="array" ref="M342">IF(AND(E335="",OR(C345:C369="FST",C345:C369="REV T",C345:C369="DBL REV",C345:C369="TPL REV", C345:C369="QD REV")),"Non-FlexNap cables cannot have tethers","---")</f>
        <v>---</v>
      </c>
      <c r="N342" s="288"/>
      <c r="O342" s="288"/>
      <c r="P342" s="288"/>
      <c r="Q342" s="288"/>
      <c r="R342" s="288"/>
      <c r="S342" s="288"/>
      <c r="T342" s="288"/>
      <c r="U342" s="289"/>
      <c r="V342" s="25"/>
      <c r="W342" s="58"/>
      <c r="X342" s="58"/>
      <c r="Y342" s="25"/>
      <c r="Z342" s="45">
        <v>6</v>
      </c>
      <c r="AA342" s="65">
        <v>61</v>
      </c>
      <c r="AB342" s="65">
        <v>72</v>
      </c>
      <c r="AC342" s="25"/>
      <c r="AD342" s="25"/>
      <c r="BA342" s="226"/>
    </row>
    <row r="343" spans="1:53" ht="15.75" customHeight="1" thickBot="1" x14ac:dyDescent="0.3">
      <c r="A343" s="88"/>
      <c r="B343" s="322" t="s">
        <v>260</v>
      </c>
      <c r="C343" s="294" t="s">
        <v>261</v>
      </c>
      <c r="D343" s="294" t="s">
        <v>262</v>
      </c>
      <c r="E343" s="307" t="s">
        <v>263</v>
      </c>
      <c r="F343" s="294" t="s">
        <v>264</v>
      </c>
      <c r="G343" s="309" t="s">
        <v>265</v>
      </c>
      <c r="H343" s="309" t="s">
        <v>266</v>
      </c>
      <c r="I343" s="309" t="s">
        <v>267</v>
      </c>
      <c r="J343" s="311" t="s">
        <v>268</v>
      </c>
      <c r="K343" s="294" t="s">
        <v>269</v>
      </c>
      <c r="L343" s="281" t="s">
        <v>270</v>
      </c>
      <c r="M343" s="283" t="s">
        <v>271</v>
      </c>
      <c r="N343" s="283"/>
      <c r="O343" s="283"/>
      <c r="P343" s="283"/>
      <c r="Q343" s="283"/>
      <c r="R343" s="283"/>
      <c r="S343" s="283"/>
      <c r="T343" s="283"/>
      <c r="U343" s="284"/>
      <c r="V343" s="107"/>
      <c r="W343" s="72"/>
      <c r="X343" s="72"/>
      <c r="Y343" s="72"/>
      <c r="Z343" s="45">
        <v>7</v>
      </c>
      <c r="AA343" s="65">
        <v>73</v>
      </c>
      <c r="AB343" s="65">
        <v>84</v>
      </c>
      <c r="AC343" s="25"/>
      <c r="AD343" s="25"/>
      <c r="BA343" s="228"/>
    </row>
    <row r="344" spans="1:53" ht="15.75" thickBot="1" x14ac:dyDescent="0.3">
      <c r="A344" s="88"/>
      <c r="B344" s="323"/>
      <c r="C344" s="295"/>
      <c r="D344" s="295"/>
      <c r="E344" s="308"/>
      <c r="F344" s="295"/>
      <c r="G344" s="310"/>
      <c r="H344" s="310"/>
      <c r="I344" s="310"/>
      <c r="J344" s="312"/>
      <c r="K344" s="295"/>
      <c r="L344" s="282"/>
      <c r="M344" s="285"/>
      <c r="N344" s="285"/>
      <c r="O344" s="285"/>
      <c r="P344" s="285"/>
      <c r="Q344" s="285"/>
      <c r="R344" s="285"/>
      <c r="S344" s="285"/>
      <c r="T344" s="285"/>
      <c r="U344" s="28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776</v>
      </c>
      <c r="E345" s="32">
        <v>4</v>
      </c>
      <c r="F345" s="32" t="s">
        <v>483</v>
      </c>
      <c r="G345" s="68" t="s">
        <v>277</v>
      </c>
      <c r="H345" s="69">
        <f>IF(I345=0,0,I345-(E345-1))</f>
        <v>93</v>
      </c>
      <c r="I345" s="70">
        <f>IF(E345=0,0,I340)</f>
        <v>96</v>
      </c>
      <c r="J345" s="71" t="s">
        <v>278</v>
      </c>
      <c r="K345" s="32"/>
      <c r="L345" s="233"/>
      <c r="M345" s="279"/>
      <c r="N345" s="279"/>
      <c r="O345" s="279"/>
      <c r="P345" s="279"/>
      <c r="Q345" s="279"/>
      <c r="R345" s="279"/>
      <c r="S345" s="279"/>
      <c r="T345" s="279"/>
      <c r="U345" s="280"/>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93-96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777</v>
      </c>
      <c r="E346" s="32">
        <v>4</v>
      </c>
      <c r="F346" s="32" t="s">
        <v>483</v>
      </c>
      <c r="G346" s="68" t="s">
        <v>277</v>
      </c>
      <c r="H346" s="69">
        <f t="shared" ref="H346:H369" si="145">IF(E346=0,0,I346-(E346-1))</f>
        <v>89</v>
      </c>
      <c r="I346" s="70">
        <f t="shared" ref="I346:I369" si="146">IF(E346=0,0,H345-1)</f>
        <v>92</v>
      </c>
      <c r="J346" s="73" t="str">
        <f>IF(C346="","--",IF(AND(C346&lt;&gt;"FST",C346&lt;&gt;"TCF",BA345&lt;&gt;0),BA345,"--"))</f>
        <v>--</v>
      </c>
      <c r="K346" s="32"/>
      <c r="L346" s="233"/>
      <c r="M346" s="279"/>
      <c r="N346" s="279"/>
      <c r="O346" s="279"/>
      <c r="P346" s="279"/>
      <c r="Q346" s="279"/>
      <c r="R346" s="279"/>
      <c r="S346" s="279"/>
      <c r="T346" s="279"/>
      <c r="U346" s="280"/>
      <c r="V346" s="103"/>
      <c r="W346" s="72"/>
      <c r="X346" s="72"/>
      <c r="Y346" s="72"/>
      <c r="Z346" s="45">
        <v>10</v>
      </c>
      <c r="AA346" s="46">
        <v>109</v>
      </c>
      <c r="AB346" s="46">
        <v>120</v>
      </c>
      <c r="AC346" s="72">
        <f t="shared" si="136"/>
        <v>1</v>
      </c>
      <c r="AD346" s="72">
        <f t="shared" si="137"/>
        <v>0</v>
      </c>
      <c r="AE346" s="109" t="str">
        <f t="shared" si="138"/>
        <v>89-92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778</v>
      </c>
      <c r="E347" s="32">
        <v>4</v>
      </c>
      <c r="F347" s="32" t="s">
        <v>483</v>
      </c>
      <c r="G347" s="75" t="s">
        <v>277</v>
      </c>
      <c r="H347" s="69">
        <f t="shared" si="145"/>
        <v>85</v>
      </c>
      <c r="I347" s="70">
        <f t="shared" si="146"/>
        <v>88</v>
      </c>
      <c r="J347" s="73" t="str">
        <f t="shared" ref="J347:J369" si="147">IF(C347="","--",IF(AND(C347&lt;&gt;"FST",C347&lt;&gt;"TCF",BA346&lt;&gt;0),BA346,"--"))</f>
        <v>--</v>
      </c>
      <c r="K347" s="32"/>
      <c r="L347" s="233"/>
      <c r="M347" s="279"/>
      <c r="N347" s="279"/>
      <c r="O347" s="279"/>
      <c r="P347" s="279"/>
      <c r="Q347" s="279"/>
      <c r="R347" s="279"/>
      <c r="S347" s="279"/>
      <c r="T347" s="279"/>
      <c r="U347" s="280"/>
      <c r="V347" s="103"/>
      <c r="W347" s="72"/>
      <c r="X347" s="72"/>
      <c r="Y347" s="72"/>
      <c r="Z347" s="45">
        <v>11</v>
      </c>
      <c r="AA347" s="46">
        <v>121</v>
      </c>
      <c r="AB347" s="46">
        <v>132</v>
      </c>
      <c r="AC347" s="72">
        <f t="shared" si="136"/>
        <v>1</v>
      </c>
      <c r="AD347" s="72">
        <f t="shared" si="137"/>
        <v>0</v>
      </c>
      <c r="AE347" s="109" t="str">
        <f t="shared" si="138"/>
        <v>85-88</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4</v>
      </c>
    </row>
    <row r="348" spans="1:53" ht="15.75" thickBot="1" x14ac:dyDescent="0.3">
      <c r="A348" s="88"/>
      <c r="B348" s="66" t="s">
        <v>281</v>
      </c>
      <c r="C348" s="67" t="s">
        <v>484</v>
      </c>
      <c r="D348" s="102" t="s">
        <v>779</v>
      </c>
      <c r="E348" s="32">
        <v>4</v>
      </c>
      <c r="F348" s="32" t="s">
        <v>488</v>
      </c>
      <c r="G348" s="68" t="s">
        <v>277</v>
      </c>
      <c r="H348" s="69">
        <f t="shared" si="145"/>
        <v>81</v>
      </c>
      <c r="I348" s="70">
        <f t="shared" si="146"/>
        <v>84</v>
      </c>
      <c r="J348" s="73" t="str">
        <f t="shared" si="147"/>
        <v>--</v>
      </c>
      <c r="K348" s="32"/>
      <c r="L348" s="233"/>
      <c r="M348" s="279"/>
      <c r="N348" s="279"/>
      <c r="O348" s="279"/>
      <c r="P348" s="279"/>
      <c r="Q348" s="279"/>
      <c r="R348" s="279"/>
      <c r="S348" s="279"/>
      <c r="T348" s="279"/>
      <c r="U348" s="280"/>
      <c r="V348" s="103"/>
      <c r="W348" s="72"/>
      <c r="X348" s="72"/>
      <c r="Y348" s="72"/>
      <c r="Z348" s="45">
        <v>12</v>
      </c>
      <c r="AA348" s="76">
        <v>133</v>
      </c>
      <c r="AB348" s="76">
        <v>144</v>
      </c>
      <c r="AC348" s="72">
        <f t="shared" si="136"/>
        <v>1</v>
      </c>
      <c r="AD348" s="72">
        <f t="shared" si="137"/>
        <v>0</v>
      </c>
      <c r="AE348" s="109" t="str">
        <f t="shared" si="138"/>
        <v>81-84</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8</v>
      </c>
    </row>
    <row r="349" spans="1:53" ht="15.75" thickBot="1" x14ac:dyDescent="0.3">
      <c r="A349" s="88"/>
      <c r="B349" s="66" t="s">
        <v>282</v>
      </c>
      <c r="C349" s="67" t="s">
        <v>484</v>
      </c>
      <c r="D349" s="102" t="s">
        <v>780</v>
      </c>
      <c r="E349" s="32">
        <v>4</v>
      </c>
      <c r="F349" s="32" t="s">
        <v>488</v>
      </c>
      <c r="G349" s="68" t="s">
        <v>277</v>
      </c>
      <c r="H349" s="69">
        <f t="shared" si="145"/>
        <v>77</v>
      </c>
      <c r="I349" s="70">
        <f t="shared" si="146"/>
        <v>80</v>
      </c>
      <c r="J349" s="73" t="str">
        <f t="shared" si="147"/>
        <v>--</v>
      </c>
      <c r="K349" s="32"/>
      <c r="L349" s="233"/>
      <c r="M349" s="279"/>
      <c r="N349" s="279"/>
      <c r="O349" s="279"/>
      <c r="P349" s="279"/>
      <c r="Q349" s="279"/>
      <c r="R349" s="279"/>
      <c r="S349" s="279"/>
      <c r="T349" s="279"/>
      <c r="U349" s="280"/>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77-80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484</v>
      </c>
      <c r="D350" s="102" t="s">
        <v>781</v>
      </c>
      <c r="E350" s="32">
        <v>4</v>
      </c>
      <c r="F350" s="32" t="s">
        <v>488</v>
      </c>
      <c r="G350" s="68" t="s">
        <v>277</v>
      </c>
      <c r="H350" s="69">
        <f t="shared" si="145"/>
        <v>73</v>
      </c>
      <c r="I350" s="70">
        <f t="shared" si="146"/>
        <v>76</v>
      </c>
      <c r="J350" s="73" t="str">
        <f t="shared" si="147"/>
        <v>--</v>
      </c>
      <c r="K350" s="32"/>
      <c r="L350" s="233"/>
      <c r="M350" s="279"/>
      <c r="N350" s="279"/>
      <c r="O350" s="279"/>
      <c r="P350" s="279"/>
      <c r="Q350" s="279"/>
      <c r="R350" s="279"/>
      <c r="S350" s="279"/>
      <c r="T350" s="279"/>
      <c r="U350" s="280"/>
      <c r="V350" s="103"/>
      <c r="W350" s="72"/>
      <c r="X350" s="72"/>
      <c r="Y350" s="72"/>
      <c r="Z350" s="45">
        <v>14</v>
      </c>
      <c r="AA350" s="77">
        <f t="shared" si="148"/>
        <v>157</v>
      </c>
      <c r="AB350" s="77">
        <f t="shared" si="149"/>
        <v>168</v>
      </c>
      <c r="AC350" s="72">
        <f t="shared" si="136"/>
        <v>1</v>
      </c>
      <c r="AD350" s="72">
        <f t="shared" si="137"/>
        <v>0</v>
      </c>
      <c r="AE350" s="109" t="str">
        <f t="shared" si="138"/>
        <v>73-76</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t="s">
        <v>502</v>
      </c>
      <c r="D351" s="102"/>
      <c r="E351" s="32">
        <v>24</v>
      </c>
      <c r="F351" s="32"/>
      <c r="G351" s="68" t="s">
        <v>277</v>
      </c>
      <c r="H351" s="69">
        <f t="shared" si="145"/>
        <v>49</v>
      </c>
      <c r="I351" s="70">
        <f t="shared" si="146"/>
        <v>72</v>
      </c>
      <c r="J351" s="73" t="str">
        <f t="shared" si="147"/>
        <v>--</v>
      </c>
      <c r="K351" s="32"/>
      <c r="L351" s="233"/>
      <c r="M351" s="279" t="s">
        <v>413</v>
      </c>
      <c r="N351" s="279"/>
      <c r="O351" s="279"/>
      <c r="P351" s="279"/>
      <c r="Q351" s="279"/>
      <c r="R351" s="279"/>
      <c r="S351" s="279"/>
      <c r="T351" s="279"/>
      <c r="U351" s="280"/>
      <c r="V351" s="103"/>
      <c r="W351" s="72"/>
      <c r="X351" s="72"/>
      <c r="Y351" s="72"/>
      <c r="Z351" s="45">
        <v>15</v>
      </c>
      <c r="AA351" s="77">
        <f t="shared" si="148"/>
        <v>169</v>
      </c>
      <c r="AB351" s="77">
        <f t="shared" si="149"/>
        <v>180</v>
      </c>
      <c r="AC351" s="72">
        <f t="shared" si="136"/>
        <v>1</v>
      </c>
      <c r="AD351" s="72">
        <f t="shared" si="137"/>
        <v>1</v>
      </c>
      <c r="AE351" s="109" t="str">
        <f t="shared" si="138"/>
        <v>49-72</v>
      </c>
      <c r="AF351" s="109" t="str">
        <f t="shared" si="139"/>
        <v>N</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9"/>
      <c r="N352" s="279"/>
      <c r="O352" s="279"/>
      <c r="P352" s="279"/>
      <c r="Q352" s="279"/>
      <c r="R352" s="279"/>
      <c r="S352" s="279"/>
      <c r="T352" s="279"/>
      <c r="U352" s="280"/>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9"/>
      <c r="N353" s="279"/>
      <c r="O353" s="279"/>
      <c r="P353" s="279"/>
      <c r="Q353" s="279"/>
      <c r="R353" s="279"/>
      <c r="S353" s="279"/>
      <c r="T353" s="279"/>
      <c r="U353" s="280"/>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9"/>
      <c r="N354" s="279"/>
      <c r="O354" s="279"/>
      <c r="P354" s="279"/>
      <c r="Q354" s="279"/>
      <c r="R354" s="279"/>
      <c r="S354" s="279"/>
      <c r="T354" s="279"/>
      <c r="U354" s="280"/>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9"/>
      <c r="N355" s="279"/>
      <c r="O355" s="279"/>
      <c r="P355" s="279"/>
      <c r="Q355" s="279"/>
      <c r="R355" s="279"/>
      <c r="S355" s="279"/>
      <c r="T355" s="279"/>
      <c r="U355" s="280"/>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9"/>
      <c r="N356" s="279"/>
      <c r="O356" s="279"/>
      <c r="P356" s="279"/>
      <c r="Q356" s="279"/>
      <c r="R356" s="279"/>
      <c r="S356" s="279"/>
      <c r="T356" s="279"/>
      <c r="U356" s="280"/>
      <c r="V356" s="103"/>
      <c r="W356" s="84">
        <f>Y356+1</f>
        <v>49</v>
      </c>
      <c r="X356" s="84"/>
      <c r="Y356" s="78">
        <f>SUM(E345:E356)</f>
        <v>48</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9"/>
      <c r="N357" s="279"/>
      <c r="O357" s="279"/>
      <c r="P357" s="279"/>
      <c r="Q357" s="279"/>
      <c r="R357" s="279"/>
      <c r="S357" s="279"/>
      <c r="T357" s="279"/>
      <c r="U357" s="280"/>
      <c r="V357" s="103"/>
      <c r="W357" s="84">
        <f>Y357+1</f>
        <v>49</v>
      </c>
      <c r="X357" s="84"/>
      <c r="Y357" s="78">
        <f>SUM(E345:E357)</f>
        <v>48</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9"/>
      <c r="N358" s="279"/>
      <c r="O358" s="279"/>
      <c r="P358" s="279"/>
      <c r="Q358" s="279"/>
      <c r="R358" s="279"/>
      <c r="S358" s="279"/>
      <c r="T358" s="279"/>
      <c r="U358" s="280"/>
      <c r="V358" s="103"/>
      <c r="W358" s="84">
        <f>Y358+1</f>
        <v>49</v>
      </c>
      <c r="X358" s="84"/>
      <c r="Y358" s="78">
        <f>SUM(E345:E358)</f>
        <v>48</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9"/>
      <c r="N359" s="279"/>
      <c r="O359" s="279"/>
      <c r="P359" s="279"/>
      <c r="Q359" s="279"/>
      <c r="R359" s="279"/>
      <c r="S359" s="279"/>
      <c r="T359" s="279"/>
      <c r="U359" s="280"/>
      <c r="V359" s="103"/>
      <c r="W359" s="84">
        <f>Y359+1</f>
        <v>49</v>
      </c>
      <c r="X359" s="84"/>
      <c r="Y359" s="78">
        <f>SUM(E345:E359)</f>
        <v>48</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9"/>
      <c r="N360" s="279"/>
      <c r="O360" s="279"/>
      <c r="P360" s="279"/>
      <c r="Q360" s="279"/>
      <c r="R360" s="279"/>
      <c r="S360" s="279"/>
      <c r="T360" s="279"/>
      <c r="U360" s="280"/>
      <c r="V360" s="103"/>
      <c r="W360" s="84">
        <f t="shared" ref="W360:W368" si="152">Y360+1</f>
        <v>49</v>
      </c>
      <c r="X360" s="84"/>
      <c r="Y360" s="78">
        <f>SUM(E345:E360)</f>
        <v>48</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9"/>
      <c r="N361" s="279"/>
      <c r="O361" s="279"/>
      <c r="P361" s="279"/>
      <c r="Q361" s="279"/>
      <c r="R361" s="279"/>
      <c r="S361" s="279"/>
      <c r="T361" s="279"/>
      <c r="U361" s="280"/>
      <c r="V361" s="103"/>
      <c r="W361" s="84">
        <f t="shared" si="152"/>
        <v>49</v>
      </c>
      <c r="X361" s="84"/>
      <c r="Y361" s="78">
        <f>SUM(E345:E361)</f>
        <v>48</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9"/>
      <c r="N362" s="279"/>
      <c r="O362" s="279"/>
      <c r="P362" s="279"/>
      <c r="Q362" s="279"/>
      <c r="R362" s="279"/>
      <c r="S362" s="279"/>
      <c r="T362" s="279"/>
      <c r="U362" s="280"/>
      <c r="V362" s="103"/>
      <c r="W362" s="84">
        <f t="shared" si="152"/>
        <v>49</v>
      </c>
      <c r="X362" s="84"/>
      <c r="Y362" s="78">
        <f>SUM(E345:E362)</f>
        <v>48</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9"/>
      <c r="N363" s="279"/>
      <c r="O363" s="279"/>
      <c r="P363" s="279"/>
      <c r="Q363" s="279"/>
      <c r="R363" s="279"/>
      <c r="S363" s="279"/>
      <c r="T363" s="279"/>
      <c r="U363" s="280"/>
      <c r="V363" s="103"/>
      <c r="W363" s="84">
        <f t="shared" si="152"/>
        <v>49</v>
      </c>
      <c r="X363" s="84"/>
      <c r="Y363" s="78">
        <f>SUM(E345:E363)</f>
        <v>48</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9"/>
      <c r="N364" s="279"/>
      <c r="O364" s="279"/>
      <c r="P364" s="279"/>
      <c r="Q364" s="279"/>
      <c r="R364" s="279"/>
      <c r="S364" s="279"/>
      <c r="T364" s="279"/>
      <c r="U364" s="280"/>
      <c r="V364" s="103"/>
      <c r="W364" s="84">
        <f t="shared" si="152"/>
        <v>49</v>
      </c>
      <c r="X364" s="84"/>
      <c r="Y364" s="78">
        <f>SUM(E345:E364)</f>
        <v>48</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9"/>
      <c r="N365" s="279"/>
      <c r="O365" s="279"/>
      <c r="P365" s="279"/>
      <c r="Q365" s="279"/>
      <c r="R365" s="279"/>
      <c r="S365" s="279"/>
      <c r="T365" s="279"/>
      <c r="U365" s="280"/>
      <c r="V365" s="103"/>
      <c r="W365" s="84">
        <f t="shared" si="152"/>
        <v>49</v>
      </c>
      <c r="X365" s="84"/>
      <c r="Y365" s="78">
        <f>SUM(E345:E365)</f>
        <v>48</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9"/>
      <c r="N366" s="279"/>
      <c r="O366" s="279"/>
      <c r="P366" s="279"/>
      <c r="Q366" s="279"/>
      <c r="R366" s="279"/>
      <c r="S366" s="279"/>
      <c r="T366" s="279"/>
      <c r="U366" s="280"/>
      <c r="V366" s="103"/>
      <c r="W366" s="84">
        <f t="shared" si="152"/>
        <v>49</v>
      </c>
      <c r="X366" s="84"/>
      <c r="Y366" s="78">
        <f>SUM(E345:E366)</f>
        <v>48</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9"/>
      <c r="N367" s="279"/>
      <c r="O367" s="279"/>
      <c r="P367" s="279"/>
      <c r="Q367" s="279"/>
      <c r="R367" s="279"/>
      <c r="S367" s="279"/>
      <c r="T367" s="279"/>
      <c r="U367" s="280"/>
      <c r="V367" s="103"/>
      <c r="W367" s="84">
        <f t="shared" si="152"/>
        <v>49</v>
      </c>
      <c r="X367" s="84"/>
      <c r="Y367" s="78">
        <f>SUM(E345:E367)</f>
        <v>48</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9"/>
      <c r="N368" s="279"/>
      <c r="O368" s="279"/>
      <c r="P368" s="279"/>
      <c r="Q368" s="279"/>
      <c r="R368" s="279"/>
      <c r="S368" s="279"/>
      <c r="T368" s="279"/>
      <c r="U368" s="280"/>
      <c r="V368" s="103"/>
      <c r="W368" s="84">
        <f t="shared" si="152"/>
        <v>49</v>
      </c>
      <c r="X368" s="84"/>
      <c r="Y368" s="78">
        <f>SUM(E345:E368)</f>
        <v>48</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9"/>
      <c r="N369" s="279"/>
      <c r="O369" s="279"/>
      <c r="P369" s="279"/>
      <c r="Q369" s="279"/>
      <c r="R369" s="279"/>
      <c r="S369" s="279"/>
      <c r="T369" s="279"/>
      <c r="U369" s="280"/>
      <c r="V369" s="103"/>
      <c r="W369" s="72"/>
      <c r="X369" s="72"/>
      <c r="Y369" s="78">
        <f>SUM(E345:E369)</f>
        <v>48</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0" t="s">
        <v>321</v>
      </c>
      <c r="C370" s="321"/>
      <c r="D370" s="79"/>
      <c r="E370" s="80"/>
      <c r="F370" s="80"/>
      <c r="G370" s="81"/>
      <c r="H370" s="192"/>
      <c r="I370" s="192"/>
      <c r="J370" s="192"/>
      <c r="K370" s="82"/>
      <c r="L370" s="320" t="s">
        <v>306</v>
      </c>
      <c r="M370" s="331"/>
      <c r="N370" s="331"/>
      <c r="O370" s="331"/>
      <c r="P370" s="331"/>
      <c r="Q370" s="331"/>
      <c r="R370" s="331"/>
      <c r="S370" s="331"/>
      <c r="T370" s="331"/>
      <c r="U370" s="321"/>
      <c r="V370" s="104"/>
      <c r="W370" s="72"/>
      <c r="X370" s="72"/>
      <c r="Y370" s="72"/>
      <c r="Z370" s="72"/>
      <c r="AA370" s="72" t="str">
        <f t="shared" si="151"/>
        <v/>
      </c>
      <c r="AB370" s="72"/>
      <c r="AC370" s="72">
        <f>SUM(AC345:AC369)</f>
        <v>25</v>
      </c>
      <c r="AD370" s="72">
        <f>SUM(AD345:AD369)</f>
        <v>19</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0" t="s">
        <v>307</v>
      </c>
      <c r="C371" s="321"/>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3" t="s">
        <v>222</v>
      </c>
      <c r="C375" s="314"/>
      <c r="D375" s="315" t="s">
        <v>223</v>
      </c>
      <c r="E375" s="306"/>
      <c r="F375" s="88"/>
      <c r="G375" s="316" t="s">
        <v>224</v>
      </c>
      <c r="H375" s="317"/>
      <c r="I375" s="28">
        <f>SUM(E386:E410)</f>
        <v>36</v>
      </c>
      <c r="J375" s="318" t="s">
        <v>225</v>
      </c>
      <c r="K375" s="319"/>
      <c r="L375" s="306"/>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6" t="s">
        <v>226</v>
      </c>
      <c r="AA375" s="297"/>
      <c r="AB375" s="298"/>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5" t="s">
        <v>230</v>
      </c>
      <c r="H376" s="306"/>
      <c r="I376" s="33">
        <f>E377-I375</f>
        <v>12</v>
      </c>
      <c r="J376" s="290" t="s">
        <v>231</v>
      </c>
      <c r="K376" s="291"/>
      <c r="L376" s="34">
        <f>I380</f>
        <v>13</v>
      </c>
      <c r="M376" s="196">
        <v>4</v>
      </c>
      <c r="N376" s="35">
        <f>SUM(AI376,AI387)</f>
        <v>0</v>
      </c>
      <c r="O376" s="35">
        <v>0</v>
      </c>
      <c r="P376" s="35">
        <f>SUM(AJ376,AJ387)</f>
        <v>4</v>
      </c>
      <c r="Q376" s="35">
        <v>0</v>
      </c>
      <c r="R376" s="35">
        <f>COUNTIFS($E386:$E410,"4",$F386:$F410,"Pole",$C386:$C410,"FST")</f>
        <v>4</v>
      </c>
      <c r="S376" s="35">
        <f>SUM(AL376,AK387)</f>
        <v>0</v>
      </c>
      <c r="T376" s="35">
        <v>0</v>
      </c>
      <c r="U376" s="35">
        <f>SUM(AK376,AL387)</f>
        <v>0</v>
      </c>
      <c r="V376" s="35">
        <v>0</v>
      </c>
      <c r="W376" s="34">
        <f>COUNTIFS($E386:$E410,"4",$F386:$F410,"HH",$C386:$C410,"FST")</f>
        <v>0</v>
      </c>
      <c r="X376" s="35">
        <f>COUNTIFS($E386:$E410,"4",$F386:$F410,"Ped",$C386:$C410,"FST")</f>
        <v>0</v>
      </c>
      <c r="Y376" s="25"/>
      <c r="Z376" s="299" t="s">
        <v>232</v>
      </c>
      <c r="AA376" s="301" t="s">
        <v>233</v>
      </c>
      <c r="AB376" s="302"/>
      <c r="AC376" s="25"/>
      <c r="AD376" s="25"/>
      <c r="AH376" s="109">
        <v>4</v>
      </c>
      <c r="AI376" s="109" t="str">
        <f>IF($E376="SS",COUNTIFS($C386:$C410,"FST",$E386:$E410,"4"),"0")</f>
        <v>0</v>
      </c>
      <c r="AJ376" s="109">
        <f>IF($E376="RPX",COUNTIFS($C386:$C410,"FST",$E386:$E410,"4"),"0")</f>
        <v>4</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48</v>
      </c>
      <c r="F377" s="88"/>
      <c r="G377" s="292" t="s">
        <v>237</v>
      </c>
      <c r="H377" s="293"/>
      <c r="I377" s="35">
        <f>IF(E377=0,0,12-(MOD(I375,12)))</f>
        <v>12</v>
      </c>
      <c r="J377" s="290" t="s">
        <v>238</v>
      </c>
      <c r="K377" s="291"/>
      <c r="L377" s="39">
        <f>I381-I375</f>
        <v>12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0"/>
      <c r="AA377" s="303"/>
      <c r="AB377" s="304"/>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2" t="s">
        <v>242</v>
      </c>
      <c r="H378" s="43" t="s">
        <v>243</v>
      </c>
      <c r="I378" s="35">
        <f>IF(E378&lt;&gt;0,1,0)</f>
        <v>1</v>
      </c>
      <c r="J378" s="292" t="s">
        <v>244</v>
      </c>
      <c r="K378" s="293"/>
      <c r="L378" s="44">
        <f>'Cable Calculator'!AW3</f>
        <v>1256</v>
      </c>
      <c r="M378" s="196">
        <v>8</v>
      </c>
      <c r="N378" s="35">
        <f>SUM(AI378,AI389)</f>
        <v>0</v>
      </c>
      <c r="O378" s="35">
        <v>0</v>
      </c>
      <c r="P378" s="35">
        <f>SUM(AJ378,AJ389)</f>
        <v>1</v>
      </c>
      <c r="Q378" s="35">
        <v>0</v>
      </c>
      <c r="R378" s="35">
        <f>COUNTIFS($E386:$E410,"8",$F386:$F410,"Pole",$C386:$C410,"FST")</f>
        <v>1</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1</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13</v>
      </c>
      <c r="F379" s="88"/>
      <c r="G379" s="323"/>
      <c r="H379" s="47" t="s">
        <v>248</v>
      </c>
      <c r="I379" s="35">
        <f>IF(E378&lt;&gt;0,E378,0)</f>
        <v>12</v>
      </c>
      <c r="J379" s="194"/>
      <c r="K379" s="195"/>
      <c r="L379" s="48"/>
      <c r="M379" s="196">
        <v>12</v>
      </c>
      <c r="N379" s="35" t="str">
        <f>IF($E376="SS",SUM(AI379,AJ390,AM411,AO411,AQ411),"0")</f>
        <v>0</v>
      </c>
      <c r="O379" s="35" t="str">
        <f>IF($E376="SS",SUM(AN411,AP411,AR411),"0")</f>
        <v>0</v>
      </c>
      <c r="P379" s="35">
        <f>IF($E376="RPX",SUM(AJ379,AJ390,AM411,AO411,AQ411),"0")</f>
        <v>1</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4</v>
      </c>
      <c r="F380" s="88"/>
      <c r="G380" s="322" t="s">
        <v>251</v>
      </c>
      <c r="H380" s="51" t="s">
        <v>252</v>
      </c>
      <c r="I380" s="112">
        <f>E379</f>
        <v>13</v>
      </c>
      <c r="J380" s="324" t="s">
        <v>253</v>
      </c>
      <c r="K380" s="325"/>
      <c r="L380" s="32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3"/>
      <c r="H381" s="47" t="s">
        <v>257</v>
      </c>
      <c r="I381" s="35">
        <f>IF(E379="","0",IF(AND(E376="EUC",E377=432), I380+(203-E378),IF(E379=0,0,(E379+(E377-E378)-1))))</f>
        <v>48</v>
      </c>
      <c r="J381" s="287" t="str">
        <f>IFERROR(IF(OR(E376="EUC",E376="SS"),"---",IF(OR(P375,S375),"NO 2F Tethers for RPX!",IF(OR(P377,S377),"NO 6F Tethers for RPX!","---"))),"---")</f>
        <v>---</v>
      </c>
      <c r="K381" s="288"/>
      <c r="L381" s="289"/>
      <c r="M381" s="287" t="str">
        <f>IF(E378&gt;60,"Dead Count &gt;60: Consider Downsize","---")</f>
        <v>---</v>
      </c>
      <c r="N381" s="288"/>
      <c r="O381" s="288"/>
      <c r="P381" s="288"/>
      <c r="Q381" s="288"/>
      <c r="R381" s="288"/>
      <c r="S381" s="288"/>
      <c r="T381" s="288"/>
      <c r="U381" s="289"/>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36</v>
      </c>
      <c r="D382" s="31" t="s">
        <v>259</v>
      </c>
      <c r="E382" s="101" t="str">
        <f>IF(AS376="Y","DBL",IF(AS377="Y","TRPL",IF(AS378="Y","QUAD","")))</f>
        <v/>
      </c>
      <c r="F382" s="88"/>
      <c r="G382" s="192"/>
      <c r="H382" s="57"/>
      <c r="I382" s="192"/>
      <c r="J382" s="287"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8"/>
      <c r="L382" s="289"/>
      <c r="M382" s="287" t="str">
        <f>IF(AND(OR(E376="SS",E376="RPX",E376="EUC",E376="RPX-T"),(OR(C386="",C386="Field SPL"))),"Cannot have FlexNap cables without tethers","---")</f>
        <v>---</v>
      </c>
      <c r="N382" s="288"/>
      <c r="O382" s="288"/>
      <c r="P382" s="288"/>
      <c r="Q382" s="288"/>
      <c r="R382" s="288"/>
      <c r="S382" s="288"/>
      <c r="T382" s="288"/>
      <c r="U382" s="289"/>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7" t="str">
        <f>IF(AND(OR(E376="RPX", E376="RPX-T", E376="SS"),E377=216),"NO 216 For RPX, RPX-T, OR SS CABLE","---")</f>
        <v>---</v>
      </c>
      <c r="K383" s="288"/>
      <c r="L383" s="289"/>
      <c r="M383" s="287" t="str" cm="1">
        <f t="array" ref="M383">IF(AND(E376="",OR(C386:C410="FST",C386:C410="REV T",C386:C410="DBL REV",C386:C410="TPL REV", C386:C410="QD REV")),"Non-FlexNap cables cannot have tethers","---")</f>
        <v>---</v>
      </c>
      <c r="N383" s="288"/>
      <c r="O383" s="288"/>
      <c r="P383" s="288"/>
      <c r="Q383" s="288"/>
      <c r="R383" s="288"/>
      <c r="S383" s="288"/>
      <c r="T383" s="288"/>
      <c r="U383" s="289"/>
      <c r="V383" s="25"/>
      <c r="W383" s="58"/>
      <c r="X383" s="58"/>
      <c r="Y383" s="25"/>
      <c r="Z383" s="45">
        <v>6</v>
      </c>
      <c r="AA383" s="65">
        <v>61</v>
      </c>
      <c r="AB383" s="65">
        <v>72</v>
      </c>
      <c r="AC383" s="25"/>
      <c r="AD383" s="25"/>
      <c r="BA383" s="226"/>
    </row>
    <row r="384" spans="1:53" ht="15.75" customHeight="1" thickBot="1" x14ac:dyDescent="0.3">
      <c r="A384" s="88"/>
      <c r="B384" s="322" t="s">
        <v>260</v>
      </c>
      <c r="C384" s="294" t="s">
        <v>261</v>
      </c>
      <c r="D384" s="294" t="s">
        <v>262</v>
      </c>
      <c r="E384" s="307" t="s">
        <v>263</v>
      </c>
      <c r="F384" s="294" t="s">
        <v>264</v>
      </c>
      <c r="G384" s="309" t="s">
        <v>265</v>
      </c>
      <c r="H384" s="309" t="s">
        <v>266</v>
      </c>
      <c r="I384" s="309" t="s">
        <v>267</v>
      </c>
      <c r="J384" s="311" t="s">
        <v>268</v>
      </c>
      <c r="K384" s="294" t="s">
        <v>269</v>
      </c>
      <c r="L384" s="281" t="s">
        <v>270</v>
      </c>
      <c r="M384" s="283" t="s">
        <v>271</v>
      </c>
      <c r="N384" s="283"/>
      <c r="O384" s="283"/>
      <c r="P384" s="283"/>
      <c r="Q384" s="283"/>
      <c r="R384" s="283"/>
      <c r="S384" s="283"/>
      <c r="T384" s="283"/>
      <c r="U384" s="284"/>
      <c r="V384" s="107"/>
      <c r="W384" s="72"/>
      <c r="X384" s="72"/>
      <c r="Y384" s="72"/>
      <c r="Z384" s="45">
        <v>7</v>
      </c>
      <c r="AA384" s="65">
        <v>73</v>
      </c>
      <c r="AB384" s="65">
        <v>84</v>
      </c>
      <c r="AC384" s="25"/>
      <c r="AD384" s="25"/>
      <c r="BA384" s="228"/>
    </row>
    <row r="385" spans="1:53" ht="15.75" thickBot="1" x14ac:dyDescent="0.3">
      <c r="A385" s="88"/>
      <c r="B385" s="323"/>
      <c r="C385" s="295"/>
      <c r="D385" s="295"/>
      <c r="E385" s="308"/>
      <c r="F385" s="295"/>
      <c r="G385" s="310"/>
      <c r="H385" s="310"/>
      <c r="I385" s="310"/>
      <c r="J385" s="312"/>
      <c r="K385" s="295"/>
      <c r="L385" s="282"/>
      <c r="M385" s="285"/>
      <c r="N385" s="285"/>
      <c r="O385" s="285"/>
      <c r="P385" s="285"/>
      <c r="Q385" s="285"/>
      <c r="R385" s="285"/>
      <c r="S385" s="285"/>
      <c r="T385" s="285"/>
      <c r="U385" s="28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766</v>
      </c>
      <c r="E386" s="32">
        <v>4</v>
      </c>
      <c r="F386" s="32" t="s">
        <v>483</v>
      </c>
      <c r="G386" s="68" t="s">
        <v>277</v>
      </c>
      <c r="H386" s="69">
        <f>IF(I386=0,0,I386-(E386-1))</f>
        <v>45</v>
      </c>
      <c r="I386" s="70">
        <f>IF(E386=0,0,I381)</f>
        <v>48</v>
      </c>
      <c r="J386" s="71" t="s">
        <v>278</v>
      </c>
      <c r="K386" s="32"/>
      <c r="L386" s="233"/>
      <c r="M386" s="279"/>
      <c r="N386" s="279"/>
      <c r="O386" s="279"/>
      <c r="P386" s="279"/>
      <c r="Q386" s="279"/>
      <c r="R386" s="279"/>
      <c r="S386" s="279"/>
      <c r="T386" s="279"/>
      <c r="U386" s="280"/>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45-48</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767</v>
      </c>
      <c r="E387" s="32">
        <v>8</v>
      </c>
      <c r="F387" s="32" t="s">
        <v>483</v>
      </c>
      <c r="G387" s="68" t="s">
        <v>277</v>
      </c>
      <c r="H387" s="69">
        <f t="shared" ref="H387:H410" si="162">IF(E387=0,0,I387-(E387-1))</f>
        <v>37</v>
      </c>
      <c r="I387" s="70">
        <f t="shared" ref="I387:I410" si="163">IF(E387=0,0,H386-1)</f>
        <v>44</v>
      </c>
      <c r="J387" s="73" t="str">
        <f>IF(C387="","--",IF(AND(C387&lt;&gt;"FST",C387&lt;&gt;"TCF",BA386&lt;&gt;0),BA386,"--"))</f>
        <v>--</v>
      </c>
      <c r="K387" s="32"/>
      <c r="L387" s="233"/>
      <c r="M387" s="279"/>
      <c r="N387" s="279"/>
      <c r="O387" s="279"/>
      <c r="P387" s="279"/>
      <c r="Q387" s="279"/>
      <c r="R387" s="279"/>
      <c r="S387" s="279"/>
      <c r="T387" s="279"/>
      <c r="U387" s="280"/>
      <c r="V387" s="103"/>
      <c r="W387" s="72"/>
      <c r="X387" s="72"/>
      <c r="Y387" s="72"/>
      <c r="Z387" s="45">
        <v>10</v>
      </c>
      <c r="AA387" s="46">
        <v>109</v>
      </c>
      <c r="AB387" s="46">
        <v>120</v>
      </c>
      <c r="AC387" s="72">
        <f t="shared" si="153"/>
        <v>1</v>
      </c>
      <c r="AD387" s="72">
        <f t="shared" si="154"/>
        <v>0</v>
      </c>
      <c r="AE387" s="109" t="str">
        <f t="shared" si="155"/>
        <v>37-44</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494</v>
      </c>
      <c r="D388" s="102"/>
      <c r="E388" s="32">
        <v>12</v>
      </c>
      <c r="F388" s="32"/>
      <c r="G388" s="75" t="s">
        <v>277</v>
      </c>
      <c r="H388" s="69">
        <f t="shared" si="162"/>
        <v>25</v>
      </c>
      <c r="I388" s="70">
        <f t="shared" si="163"/>
        <v>36</v>
      </c>
      <c r="J388" s="73" t="str">
        <f t="shared" ref="J388:J410" si="164">IF(C388="","--",IF(AND(C388&lt;&gt;"FST",C388&lt;&gt;"TCF",BA387&lt;&gt;0),BA387,"--"))</f>
        <v>--</v>
      </c>
      <c r="K388" s="32"/>
      <c r="L388" s="233"/>
      <c r="M388" s="279" t="s">
        <v>414</v>
      </c>
      <c r="N388" s="279"/>
      <c r="O388" s="279"/>
      <c r="P388" s="279"/>
      <c r="Q388" s="279"/>
      <c r="R388" s="279"/>
      <c r="S388" s="279"/>
      <c r="T388" s="279"/>
      <c r="U388" s="280"/>
      <c r="V388" s="103"/>
      <c r="W388" s="72"/>
      <c r="X388" s="72"/>
      <c r="Y388" s="72"/>
      <c r="Z388" s="45">
        <v>11</v>
      </c>
      <c r="AA388" s="46">
        <v>121</v>
      </c>
      <c r="AB388" s="46">
        <v>132</v>
      </c>
      <c r="AC388" s="72">
        <f t="shared" si="153"/>
        <v>1</v>
      </c>
      <c r="AD388" s="72">
        <f t="shared" si="154"/>
        <v>1</v>
      </c>
      <c r="AE388" s="109" t="str">
        <f t="shared" si="155"/>
        <v>25-36</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1</v>
      </c>
      <c r="AN388" s="109">
        <f t="shared" si="159"/>
        <v>0</v>
      </c>
      <c r="AO388" s="109" t="str">
        <f t="shared" si="160"/>
        <v/>
      </c>
      <c r="AQ388" s="109" t="str">
        <f t="shared" si="161"/>
        <v/>
      </c>
      <c r="BA388" s="229">
        <f>MOD(SUM(E386:E389),12)</f>
        <v>4</v>
      </c>
    </row>
    <row r="389" spans="1:53" ht="15.75" thickBot="1" x14ac:dyDescent="0.3">
      <c r="A389" s="88"/>
      <c r="B389" s="66" t="s">
        <v>281</v>
      </c>
      <c r="C389" s="67" t="s">
        <v>484</v>
      </c>
      <c r="D389" s="102" t="s">
        <v>768</v>
      </c>
      <c r="E389" s="32">
        <v>4</v>
      </c>
      <c r="F389" s="32" t="s">
        <v>483</v>
      </c>
      <c r="G389" s="68" t="s">
        <v>277</v>
      </c>
      <c r="H389" s="69">
        <f t="shared" si="162"/>
        <v>21</v>
      </c>
      <c r="I389" s="70">
        <f t="shared" si="163"/>
        <v>24</v>
      </c>
      <c r="J389" s="73" t="str">
        <f t="shared" si="164"/>
        <v>--</v>
      </c>
      <c r="K389" s="32"/>
      <c r="L389" s="233"/>
      <c r="M389" s="279"/>
      <c r="N389" s="279"/>
      <c r="O389" s="279"/>
      <c r="P389" s="279"/>
      <c r="Q389" s="279"/>
      <c r="R389" s="279"/>
      <c r="S389" s="279"/>
      <c r="T389" s="279"/>
      <c r="U389" s="280"/>
      <c r="V389" s="103"/>
      <c r="W389" s="72"/>
      <c r="X389" s="72"/>
      <c r="Y389" s="72"/>
      <c r="Z389" s="45">
        <v>12</v>
      </c>
      <c r="AA389" s="76">
        <v>133</v>
      </c>
      <c r="AB389" s="76">
        <v>144</v>
      </c>
      <c r="AC389" s="72">
        <f t="shared" si="153"/>
        <v>1</v>
      </c>
      <c r="AD389" s="72">
        <f t="shared" si="154"/>
        <v>0</v>
      </c>
      <c r="AE389" s="109" t="str">
        <f t="shared" si="155"/>
        <v>21-24</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8</v>
      </c>
    </row>
    <row r="390" spans="1:53" ht="15.75" thickBot="1" x14ac:dyDescent="0.3">
      <c r="A390" s="88"/>
      <c r="B390" s="66" t="s">
        <v>282</v>
      </c>
      <c r="C390" s="67" t="s">
        <v>484</v>
      </c>
      <c r="D390" s="102" t="s">
        <v>769</v>
      </c>
      <c r="E390" s="32">
        <v>4</v>
      </c>
      <c r="F390" s="32" t="s">
        <v>483</v>
      </c>
      <c r="G390" s="68" t="s">
        <v>277</v>
      </c>
      <c r="H390" s="69">
        <f t="shared" si="162"/>
        <v>17</v>
      </c>
      <c r="I390" s="70">
        <f t="shared" si="163"/>
        <v>20</v>
      </c>
      <c r="J390" s="73" t="str">
        <f t="shared" si="164"/>
        <v>--</v>
      </c>
      <c r="K390" s="32"/>
      <c r="L390" s="233"/>
      <c r="M390" s="279"/>
      <c r="N390" s="279"/>
      <c r="O390" s="279"/>
      <c r="P390" s="279"/>
      <c r="Q390" s="279"/>
      <c r="R390" s="279"/>
      <c r="S390" s="279"/>
      <c r="T390" s="279"/>
      <c r="U390" s="280"/>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17-20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770</v>
      </c>
      <c r="E391" s="32">
        <v>4</v>
      </c>
      <c r="F391" s="32" t="s">
        <v>483</v>
      </c>
      <c r="G391" s="68" t="s">
        <v>277</v>
      </c>
      <c r="H391" s="69">
        <f t="shared" si="162"/>
        <v>13</v>
      </c>
      <c r="I391" s="70">
        <f t="shared" si="163"/>
        <v>16</v>
      </c>
      <c r="J391" s="73" t="str">
        <f t="shared" si="164"/>
        <v>--</v>
      </c>
      <c r="K391" s="32"/>
      <c r="L391" s="233"/>
      <c r="M391" s="279"/>
      <c r="N391" s="279"/>
      <c r="O391" s="279"/>
      <c r="P391" s="279"/>
      <c r="Q391" s="279"/>
      <c r="R391" s="279"/>
      <c r="S391" s="279"/>
      <c r="T391" s="279"/>
      <c r="U391" s="280"/>
      <c r="V391" s="103"/>
      <c r="W391" s="72"/>
      <c r="X391" s="72"/>
      <c r="Y391" s="72"/>
      <c r="Z391" s="45">
        <v>14</v>
      </c>
      <c r="AA391" s="77">
        <f t="shared" si="165"/>
        <v>157</v>
      </c>
      <c r="AB391" s="77">
        <f t="shared" si="166"/>
        <v>168</v>
      </c>
      <c r="AC391" s="72">
        <f t="shared" si="153"/>
        <v>1</v>
      </c>
      <c r="AD391" s="72">
        <f t="shared" si="154"/>
        <v>0</v>
      </c>
      <c r="AE391" s="109" t="str">
        <f t="shared" si="155"/>
        <v>13-16</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9"/>
      <c r="N392" s="279"/>
      <c r="O392" s="279"/>
      <c r="P392" s="279"/>
      <c r="Q392" s="279"/>
      <c r="R392" s="279"/>
      <c r="S392" s="279"/>
      <c r="T392" s="279"/>
      <c r="U392" s="280"/>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9"/>
      <c r="N393" s="279"/>
      <c r="O393" s="279"/>
      <c r="P393" s="279"/>
      <c r="Q393" s="279"/>
      <c r="R393" s="279"/>
      <c r="S393" s="279"/>
      <c r="T393" s="279"/>
      <c r="U393" s="280"/>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9"/>
      <c r="N394" s="279"/>
      <c r="O394" s="279"/>
      <c r="P394" s="279"/>
      <c r="Q394" s="279"/>
      <c r="R394" s="279"/>
      <c r="S394" s="279"/>
      <c r="T394" s="279"/>
      <c r="U394" s="280"/>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9"/>
      <c r="N395" s="279"/>
      <c r="O395" s="279"/>
      <c r="P395" s="279"/>
      <c r="Q395" s="279"/>
      <c r="R395" s="279"/>
      <c r="S395" s="279"/>
      <c r="T395" s="279"/>
      <c r="U395" s="280"/>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9"/>
      <c r="N396" s="279"/>
      <c r="O396" s="279"/>
      <c r="P396" s="279"/>
      <c r="Q396" s="279"/>
      <c r="R396" s="279"/>
      <c r="S396" s="279"/>
      <c r="T396" s="279"/>
      <c r="U396" s="280"/>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9"/>
      <c r="N397" s="279"/>
      <c r="O397" s="279"/>
      <c r="P397" s="279"/>
      <c r="Q397" s="279"/>
      <c r="R397" s="279"/>
      <c r="S397" s="279"/>
      <c r="T397" s="279"/>
      <c r="U397" s="280"/>
      <c r="V397" s="103"/>
      <c r="W397" s="84">
        <f>Y397+1</f>
        <v>37</v>
      </c>
      <c r="X397" s="84"/>
      <c r="Y397" s="78">
        <f>SUM(E386:E397)</f>
        <v>36</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9"/>
      <c r="N398" s="279"/>
      <c r="O398" s="279"/>
      <c r="P398" s="279"/>
      <c r="Q398" s="279"/>
      <c r="R398" s="279"/>
      <c r="S398" s="279"/>
      <c r="T398" s="279"/>
      <c r="U398" s="280"/>
      <c r="V398" s="103"/>
      <c r="W398" s="84">
        <f>Y398+1</f>
        <v>37</v>
      </c>
      <c r="X398" s="84"/>
      <c r="Y398" s="78">
        <f>SUM(E386:E398)</f>
        <v>36</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9"/>
      <c r="N399" s="279"/>
      <c r="O399" s="279"/>
      <c r="P399" s="279"/>
      <c r="Q399" s="279"/>
      <c r="R399" s="279"/>
      <c r="S399" s="279"/>
      <c r="T399" s="279"/>
      <c r="U399" s="280"/>
      <c r="V399" s="103"/>
      <c r="W399" s="84">
        <f>Y399+1</f>
        <v>37</v>
      </c>
      <c r="X399" s="84"/>
      <c r="Y399" s="78">
        <f>SUM(E386:E399)</f>
        <v>36</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9"/>
      <c r="N400" s="279"/>
      <c r="O400" s="279"/>
      <c r="P400" s="279"/>
      <c r="Q400" s="279"/>
      <c r="R400" s="279"/>
      <c r="S400" s="279"/>
      <c r="T400" s="279"/>
      <c r="U400" s="280"/>
      <c r="V400" s="103"/>
      <c r="W400" s="84">
        <f>Y400+1</f>
        <v>37</v>
      </c>
      <c r="X400" s="84"/>
      <c r="Y400" s="78">
        <f>SUM(E386:E400)</f>
        <v>36</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9"/>
      <c r="N401" s="279"/>
      <c r="O401" s="279"/>
      <c r="P401" s="279"/>
      <c r="Q401" s="279"/>
      <c r="R401" s="279"/>
      <c r="S401" s="279"/>
      <c r="T401" s="279"/>
      <c r="U401" s="280"/>
      <c r="V401" s="103"/>
      <c r="W401" s="84">
        <f t="shared" ref="W401:W409" si="169">Y401+1</f>
        <v>37</v>
      </c>
      <c r="X401" s="84"/>
      <c r="Y401" s="78">
        <f>SUM(E386:E401)</f>
        <v>36</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9"/>
      <c r="N402" s="279"/>
      <c r="O402" s="279"/>
      <c r="P402" s="279"/>
      <c r="Q402" s="279"/>
      <c r="R402" s="279"/>
      <c r="S402" s="279"/>
      <c r="T402" s="279"/>
      <c r="U402" s="280"/>
      <c r="V402" s="103"/>
      <c r="W402" s="84">
        <f t="shared" si="169"/>
        <v>37</v>
      </c>
      <c r="X402" s="84"/>
      <c r="Y402" s="78">
        <f>SUM(E386:E402)</f>
        <v>36</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9"/>
      <c r="N403" s="279"/>
      <c r="O403" s="279"/>
      <c r="P403" s="279"/>
      <c r="Q403" s="279"/>
      <c r="R403" s="279"/>
      <c r="S403" s="279"/>
      <c r="T403" s="279"/>
      <c r="U403" s="280"/>
      <c r="V403" s="103"/>
      <c r="W403" s="84">
        <f t="shared" si="169"/>
        <v>37</v>
      </c>
      <c r="X403" s="84"/>
      <c r="Y403" s="78">
        <f>SUM(E386:E403)</f>
        <v>36</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9"/>
      <c r="N404" s="279"/>
      <c r="O404" s="279"/>
      <c r="P404" s="279"/>
      <c r="Q404" s="279"/>
      <c r="R404" s="279"/>
      <c r="S404" s="279"/>
      <c r="T404" s="279"/>
      <c r="U404" s="280"/>
      <c r="V404" s="103"/>
      <c r="W404" s="84">
        <f t="shared" si="169"/>
        <v>37</v>
      </c>
      <c r="X404" s="84"/>
      <c r="Y404" s="78">
        <f>SUM(E386:E404)</f>
        <v>36</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9"/>
      <c r="N405" s="279"/>
      <c r="O405" s="279"/>
      <c r="P405" s="279"/>
      <c r="Q405" s="279"/>
      <c r="R405" s="279"/>
      <c r="S405" s="279"/>
      <c r="T405" s="279"/>
      <c r="U405" s="280"/>
      <c r="V405" s="103"/>
      <c r="W405" s="84">
        <f t="shared" si="169"/>
        <v>37</v>
      </c>
      <c r="X405" s="84"/>
      <c r="Y405" s="78">
        <f>SUM(E386:E405)</f>
        <v>36</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9"/>
      <c r="N406" s="279"/>
      <c r="O406" s="279"/>
      <c r="P406" s="279"/>
      <c r="Q406" s="279"/>
      <c r="R406" s="279"/>
      <c r="S406" s="279"/>
      <c r="T406" s="279"/>
      <c r="U406" s="280"/>
      <c r="V406" s="103"/>
      <c r="W406" s="84">
        <f t="shared" si="169"/>
        <v>37</v>
      </c>
      <c r="X406" s="84"/>
      <c r="Y406" s="78">
        <f>SUM(E386:E406)</f>
        <v>36</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9"/>
      <c r="N407" s="279"/>
      <c r="O407" s="279"/>
      <c r="P407" s="279"/>
      <c r="Q407" s="279"/>
      <c r="R407" s="279"/>
      <c r="S407" s="279"/>
      <c r="T407" s="279"/>
      <c r="U407" s="280"/>
      <c r="V407" s="103"/>
      <c r="W407" s="84">
        <f t="shared" si="169"/>
        <v>37</v>
      </c>
      <c r="X407" s="84"/>
      <c r="Y407" s="78">
        <f>SUM(E386:E407)</f>
        <v>36</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9"/>
      <c r="N408" s="279"/>
      <c r="O408" s="279"/>
      <c r="P408" s="279"/>
      <c r="Q408" s="279"/>
      <c r="R408" s="279"/>
      <c r="S408" s="279"/>
      <c r="T408" s="279"/>
      <c r="U408" s="280"/>
      <c r="V408" s="103"/>
      <c r="W408" s="84">
        <f t="shared" si="169"/>
        <v>37</v>
      </c>
      <c r="X408" s="84"/>
      <c r="Y408" s="78">
        <f>SUM(E386:E408)</f>
        <v>36</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9"/>
      <c r="N409" s="279"/>
      <c r="O409" s="279"/>
      <c r="P409" s="279"/>
      <c r="Q409" s="279"/>
      <c r="R409" s="279"/>
      <c r="S409" s="279"/>
      <c r="T409" s="279"/>
      <c r="U409" s="280"/>
      <c r="V409" s="103"/>
      <c r="W409" s="84">
        <f t="shared" si="169"/>
        <v>37</v>
      </c>
      <c r="X409" s="84"/>
      <c r="Y409" s="78">
        <f>SUM(E386:E409)</f>
        <v>36</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9"/>
      <c r="N410" s="279"/>
      <c r="O410" s="279"/>
      <c r="P410" s="279"/>
      <c r="Q410" s="279"/>
      <c r="R410" s="279"/>
      <c r="S410" s="279"/>
      <c r="T410" s="279"/>
      <c r="U410" s="280"/>
      <c r="V410" s="103"/>
      <c r="W410" s="72"/>
      <c r="X410" s="72"/>
      <c r="Y410" s="78">
        <f>SUM(E386:E410)</f>
        <v>36</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320" t="s">
        <v>323</v>
      </c>
      <c r="C411" s="321"/>
      <c r="D411" s="79"/>
      <c r="E411" s="80"/>
      <c r="F411" s="80"/>
      <c r="G411" s="81"/>
      <c r="H411" s="192"/>
      <c r="I411" s="192"/>
      <c r="J411" s="192"/>
      <c r="K411" s="82"/>
      <c r="L411" s="320" t="s">
        <v>306</v>
      </c>
      <c r="M411" s="331"/>
      <c r="N411" s="331"/>
      <c r="O411" s="331"/>
      <c r="P411" s="331"/>
      <c r="Q411" s="331"/>
      <c r="R411" s="331"/>
      <c r="S411" s="331"/>
      <c r="T411" s="331"/>
      <c r="U411" s="321"/>
      <c r="V411" s="104"/>
      <c r="W411" s="72"/>
      <c r="X411" s="72"/>
      <c r="Y411" s="72"/>
      <c r="Z411" s="72"/>
      <c r="AA411" s="72" t="str">
        <f t="shared" si="168"/>
        <v/>
      </c>
      <c r="AB411" s="72"/>
      <c r="AC411" s="72">
        <f>SUM(AC386:AC410)</f>
        <v>25</v>
      </c>
      <c r="AD411" s="72">
        <f>SUM(AD386:AD410)</f>
        <v>20</v>
      </c>
      <c r="AM411" s="109">
        <f>SUM(AM386:AM410)</f>
        <v>1</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0" t="s">
        <v>307</v>
      </c>
      <c r="C412" s="321"/>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3" t="s">
        <v>222</v>
      </c>
      <c r="C416" s="314"/>
      <c r="D416" s="315" t="s">
        <v>223</v>
      </c>
      <c r="E416" s="306"/>
      <c r="F416" s="88"/>
      <c r="G416" s="316" t="s">
        <v>224</v>
      </c>
      <c r="H416" s="317"/>
      <c r="I416" s="28">
        <f>SUM(E427:E451)</f>
        <v>24</v>
      </c>
      <c r="J416" s="318" t="s">
        <v>225</v>
      </c>
      <c r="K416" s="319"/>
      <c r="L416" s="306"/>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6" t="s">
        <v>226</v>
      </c>
      <c r="AA416" s="297"/>
      <c r="AB416" s="298"/>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5" t="s">
        <v>230</v>
      </c>
      <c r="H417" s="306"/>
      <c r="I417" s="33">
        <f>E418-I416</f>
        <v>0</v>
      </c>
      <c r="J417" s="290" t="s">
        <v>231</v>
      </c>
      <c r="K417" s="291"/>
      <c r="L417" s="34">
        <f>I421</f>
        <v>49</v>
      </c>
      <c r="M417" s="196">
        <v>4</v>
      </c>
      <c r="N417" s="35">
        <f>SUM(AI417,AI428)</f>
        <v>0</v>
      </c>
      <c r="O417" s="35">
        <v>0</v>
      </c>
      <c r="P417" s="35">
        <f>SUM(AJ417,AJ428)</f>
        <v>6</v>
      </c>
      <c r="Q417" s="35">
        <v>0</v>
      </c>
      <c r="R417" s="35">
        <f>COUNTIFS($E427:$E451,"4",$F427:$F451,"Pole",$C427:$C451,"FST")</f>
        <v>6</v>
      </c>
      <c r="S417" s="35">
        <f>SUM(AL417,AK428)</f>
        <v>0</v>
      </c>
      <c r="T417" s="35">
        <v>0</v>
      </c>
      <c r="U417" s="35">
        <f>SUM(AK417,AL428)</f>
        <v>0</v>
      </c>
      <c r="V417" s="35">
        <v>0</v>
      </c>
      <c r="W417" s="34">
        <f>COUNTIFS($E427:$E451,"4",$F427:$F451,"HH",$C427:$C451,"FST")</f>
        <v>0</v>
      </c>
      <c r="X417" s="35">
        <f>COUNTIFS($E427:$E451,"4",$F427:$F451,"Ped",$C427:$C451,"FST")</f>
        <v>0</v>
      </c>
      <c r="Y417" s="25"/>
      <c r="Z417" s="299" t="s">
        <v>232</v>
      </c>
      <c r="AA417" s="301" t="s">
        <v>233</v>
      </c>
      <c r="AB417" s="302"/>
      <c r="AC417" s="25"/>
      <c r="AD417" s="25"/>
      <c r="AH417" s="109">
        <v>4</v>
      </c>
      <c r="AI417" s="109" t="str">
        <f>IF($E417="SS",COUNTIFS($C427:$C451,"FST",$E427:$E451,"4"),"0")</f>
        <v>0</v>
      </c>
      <c r="AJ417" s="109">
        <f>IF($E417="RPX",COUNTIFS($C427:$C451,"FST",$E427:$E451,"4"),"0")</f>
        <v>6</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2" t="s">
        <v>237</v>
      </c>
      <c r="H418" s="293"/>
      <c r="I418" s="35">
        <f>IF(E418=0,0,12-(MOD(I416,12)))</f>
        <v>12</v>
      </c>
      <c r="J418" s="290" t="s">
        <v>238</v>
      </c>
      <c r="K418" s="291"/>
      <c r="L418" s="39">
        <f>I422-I416</f>
        <v>48</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0"/>
      <c r="AA418" s="303"/>
      <c r="AB418" s="304"/>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2" t="s">
        <v>242</v>
      </c>
      <c r="H419" s="43" t="s">
        <v>243</v>
      </c>
      <c r="I419" s="35">
        <f>IF(E419&lt;&gt;0,1,0)</f>
        <v>0</v>
      </c>
      <c r="J419" s="292" t="s">
        <v>244</v>
      </c>
      <c r="K419" s="293"/>
      <c r="L419" s="44">
        <f>'Cable Calculator'!BB3</f>
        <v>1213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49</v>
      </c>
      <c r="F420" s="88"/>
      <c r="G420" s="323"/>
      <c r="H420" s="47" t="s">
        <v>248</v>
      </c>
      <c r="I420" s="35">
        <f>IF(E419&lt;&gt;0,E419,0)</f>
        <v>0</v>
      </c>
      <c r="J420" s="194"/>
      <c r="K420" s="195"/>
      <c r="L420" s="48"/>
      <c r="M420" s="196">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2" t="s">
        <v>251</v>
      </c>
      <c r="H421" s="51" t="s">
        <v>252</v>
      </c>
      <c r="I421" s="112">
        <f>E420</f>
        <v>49</v>
      </c>
      <c r="J421" s="324" t="s">
        <v>253</v>
      </c>
      <c r="K421" s="325"/>
      <c r="L421" s="32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3"/>
      <c r="H422" s="47" t="s">
        <v>257</v>
      </c>
      <c r="I422" s="35">
        <f>IF(E420="","0",IF(AND(E417="EUC",E418=432), I421+(203-E419),IF(E420=0,0,(E420+(E418-E419)-1))))</f>
        <v>72</v>
      </c>
      <c r="J422" s="287" t="str">
        <f>IFERROR(IF(OR(E417="EUC",E417="SS"),"---",IF(OR(P416,S416),"NO 2F Tethers for RPX!",IF(OR(P418,S418),"NO 6F Tethers for RPX!","---"))),"---")</f>
        <v>---</v>
      </c>
      <c r="K422" s="288"/>
      <c r="L422" s="289"/>
      <c r="M422" s="287" t="str">
        <f>IF(E419&gt;60,"Dead Count &gt;60: Consider Downsize","---")</f>
        <v>---</v>
      </c>
      <c r="N422" s="288"/>
      <c r="O422" s="288"/>
      <c r="P422" s="288"/>
      <c r="Q422" s="288"/>
      <c r="R422" s="288"/>
      <c r="S422" s="288"/>
      <c r="T422" s="288"/>
      <c r="U422" s="289"/>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87"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8"/>
      <c r="L423" s="289"/>
      <c r="M423" s="287" t="str">
        <f>IF(AND(OR(E417="SS",E417="RPX",E417="EUC",E417="RPX-T"),(OR(C427="",C427="Field SPL"))),"Cannot have FlexNap cables without tethers","---")</f>
        <v>---</v>
      </c>
      <c r="N423" s="288"/>
      <c r="O423" s="288"/>
      <c r="P423" s="288"/>
      <c r="Q423" s="288"/>
      <c r="R423" s="288"/>
      <c r="S423" s="288"/>
      <c r="T423" s="288"/>
      <c r="U423" s="289"/>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7" t="str">
        <f>IF(AND(OR(E417="RPX", E417="RPX-T", E417="SS"),E418=216),"NO 216 For RPX, RPX-T, OR SS CABLE","---")</f>
        <v>---</v>
      </c>
      <c r="K424" s="288"/>
      <c r="L424" s="289"/>
      <c r="M424" s="287" t="str" cm="1">
        <f t="array" ref="M424">IF(AND(E417="",OR(C427:C451="FST",C427:C451="REV T",C427:C451="DBL REV",C427:C451="TPL REV", C427:C451="QD REV")),"Non-FlexNap cables cannot have tethers","---")</f>
        <v>---</v>
      </c>
      <c r="N424" s="288"/>
      <c r="O424" s="288"/>
      <c r="P424" s="288"/>
      <c r="Q424" s="288"/>
      <c r="R424" s="288"/>
      <c r="S424" s="288"/>
      <c r="T424" s="288"/>
      <c r="U424" s="289"/>
      <c r="V424" s="25"/>
      <c r="W424" s="58"/>
      <c r="X424" s="58"/>
      <c r="Y424" s="25"/>
      <c r="Z424" s="45">
        <v>6</v>
      </c>
      <c r="AA424" s="65">
        <v>61</v>
      </c>
      <c r="AB424" s="65">
        <v>72</v>
      </c>
      <c r="AC424" s="25"/>
      <c r="AD424" s="25"/>
      <c r="BA424" s="226"/>
    </row>
    <row r="425" spans="1:53" ht="15.75" customHeight="1" thickBot="1" x14ac:dyDescent="0.3">
      <c r="A425" s="88"/>
      <c r="B425" s="322" t="s">
        <v>260</v>
      </c>
      <c r="C425" s="294" t="s">
        <v>261</v>
      </c>
      <c r="D425" s="294" t="s">
        <v>262</v>
      </c>
      <c r="E425" s="307" t="s">
        <v>263</v>
      </c>
      <c r="F425" s="294" t="s">
        <v>264</v>
      </c>
      <c r="G425" s="309" t="s">
        <v>265</v>
      </c>
      <c r="H425" s="309" t="s">
        <v>266</v>
      </c>
      <c r="I425" s="309" t="s">
        <v>267</v>
      </c>
      <c r="J425" s="311" t="s">
        <v>268</v>
      </c>
      <c r="K425" s="294" t="s">
        <v>269</v>
      </c>
      <c r="L425" s="281" t="s">
        <v>270</v>
      </c>
      <c r="M425" s="283" t="s">
        <v>271</v>
      </c>
      <c r="N425" s="283"/>
      <c r="O425" s="283"/>
      <c r="P425" s="283"/>
      <c r="Q425" s="283"/>
      <c r="R425" s="283"/>
      <c r="S425" s="283"/>
      <c r="T425" s="283"/>
      <c r="U425" s="284"/>
      <c r="V425" s="107"/>
      <c r="W425" s="72"/>
      <c r="X425" s="72"/>
      <c r="Y425" s="72"/>
      <c r="Z425" s="45">
        <v>7</v>
      </c>
      <c r="AA425" s="65">
        <v>73</v>
      </c>
      <c r="AB425" s="65">
        <v>84</v>
      </c>
      <c r="AC425" s="25"/>
      <c r="AD425" s="25"/>
      <c r="BA425" s="228"/>
    </row>
    <row r="426" spans="1:53" ht="15.75" thickBot="1" x14ac:dyDescent="0.3">
      <c r="A426" s="88"/>
      <c r="B426" s="323"/>
      <c r="C426" s="295"/>
      <c r="D426" s="295"/>
      <c r="E426" s="308"/>
      <c r="F426" s="295"/>
      <c r="G426" s="310"/>
      <c r="H426" s="310"/>
      <c r="I426" s="310"/>
      <c r="J426" s="312"/>
      <c r="K426" s="295"/>
      <c r="L426" s="282"/>
      <c r="M426" s="285"/>
      <c r="N426" s="285"/>
      <c r="O426" s="285"/>
      <c r="P426" s="285"/>
      <c r="Q426" s="285"/>
      <c r="R426" s="285"/>
      <c r="S426" s="285"/>
      <c r="T426" s="285"/>
      <c r="U426" s="28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787</v>
      </c>
      <c r="E427" s="32">
        <v>4</v>
      </c>
      <c r="F427" s="32" t="s">
        <v>483</v>
      </c>
      <c r="G427" s="68" t="s">
        <v>277</v>
      </c>
      <c r="H427" s="69">
        <f>IF(I427=0,0,I427-(E427-1))</f>
        <v>69</v>
      </c>
      <c r="I427" s="70">
        <f>IF(E427=0,0,I422)</f>
        <v>72</v>
      </c>
      <c r="J427" s="71" t="s">
        <v>278</v>
      </c>
      <c r="K427" s="32"/>
      <c r="L427" s="233"/>
      <c r="M427" s="279"/>
      <c r="N427" s="279"/>
      <c r="O427" s="279"/>
      <c r="P427" s="279"/>
      <c r="Q427" s="279"/>
      <c r="R427" s="279"/>
      <c r="S427" s="279"/>
      <c r="T427" s="279"/>
      <c r="U427" s="280"/>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69-72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782</v>
      </c>
      <c r="E428" s="32">
        <v>4</v>
      </c>
      <c r="F428" s="32" t="s">
        <v>483</v>
      </c>
      <c r="G428" s="68" t="s">
        <v>277</v>
      </c>
      <c r="H428" s="69">
        <f t="shared" ref="H428:H451" si="179">IF(E428=0,0,I428-(E428-1))</f>
        <v>65</v>
      </c>
      <c r="I428" s="70">
        <f t="shared" ref="I428:I451" si="180">IF(E428=0,0,H427-1)</f>
        <v>68</v>
      </c>
      <c r="J428" s="73" t="str">
        <f>IF(C428="","--",IF(AND(C428&lt;&gt;"FST",C428&lt;&gt;"TCF",BA427&lt;&gt;0),BA427,"--"))</f>
        <v>--</v>
      </c>
      <c r="K428" s="32"/>
      <c r="L428" s="233"/>
      <c r="M428" s="279"/>
      <c r="N428" s="279"/>
      <c r="O428" s="279"/>
      <c r="P428" s="279"/>
      <c r="Q428" s="279"/>
      <c r="R428" s="279"/>
      <c r="S428" s="279"/>
      <c r="T428" s="279"/>
      <c r="U428" s="280"/>
      <c r="V428" s="103"/>
      <c r="W428" s="72"/>
      <c r="X428" s="72"/>
      <c r="Y428" s="72"/>
      <c r="Z428" s="45">
        <v>10</v>
      </c>
      <c r="AA428" s="46">
        <v>109</v>
      </c>
      <c r="AB428" s="46">
        <v>120</v>
      </c>
      <c r="AC428" s="72">
        <f t="shared" si="170"/>
        <v>1</v>
      </c>
      <c r="AD428" s="72">
        <f t="shared" si="171"/>
        <v>0</v>
      </c>
      <c r="AE428" s="109" t="str">
        <f t="shared" si="172"/>
        <v>65-68</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783</v>
      </c>
      <c r="E429" s="32">
        <v>4</v>
      </c>
      <c r="F429" s="32" t="s">
        <v>483</v>
      </c>
      <c r="G429" s="75" t="s">
        <v>277</v>
      </c>
      <c r="H429" s="69">
        <f t="shared" si="179"/>
        <v>61</v>
      </c>
      <c r="I429" s="70">
        <f t="shared" si="180"/>
        <v>64</v>
      </c>
      <c r="J429" s="73" t="str">
        <f t="shared" ref="J429:J451" si="181">IF(C429="","--",IF(AND(C429&lt;&gt;"FST",C429&lt;&gt;"TCF",BA428&lt;&gt;0),BA428,"--"))</f>
        <v>--</v>
      </c>
      <c r="K429" s="32"/>
      <c r="L429" s="233"/>
      <c r="M429" s="279"/>
      <c r="N429" s="279"/>
      <c r="O429" s="279"/>
      <c r="P429" s="279"/>
      <c r="Q429" s="279"/>
      <c r="R429" s="279"/>
      <c r="S429" s="279"/>
      <c r="T429" s="279"/>
      <c r="U429" s="280"/>
      <c r="V429" s="103"/>
      <c r="W429" s="72"/>
      <c r="X429" s="72"/>
      <c r="Y429" s="72"/>
      <c r="Z429" s="45">
        <v>11</v>
      </c>
      <c r="AA429" s="46">
        <v>121</v>
      </c>
      <c r="AB429" s="46">
        <v>132</v>
      </c>
      <c r="AC429" s="72">
        <f t="shared" si="170"/>
        <v>1</v>
      </c>
      <c r="AD429" s="72">
        <f t="shared" si="171"/>
        <v>0</v>
      </c>
      <c r="AE429" s="109" t="str">
        <f t="shared" si="172"/>
        <v>61-64</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4</v>
      </c>
    </row>
    <row r="430" spans="1:53" ht="15.75" thickBot="1" x14ac:dyDescent="0.3">
      <c r="A430" s="88"/>
      <c r="B430" s="66" t="s">
        <v>281</v>
      </c>
      <c r="C430" s="67" t="s">
        <v>484</v>
      </c>
      <c r="D430" s="102" t="s">
        <v>784</v>
      </c>
      <c r="E430" s="32">
        <v>4</v>
      </c>
      <c r="F430" s="32" t="s">
        <v>483</v>
      </c>
      <c r="G430" s="68" t="s">
        <v>277</v>
      </c>
      <c r="H430" s="69">
        <f t="shared" si="179"/>
        <v>57</v>
      </c>
      <c r="I430" s="70">
        <f t="shared" si="180"/>
        <v>60</v>
      </c>
      <c r="J430" s="73" t="str">
        <f t="shared" si="181"/>
        <v>--</v>
      </c>
      <c r="K430" s="32"/>
      <c r="L430" s="233"/>
      <c r="M430" s="279"/>
      <c r="N430" s="279"/>
      <c r="O430" s="279"/>
      <c r="P430" s="279"/>
      <c r="Q430" s="279"/>
      <c r="R430" s="279"/>
      <c r="S430" s="279"/>
      <c r="T430" s="279"/>
      <c r="U430" s="280"/>
      <c r="V430" s="103"/>
      <c r="W430" s="72"/>
      <c r="X430" s="72"/>
      <c r="Y430" s="72"/>
      <c r="Z430" s="45">
        <v>12</v>
      </c>
      <c r="AA430" s="76">
        <v>133</v>
      </c>
      <c r="AB430" s="76">
        <v>144</v>
      </c>
      <c r="AC430" s="72">
        <f t="shared" si="170"/>
        <v>1</v>
      </c>
      <c r="AD430" s="72">
        <f t="shared" si="171"/>
        <v>0</v>
      </c>
      <c r="AE430" s="109" t="str">
        <f t="shared" si="172"/>
        <v>57-60</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8</v>
      </c>
    </row>
    <row r="431" spans="1:53" ht="15.75" thickBot="1" x14ac:dyDescent="0.3">
      <c r="A431" s="88"/>
      <c r="B431" s="66" t="s">
        <v>282</v>
      </c>
      <c r="C431" s="67" t="s">
        <v>484</v>
      </c>
      <c r="D431" s="102" t="s">
        <v>785</v>
      </c>
      <c r="E431" s="32">
        <v>4</v>
      </c>
      <c r="F431" s="32" t="s">
        <v>483</v>
      </c>
      <c r="G431" s="68" t="s">
        <v>277</v>
      </c>
      <c r="H431" s="69">
        <f t="shared" si="179"/>
        <v>53</v>
      </c>
      <c r="I431" s="70">
        <f t="shared" si="180"/>
        <v>56</v>
      </c>
      <c r="J431" s="73" t="str">
        <f t="shared" si="181"/>
        <v>--</v>
      </c>
      <c r="K431" s="32"/>
      <c r="L431" s="233"/>
      <c r="M431" s="279"/>
      <c r="N431" s="279"/>
      <c r="O431" s="279"/>
      <c r="P431" s="279"/>
      <c r="Q431" s="279"/>
      <c r="R431" s="279"/>
      <c r="S431" s="279"/>
      <c r="T431" s="279"/>
      <c r="U431" s="280"/>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53-56</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t="s">
        <v>484</v>
      </c>
      <c r="D432" s="102" t="s">
        <v>786</v>
      </c>
      <c r="E432" s="32">
        <v>4</v>
      </c>
      <c r="F432" s="32" t="s">
        <v>483</v>
      </c>
      <c r="G432" s="68" t="s">
        <v>277</v>
      </c>
      <c r="H432" s="69">
        <f t="shared" si="179"/>
        <v>49</v>
      </c>
      <c r="I432" s="70">
        <f t="shared" si="180"/>
        <v>52</v>
      </c>
      <c r="J432" s="73" t="str">
        <f t="shared" si="181"/>
        <v>--</v>
      </c>
      <c r="K432" s="32"/>
      <c r="L432" s="233"/>
      <c r="M432" s="279"/>
      <c r="N432" s="279"/>
      <c r="O432" s="279"/>
      <c r="P432" s="279"/>
      <c r="Q432" s="279"/>
      <c r="R432" s="279"/>
      <c r="S432" s="279"/>
      <c r="T432" s="279"/>
      <c r="U432" s="280"/>
      <c r="V432" s="103"/>
      <c r="W432" s="72"/>
      <c r="X432" s="72"/>
      <c r="Y432" s="72"/>
      <c r="Z432" s="45">
        <v>14</v>
      </c>
      <c r="AA432" s="77">
        <f t="shared" si="182"/>
        <v>157</v>
      </c>
      <c r="AB432" s="77">
        <f t="shared" si="183"/>
        <v>168</v>
      </c>
      <c r="AC432" s="72">
        <f t="shared" si="170"/>
        <v>1</v>
      </c>
      <c r="AD432" s="72">
        <f t="shared" si="171"/>
        <v>0</v>
      </c>
      <c r="AE432" s="109" t="str">
        <f t="shared" si="172"/>
        <v>49-52</v>
      </c>
      <c r="AF432" s="109" t="str">
        <f t="shared" si="173"/>
        <v>Y</v>
      </c>
      <c r="AG432" s="109" t="str">
        <f t="shared" si="174"/>
        <v>A</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9"/>
      <c r="N433" s="279"/>
      <c r="O433" s="279"/>
      <c r="P433" s="279"/>
      <c r="Q433" s="279"/>
      <c r="R433" s="279"/>
      <c r="S433" s="279"/>
      <c r="T433" s="279"/>
      <c r="U433" s="280"/>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9"/>
      <c r="N434" s="279"/>
      <c r="O434" s="279"/>
      <c r="P434" s="279"/>
      <c r="Q434" s="279"/>
      <c r="R434" s="279"/>
      <c r="S434" s="279"/>
      <c r="T434" s="279"/>
      <c r="U434" s="280"/>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9"/>
      <c r="N435" s="279"/>
      <c r="O435" s="279"/>
      <c r="P435" s="279"/>
      <c r="Q435" s="279"/>
      <c r="R435" s="279"/>
      <c r="S435" s="279"/>
      <c r="T435" s="279"/>
      <c r="U435" s="280"/>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9"/>
      <c r="N436" s="279"/>
      <c r="O436" s="279"/>
      <c r="P436" s="279"/>
      <c r="Q436" s="279"/>
      <c r="R436" s="279"/>
      <c r="S436" s="279"/>
      <c r="T436" s="279"/>
      <c r="U436" s="280"/>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9"/>
      <c r="N437" s="279"/>
      <c r="O437" s="279"/>
      <c r="P437" s="279"/>
      <c r="Q437" s="279"/>
      <c r="R437" s="279"/>
      <c r="S437" s="279"/>
      <c r="T437" s="279"/>
      <c r="U437" s="280"/>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9"/>
      <c r="N438" s="279"/>
      <c r="O438" s="279"/>
      <c r="P438" s="279"/>
      <c r="Q438" s="279"/>
      <c r="R438" s="279"/>
      <c r="S438" s="279"/>
      <c r="T438" s="279"/>
      <c r="U438" s="280"/>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9"/>
      <c r="N439" s="279"/>
      <c r="O439" s="279"/>
      <c r="P439" s="279"/>
      <c r="Q439" s="279"/>
      <c r="R439" s="279"/>
      <c r="S439" s="279"/>
      <c r="T439" s="279"/>
      <c r="U439" s="280"/>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9"/>
      <c r="N440" s="279"/>
      <c r="O440" s="279"/>
      <c r="P440" s="279"/>
      <c r="Q440" s="279"/>
      <c r="R440" s="279"/>
      <c r="S440" s="279"/>
      <c r="T440" s="279"/>
      <c r="U440" s="280"/>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9"/>
      <c r="N441" s="279"/>
      <c r="O441" s="279"/>
      <c r="P441" s="279"/>
      <c r="Q441" s="279"/>
      <c r="R441" s="279"/>
      <c r="S441" s="279"/>
      <c r="T441" s="279"/>
      <c r="U441" s="280"/>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9"/>
      <c r="N442" s="279"/>
      <c r="O442" s="279"/>
      <c r="P442" s="279"/>
      <c r="Q442" s="279"/>
      <c r="R442" s="279"/>
      <c r="S442" s="279"/>
      <c r="T442" s="279"/>
      <c r="U442" s="280"/>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9"/>
      <c r="N443" s="279"/>
      <c r="O443" s="279"/>
      <c r="P443" s="279"/>
      <c r="Q443" s="279"/>
      <c r="R443" s="279"/>
      <c r="S443" s="279"/>
      <c r="T443" s="279"/>
      <c r="U443" s="280"/>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9"/>
      <c r="N444" s="279"/>
      <c r="O444" s="279"/>
      <c r="P444" s="279"/>
      <c r="Q444" s="279"/>
      <c r="R444" s="279"/>
      <c r="S444" s="279"/>
      <c r="T444" s="279"/>
      <c r="U444" s="280"/>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9"/>
      <c r="N445" s="279"/>
      <c r="O445" s="279"/>
      <c r="P445" s="279"/>
      <c r="Q445" s="279"/>
      <c r="R445" s="279"/>
      <c r="S445" s="279"/>
      <c r="T445" s="279"/>
      <c r="U445" s="280"/>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9"/>
      <c r="N446" s="279"/>
      <c r="O446" s="279"/>
      <c r="P446" s="279"/>
      <c r="Q446" s="279"/>
      <c r="R446" s="279"/>
      <c r="S446" s="279"/>
      <c r="T446" s="279"/>
      <c r="U446" s="280"/>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9"/>
      <c r="N447" s="279"/>
      <c r="O447" s="279"/>
      <c r="P447" s="279"/>
      <c r="Q447" s="279"/>
      <c r="R447" s="279"/>
      <c r="S447" s="279"/>
      <c r="T447" s="279"/>
      <c r="U447" s="280"/>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9"/>
      <c r="N448" s="279"/>
      <c r="O448" s="279"/>
      <c r="P448" s="279"/>
      <c r="Q448" s="279"/>
      <c r="R448" s="279"/>
      <c r="S448" s="279"/>
      <c r="T448" s="279"/>
      <c r="U448" s="280"/>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9"/>
      <c r="N449" s="279"/>
      <c r="O449" s="279"/>
      <c r="P449" s="279"/>
      <c r="Q449" s="279"/>
      <c r="R449" s="279"/>
      <c r="S449" s="279"/>
      <c r="T449" s="279"/>
      <c r="U449" s="280"/>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9"/>
      <c r="N450" s="279"/>
      <c r="O450" s="279"/>
      <c r="P450" s="279"/>
      <c r="Q450" s="279"/>
      <c r="R450" s="279"/>
      <c r="S450" s="279"/>
      <c r="T450" s="279"/>
      <c r="U450" s="280"/>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9"/>
      <c r="N451" s="279"/>
      <c r="O451" s="279"/>
      <c r="P451" s="279"/>
      <c r="Q451" s="279"/>
      <c r="R451" s="279"/>
      <c r="S451" s="279"/>
      <c r="T451" s="279"/>
      <c r="U451" s="280"/>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320" t="s">
        <v>325</v>
      </c>
      <c r="C452" s="321"/>
      <c r="D452" s="79"/>
      <c r="E452" s="80"/>
      <c r="F452" s="80"/>
      <c r="G452" s="81"/>
      <c r="H452" s="192"/>
      <c r="I452" s="192"/>
      <c r="J452" s="192"/>
      <c r="K452" s="82"/>
      <c r="L452" s="320" t="s">
        <v>306</v>
      </c>
      <c r="M452" s="331"/>
      <c r="N452" s="331"/>
      <c r="O452" s="331"/>
      <c r="P452" s="331"/>
      <c r="Q452" s="331"/>
      <c r="R452" s="331"/>
      <c r="S452" s="331"/>
      <c r="T452" s="331"/>
      <c r="U452" s="321"/>
      <c r="V452" s="104"/>
      <c r="W452" s="72"/>
      <c r="X452" s="72"/>
      <c r="Y452" s="72"/>
      <c r="Z452" s="72"/>
      <c r="AA452" s="72" t="str">
        <f t="shared" si="185"/>
        <v/>
      </c>
      <c r="AB452" s="72"/>
      <c r="AC452" s="72">
        <f>SUM(AC427:AC451)</f>
        <v>25</v>
      </c>
      <c r="AD452" s="72">
        <f>SUM(AD427:AD451)</f>
        <v>19</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0" t="s">
        <v>307</v>
      </c>
      <c r="C453" s="321"/>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3" t="s">
        <v>222</v>
      </c>
      <c r="C457" s="314"/>
      <c r="D457" s="315" t="s">
        <v>223</v>
      </c>
      <c r="E457" s="306"/>
      <c r="F457" s="88"/>
      <c r="G457" s="316" t="s">
        <v>224</v>
      </c>
      <c r="H457" s="317"/>
      <c r="I457" s="28">
        <f>SUM(E468:E492)</f>
        <v>12</v>
      </c>
      <c r="J457" s="318" t="s">
        <v>225</v>
      </c>
      <c r="K457" s="319"/>
      <c r="L457" s="306"/>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6" t="s">
        <v>226</v>
      </c>
      <c r="AA457" s="297"/>
      <c r="AB457" s="298"/>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5" t="s">
        <v>230</v>
      </c>
      <c r="H458" s="306"/>
      <c r="I458" s="33">
        <f>E459-I457</f>
        <v>12</v>
      </c>
      <c r="J458" s="290" t="s">
        <v>231</v>
      </c>
      <c r="K458" s="291"/>
      <c r="L458" s="34">
        <f>I462</f>
        <v>25</v>
      </c>
      <c r="M458" s="196">
        <v>4</v>
      </c>
      <c r="N458" s="35">
        <f>SUM(AI458,AI469)</f>
        <v>0</v>
      </c>
      <c r="O458" s="35">
        <v>0</v>
      </c>
      <c r="P458" s="35">
        <f>SUM(AJ458,AJ469)</f>
        <v>1</v>
      </c>
      <c r="Q458" s="35">
        <v>0</v>
      </c>
      <c r="R458" s="35">
        <f>COUNTIFS($E468:$E492,"4",$F468:$F492,"Pole",$C468:$C492,"FST")</f>
        <v>1</v>
      </c>
      <c r="S458" s="35">
        <f>SUM(AL458,AK469)</f>
        <v>0</v>
      </c>
      <c r="T458" s="35">
        <v>0</v>
      </c>
      <c r="U458" s="35">
        <f>SUM(AK458,AL469)</f>
        <v>0</v>
      </c>
      <c r="V458" s="35">
        <v>0</v>
      </c>
      <c r="W458" s="34">
        <f>COUNTIFS($E468:$E492,"4",$F468:$F492,"HH",$C468:$C492,"FST")</f>
        <v>0</v>
      </c>
      <c r="X458" s="35">
        <f>COUNTIFS($E468:$E492,"4",$F468:$F492,"Ped",$C468:$C492,"FST")</f>
        <v>0</v>
      </c>
      <c r="Y458" s="25"/>
      <c r="Z458" s="299" t="s">
        <v>232</v>
      </c>
      <c r="AA458" s="301" t="s">
        <v>233</v>
      </c>
      <c r="AB458" s="302"/>
      <c r="AC458" s="25"/>
      <c r="AD458" s="25"/>
      <c r="AH458" s="109">
        <v>4</v>
      </c>
      <c r="AI458" s="109" t="str">
        <f>IF($E458="SS",COUNTIFS($C468:$C492,"FST",$E468:$E492,"4"),"0")</f>
        <v>0</v>
      </c>
      <c r="AJ458" s="109">
        <f>IF($E458="RPX",COUNTIFS($C468:$C492,"FST",$E468:$E492,"4"),"0")</f>
        <v>1</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2" t="s">
        <v>237</v>
      </c>
      <c r="H459" s="293"/>
      <c r="I459" s="35">
        <f>IF(E459=0,0,12-(MOD(I457,12)))</f>
        <v>12</v>
      </c>
      <c r="J459" s="290" t="s">
        <v>238</v>
      </c>
      <c r="K459" s="291"/>
      <c r="L459" s="39">
        <f>I463-I457</f>
        <v>24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0"/>
      <c r="AA459" s="303"/>
      <c r="AB459" s="304"/>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2" t="s">
        <v>242</v>
      </c>
      <c r="H460" s="43" t="s">
        <v>243</v>
      </c>
      <c r="I460" s="35">
        <f>IF(E460&lt;&gt;0,1,0)</f>
        <v>1</v>
      </c>
      <c r="J460" s="292" t="s">
        <v>244</v>
      </c>
      <c r="K460" s="293"/>
      <c r="L460" s="44">
        <f>'Cable Calculator'!BG3</f>
        <v>280</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25</v>
      </c>
      <c r="F461" s="88"/>
      <c r="G461" s="323"/>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2" t="s">
        <v>251</v>
      </c>
      <c r="H462" s="51" t="s">
        <v>252</v>
      </c>
      <c r="I462" s="112">
        <f>E461</f>
        <v>25</v>
      </c>
      <c r="J462" s="324" t="s">
        <v>253</v>
      </c>
      <c r="K462" s="325"/>
      <c r="L462" s="32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3"/>
      <c r="H463" s="47" t="s">
        <v>257</v>
      </c>
      <c r="I463" s="35">
        <f>IF(E461="","0",IF(AND(E458="EUC",E459=432), I462+(203-E460),IF(E461=0,0,(E461+(E459-E460)-1))))</f>
        <v>36</v>
      </c>
      <c r="J463" s="287" t="str">
        <f>IFERROR(IF(OR(E458="EUC",E458="SS"),"---",IF(OR(P457,S457),"NO 2F Tethers for RPX!",IF(OR(P459,S459),"NO 6F Tethers for RPX!","---"))),"---")</f>
        <v>---</v>
      </c>
      <c r="K463" s="288"/>
      <c r="L463" s="289"/>
      <c r="M463" s="287" t="str">
        <f>IF(E460&gt;60,"Dead Count &gt;60: Consider Downsize","---")</f>
        <v>---</v>
      </c>
      <c r="N463" s="288"/>
      <c r="O463" s="288"/>
      <c r="P463" s="288"/>
      <c r="Q463" s="288"/>
      <c r="R463" s="288"/>
      <c r="S463" s="288"/>
      <c r="T463" s="288"/>
      <c r="U463" s="289"/>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87"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8"/>
      <c r="L464" s="289"/>
      <c r="M464" s="287" t="str">
        <f>IF(AND(OR(E458="SS",E458="RPX",E458="EUC",E458="RPX-T"),(OR(C468="",C468="Field SPL"))),"Cannot have FlexNap cables without tethers","---")</f>
        <v>---</v>
      </c>
      <c r="N464" s="288"/>
      <c r="O464" s="288"/>
      <c r="P464" s="288"/>
      <c r="Q464" s="288"/>
      <c r="R464" s="288"/>
      <c r="S464" s="288"/>
      <c r="T464" s="288"/>
      <c r="U464" s="289"/>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7" t="str">
        <f>IF(AND(OR(E458="RPX", E458="RPX-T", E458="SS"),E459=216),"NO 216 For RPX, RPX-T, OR SS CABLE","---")</f>
        <v>---</v>
      </c>
      <c r="K465" s="288"/>
      <c r="L465" s="289"/>
      <c r="M465" s="287" t="str" cm="1">
        <f t="array" ref="M465">IF(AND(E458="",OR(C468:C492="FST",C468:C492="REV T",C468:C492="DBL REV",C468:C492="TPL REV", C468:C492="QD REV")),"Non-FlexNap cables cannot have tethers","---")</f>
        <v>---</v>
      </c>
      <c r="N465" s="288"/>
      <c r="O465" s="288"/>
      <c r="P465" s="288"/>
      <c r="Q465" s="288"/>
      <c r="R465" s="288"/>
      <c r="S465" s="288"/>
      <c r="T465" s="288"/>
      <c r="U465" s="289"/>
      <c r="V465" s="25"/>
      <c r="W465" s="58"/>
      <c r="X465" s="58"/>
      <c r="Y465" s="25"/>
      <c r="Z465" s="45">
        <v>6</v>
      </c>
      <c r="AA465" s="65">
        <v>61</v>
      </c>
      <c r="AB465" s="65">
        <v>72</v>
      </c>
      <c r="AC465" s="25"/>
      <c r="AD465" s="25"/>
      <c r="BA465" s="226"/>
    </row>
    <row r="466" spans="1:53" ht="15.75" customHeight="1" thickBot="1" x14ac:dyDescent="0.3">
      <c r="A466" s="88"/>
      <c r="B466" s="322" t="s">
        <v>260</v>
      </c>
      <c r="C466" s="294" t="s">
        <v>261</v>
      </c>
      <c r="D466" s="294" t="s">
        <v>262</v>
      </c>
      <c r="E466" s="307" t="s">
        <v>263</v>
      </c>
      <c r="F466" s="294" t="s">
        <v>264</v>
      </c>
      <c r="G466" s="309" t="s">
        <v>265</v>
      </c>
      <c r="H466" s="309" t="s">
        <v>266</v>
      </c>
      <c r="I466" s="309" t="s">
        <v>267</v>
      </c>
      <c r="J466" s="311" t="s">
        <v>268</v>
      </c>
      <c r="K466" s="294" t="s">
        <v>269</v>
      </c>
      <c r="L466" s="281" t="s">
        <v>270</v>
      </c>
      <c r="M466" s="283" t="s">
        <v>271</v>
      </c>
      <c r="N466" s="283"/>
      <c r="O466" s="283"/>
      <c r="P466" s="283"/>
      <c r="Q466" s="283"/>
      <c r="R466" s="283"/>
      <c r="S466" s="283"/>
      <c r="T466" s="283"/>
      <c r="U466" s="284"/>
      <c r="V466" s="107"/>
      <c r="W466" s="72"/>
      <c r="X466" s="72"/>
      <c r="Y466" s="72"/>
      <c r="Z466" s="45">
        <v>7</v>
      </c>
      <c r="AA466" s="65">
        <v>73</v>
      </c>
      <c r="AB466" s="65">
        <v>84</v>
      </c>
      <c r="AC466" s="25"/>
      <c r="AD466" s="25"/>
      <c r="BA466" s="228"/>
    </row>
    <row r="467" spans="1:53" ht="15.75" thickBot="1" x14ac:dyDescent="0.3">
      <c r="A467" s="88"/>
      <c r="B467" s="323"/>
      <c r="C467" s="295"/>
      <c r="D467" s="295"/>
      <c r="E467" s="308"/>
      <c r="F467" s="295"/>
      <c r="G467" s="310"/>
      <c r="H467" s="310"/>
      <c r="I467" s="310"/>
      <c r="J467" s="312"/>
      <c r="K467" s="295"/>
      <c r="L467" s="282"/>
      <c r="M467" s="285"/>
      <c r="N467" s="285"/>
      <c r="O467" s="285"/>
      <c r="P467" s="285"/>
      <c r="Q467" s="285"/>
      <c r="R467" s="285"/>
      <c r="S467" s="285"/>
      <c r="T467" s="285"/>
      <c r="U467" s="28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4</v>
      </c>
      <c r="F468" s="32" t="s">
        <v>483</v>
      </c>
      <c r="G468" s="68" t="s">
        <v>277</v>
      </c>
      <c r="H468" s="69">
        <f>IF(I468=0,0,I468-(E468-1))</f>
        <v>33</v>
      </c>
      <c r="I468" s="70">
        <f>IF(E468=0,0,I463)</f>
        <v>36</v>
      </c>
      <c r="J468" s="71" t="s">
        <v>278</v>
      </c>
      <c r="K468" s="32"/>
      <c r="L468" s="233"/>
      <c r="M468" s="279"/>
      <c r="N468" s="279"/>
      <c r="O468" s="279"/>
      <c r="P468" s="279"/>
      <c r="Q468" s="279"/>
      <c r="R468" s="279"/>
      <c r="S468" s="279"/>
      <c r="T468" s="279"/>
      <c r="U468" s="280"/>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33-36</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772</v>
      </c>
      <c r="E469" s="32">
        <v>8</v>
      </c>
      <c r="F469" s="32" t="s">
        <v>483</v>
      </c>
      <c r="G469" s="68" t="s">
        <v>277</v>
      </c>
      <c r="H469" s="69">
        <f t="shared" ref="H469:H492" si="196">IF(E469=0,0,I469-(E469-1))</f>
        <v>25</v>
      </c>
      <c r="I469" s="70">
        <f t="shared" ref="I469:I492" si="197">IF(E469=0,0,H468-1)</f>
        <v>32</v>
      </c>
      <c r="J469" s="73" t="str">
        <f>IF(C469="","--",IF(AND(C469&lt;&gt;"FST",C469&lt;&gt;"TCF",BA468&lt;&gt;0),BA468,"--"))</f>
        <v>--</v>
      </c>
      <c r="K469" s="32"/>
      <c r="L469" s="233"/>
      <c r="M469" s="279"/>
      <c r="N469" s="279"/>
      <c r="O469" s="279"/>
      <c r="P469" s="279"/>
      <c r="Q469" s="279"/>
      <c r="R469" s="279"/>
      <c r="S469" s="279"/>
      <c r="T469" s="279"/>
      <c r="U469" s="280"/>
      <c r="V469" s="103"/>
      <c r="W469" s="72"/>
      <c r="X469" s="72"/>
      <c r="Y469" s="72"/>
      <c r="Z469" s="45">
        <v>10</v>
      </c>
      <c r="AA469" s="46">
        <v>109</v>
      </c>
      <c r="AB469" s="46">
        <v>120</v>
      </c>
      <c r="AC469" s="72">
        <f t="shared" si="187"/>
        <v>1</v>
      </c>
      <c r="AD469" s="72">
        <f t="shared" si="188"/>
        <v>0</v>
      </c>
      <c r="AE469" s="109" t="str">
        <f t="shared" si="189"/>
        <v>25-32</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79"/>
      <c r="N470" s="279"/>
      <c r="O470" s="279"/>
      <c r="P470" s="279"/>
      <c r="Q470" s="279"/>
      <c r="R470" s="279"/>
      <c r="S470" s="279"/>
      <c r="T470" s="279"/>
      <c r="U470" s="280"/>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79"/>
      <c r="N471" s="279"/>
      <c r="O471" s="279"/>
      <c r="P471" s="279"/>
      <c r="Q471" s="279"/>
      <c r="R471" s="279"/>
      <c r="S471" s="279"/>
      <c r="T471" s="279"/>
      <c r="U471" s="280"/>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9"/>
      <c r="N472" s="279"/>
      <c r="O472" s="279"/>
      <c r="P472" s="279"/>
      <c r="Q472" s="279"/>
      <c r="R472" s="279"/>
      <c r="S472" s="279"/>
      <c r="T472" s="279"/>
      <c r="U472" s="280"/>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9"/>
      <c r="N473" s="279"/>
      <c r="O473" s="279"/>
      <c r="P473" s="279"/>
      <c r="Q473" s="279"/>
      <c r="R473" s="279"/>
      <c r="S473" s="279"/>
      <c r="T473" s="279"/>
      <c r="U473" s="280"/>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9"/>
      <c r="N474" s="279"/>
      <c r="O474" s="279"/>
      <c r="P474" s="279"/>
      <c r="Q474" s="279"/>
      <c r="R474" s="279"/>
      <c r="S474" s="279"/>
      <c r="T474" s="279"/>
      <c r="U474" s="280"/>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9"/>
      <c r="N475" s="279"/>
      <c r="O475" s="279"/>
      <c r="P475" s="279"/>
      <c r="Q475" s="279"/>
      <c r="R475" s="279"/>
      <c r="S475" s="279"/>
      <c r="T475" s="279"/>
      <c r="U475" s="280"/>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9"/>
      <c r="N476" s="279"/>
      <c r="O476" s="279"/>
      <c r="P476" s="279"/>
      <c r="Q476" s="279"/>
      <c r="R476" s="279"/>
      <c r="S476" s="279"/>
      <c r="T476" s="279"/>
      <c r="U476" s="280"/>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9"/>
      <c r="N477" s="279"/>
      <c r="O477" s="279"/>
      <c r="P477" s="279"/>
      <c r="Q477" s="279"/>
      <c r="R477" s="279"/>
      <c r="S477" s="279"/>
      <c r="T477" s="279"/>
      <c r="U477" s="280"/>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9"/>
      <c r="N478" s="279"/>
      <c r="O478" s="279"/>
      <c r="P478" s="279"/>
      <c r="Q478" s="279"/>
      <c r="R478" s="279"/>
      <c r="S478" s="279"/>
      <c r="T478" s="279"/>
      <c r="U478" s="280"/>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9"/>
      <c r="N479" s="279"/>
      <c r="O479" s="279"/>
      <c r="P479" s="279"/>
      <c r="Q479" s="279"/>
      <c r="R479" s="279"/>
      <c r="S479" s="279"/>
      <c r="T479" s="279"/>
      <c r="U479" s="280"/>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9"/>
      <c r="N480" s="279"/>
      <c r="O480" s="279"/>
      <c r="P480" s="279"/>
      <c r="Q480" s="279"/>
      <c r="R480" s="279"/>
      <c r="S480" s="279"/>
      <c r="T480" s="279"/>
      <c r="U480" s="280"/>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9"/>
      <c r="N481" s="279"/>
      <c r="O481" s="279"/>
      <c r="P481" s="279"/>
      <c r="Q481" s="279"/>
      <c r="R481" s="279"/>
      <c r="S481" s="279"/>
      <c r="T481" s="279"/>
      <c r="U481" s="280"/>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9"/>
      <c r="N482" s="279"/>
      <c r="O482" s="279"/>
      <c r="P482" s="279"/>
      <c r="Q482" s="279"/>
      <c r="R482" s="279"/>
      <c r="S482" s="279"/>
      <c r="T482" s="279"/>
      <c r="U482" s="280"/>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9"/>
      <c r="N483" s="279"/>
      <c r="O483" s="279"/>
      <c r="P483" s="279"/>
      <c r="Q483" s="279"/>
      <c r="R483" s="279"/>
      <c r="S483" s="279"/>
      <c r="T483" s="279"/>
      <c r="U483" s="280"/>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9"/>
      <c r="N484" s="279"/>
      <c r="O484" s="279"/>
      <c r="P484" s="279"/>
      <c r="Q484" s="279"/>
      <c r="R484" s="279"/>
      <c r="S484" s="279"/>
      <c r="T484" s="279"/>
      <c r="U484" s="280"/>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9"/>
      <c r="N485" s="279"/>
      <c r="O485" s="279"/>
      <c r="P485" s="279"/>
      <c r="Q485" s="279"/>
      <c r="R485" s="279"/>
      <c r="S485" s="279"/>
      <c r="T485" s="279"/>
      <c r="U485" s="280"/>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9"/>
      <c r="N486" s="279"/>
      <c r="O486" s="279"/>
      <c r="P486" s="279"/>
      <c r="Q486" s="279"/>
      <c r="R486" s="279"/>
      <c r="S486" s="279"/>
      <c r="T486" s="279"/>
      <c r="U486" s="280"/>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9"/>
      <c r="N487" s="279"/>
      <c r="O487" s="279"/>
      <c r="P487" s="279"/>
      <c r="Q487" s="279"/>
      <c r="R487" s="279"/>
      <c r="S487" s="279"/>
      <c r="T487" s="279"/>
      <c r="U487" s="280"/>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9"/>
      <c r="N488" s="279"/>
      <c r="O488" s="279"/>
      <c r="P488" s="279"/>
      <c r="Q488" s="279"/>
      <c r="R488" s="279"/>
      <c r="S488" s="279"/>
      <c r="T488" s="279"/>
      <c r="U488" s="280"/>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9"/>
      <c r="N489" s="279"/>
      <c r="O489" s="279"/>
      <c r="P489" s="279"/>
      <c r="Q489" s="279"/>
      <c r="R489" s="279"/>
      <c r="S489" s="279"/>
      <c r="T489" s="279"/>
      <c r="U489" s="280"/>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9"/>
      <c r="N490" s="279"/>
      <c r="O490" s="279"/>
      <c r="P490" s="279"/>
      <c r="Q490" s="279"/>
      <c r="R490" s="279"/>
      <c r="S490" s="279"/>
      <c r="T490" s="279"/>
      <c r="U490" s="280"/>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9"/>
      <c r="N491" s="279"/>
      <c r="O491" s="279"/>
      <c r="P491" s="279"/>
      <c r="Q491" s="279"/>
      <c r="R491" s="279"/>
      <c r="S491" s="279"/>
      <c r="T491" s="279"/>
      <c r="U491" s="280"/>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9"/>
      <c r="N492" s="279"/>
      <c r="O492" s="279"/>
      <c r="P492" s="279"/>
      <c r="Q492" s="279"/>
      <c r="R492" s="279"/>
      <c r="S492" s="279"/>
      <c r="T492" s="279"/>
      <c r="U492" s="280"/>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20" t="s">
        <v>327</v>
      </c>
      <c r="C493" s="321"/>
      <c r="D493" s="79"/>
      <c r="E493" s="80"/>
      <c r="F493" s="80"/>
      <c r="G493" s="81"/>
      <c r="H493" s="192"/>
      <c r="I493" s="192"/>
      <c r="J493" s="192"/>
      <c r="K493" s="82"/>
      <c r="L493" s="320" t="s">
        <v>306</v>
      </c>
      <c r="M493" s="331"/>
      <c r="N493" s="331"/>
      <c r="O493" s="331"/>
      <c r="P493" s="331"/>
      <c r="Q493" s="331"/>
      <c r="R493" s="331"/>
      <c r="S493" s="331"/>
      <c r="T493" s="331"/>
      <c r="U493" s="321"/>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0" t="s">
        <v>307</v>
      </c>
      <c r="C494" s="321"/>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3" t="s">
        <v>222</v>
      </c>
      <c r="C498" s="314"/>
      <c r="D498" s="315" t="s">
        <v>223</v>
      </c>
      <c r="E498" s="306"/>
      <c r="F498" s="88"/>
      <c r="G498" s="316" t="s">
        <v>224</v>
      </c>
      <c r="H498" s="317"/>
      <c r="I498" s="28">
        <f>SUM(E509:E533)</f>
        <v>0</v>
      </c>
      <c r="J498" s="318" t="s">
        <v>225</v>
      </c>
      <c r="K498" s="319"/>
      <c r="L498" s="306"/>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6" t="s">
        <v>226</v>
      </c>
      <c r="AA498" s="297"/>
      <c r="AB498" s="298"/>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5" t="s">
        <v>230</v>
      </c>
      <c r="H499" s="306"/>
      <c r="I499" s="33">
        <f>E500-I498</f>
        <v>0</v>
      </c>
      <c r="J499" s="290" t="s">
        <v>231</v>
      </c>
      <c r="K499" s="291"/>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9" t="s">
        <v>232</v>
      </c>
      <c r="AA499" s="301" t="s">
        <v>233</v>
      </c>
      <c r="AB499" s="302"/>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292" t="s">
        <v>237</v>
      </c>
      <c r="H500" s="293"/>
      <c r="I500" s="35">
        <f>IF(E500=0,0,12-(MOD(I498,12)))</f>
        <v>0</v>
      </c>
      <c r="J500" s="290" t="s">
        <v>238</v>
      </c>
      <c r="K500" s="291"/>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0"/>
      <c r="AA500" s="303"/>
      <c r="AB500" s="304"/>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322" t="s">
        <v>242</v>
      </c>
      <c r="H501" s="43" t="s">
        <v>243</v>
      </c>
      <c r="I501" s="35">
        <f>IF(E501&lt;&gt;0,1,0)</f>
        <v>0</v>
      </c>
      <c r="J501" s="292" t="s">
        <v>244</v>
      </c>
      <c r="K501" s="293"/>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323"/>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322" t="s">
        <v>251</v>
      </c>
      <c r="H503" s="51" t="s">
        <v>252</v>
      </c>
      <c r="I503" s="112">
        <f>E502</f>
        <v>0</v>
      </c>
      <c r="J503" s="324" t="s">
        <v>253</v>
      </c>
      <c r="K503" s="325"/>
      <c r="L503" s="32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323"/>
      <c r="H504" s="47" t="s">
        <v>257</v>
      </c>
      <c r="I504" s="35" t="str">
        <f>IF(E502="","0",IF(AND(E499="EUC",E500=432), I503+(203-E501),IF(E502=0,0,(E502+(E500-E501)-1))))</f>
        <v>0</v>
      </c>
      <c r="J504" s="287" t="str">
        <f>IFERROR(IF(OR(E499="EUC",E499="SS"),"---",IF(OR(P498,S498),"NO 2F Tethers for RPX!",IF(OR(P500,S500),"NO 6F Tethers for RPX!","---"))),"---")</f>
        <v>---</v>
      </c>
      <c r="K504" s="288"/>
      <c r="L504" s="289"/>
      <c r="M504" s="287" t="str">
        <f>IF(E501&gt;60,"Dead Count &gt;60: Consider Downsize","---")</f>
        <v>---</v>
      </c>
      <c r="N504" s="288"/>
      <c r="O504" s="288"/>
      <c r="P504" s="288"/>
      <c r="Q504" s="288"/>
      <c r="R504" s="288"/>
      <c r="S504" s="288"/>
      <c r="T504" s="288"/>
      <c r="U504" s="289"/>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87"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8"/>
      <c r="L505" s="289"/>
      <c r="M505" s="287" t="str">
        <f>IF(AND(OR(E499="SS",E499="RPX",E499="EUC",E499="RPX-T"),(OR(C509="",C509="Field SPL"))),"Cannot have FlexNap cables without tethers","---")</f>
        <v>---</v>
      </c>
      <c r="N505" s="288"/>
      <c r="O505" s="288"/>
      <c r="P505" s="288"/>
      <c r="Q505" s="288"/>
      <c r="R505" s="288"/>
      <c r="S505" s="288"/>
      <c r="T505" s="288"/>
      <c r="U505" s="289"/>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7" t="str">
        <f>IF(AND(OR(E499="RPX", E499="RPX-T", E499="SS"),E500=216),"NO 216 For RPX, RPX-T, OR SS CABLE","---")</f>
        <v>---</v>
      </c>
      <c r="K506" s="288"/>
      <c r="L506" s="289"/>
      <c r="M506" s="287" t="str" cm="1">
        <f t="array" ref="M506">IF(AND(E499="",OR(C509:C533="FST",C509:C533="REV T",C509:C533="DBL REV",C509:C533="TPL REV", C509:C533="QD REV")),"Non-FlexNap cables cannot have tethers","---")</f>
        <v>---</v>
      </c>
      <c r="N506" s="288"/>
      <c r="O506" s="288"/>
      <c r="P506" s="288"/>
      <c r="Q506" s="288"/>
      <c r="R506" s="288"/>
      <c r="S506" s="288"/>
      <c r="T506" s="288"/>
      <c r="U506" s="289"/>
      <c r="V506" s="25"/>
      <c r="W506" s="58"/>
      <c r="X506" s="58"/>
      <c r="Y506" s="25"/>
      <c r="Z506" s="45">
        <v>6</v>
      </c>
      <c r="AA506" s="65">
        <v>61</v>
      </c>
      <c r="AB506" s="65">
        <v>72</v>
      </c>
      <c r="AC506" s="25"/>
      <c r="AD506" s="25"/>
      <c r="BA506" s="226"/>
    </row>
    <row r="507" spans="1:53" ht="15.75" customHeight="1" thickBot="1" x14ac:dyDescent="0.3">
      <c r="A507" s="88"/>
      <c r="B507" s="322" t="s">
        <v>260</v>
      </c>
      <c r="C507" s="294" t="s">
        <v>261</v>
      </c>
      <c r="D507" s="294" t="s">
        <v>262</v>
      </c>
      <c r="E507" s="307" t="s">
        <v>263</v>
      </c>
      <c r="F507" s="294" t="s">
        <v>264</v>
      </c>
      <c r="G507" s="309" t="s">
        <v>265</v>
      </c>
      <c r="H507" s="309" t="s">
        <v>266</v>
      </c>
      <c r="I507" s="309" t="s">
        <v>267</v>
      </c>
      <c r="J507" s="311" t="s">
        <v>268</v>
      </c>
      <c r="K507" s="294" t="s">
        <v>269</v>
      </c>
      <c r="L507" s="281" t="s">
        <v>270</v>
      </c>
      <c r="M507" s="283" t="s">
        <v>271</v>
      </c>
      <c r="N507" s="283"/>
      <c r="O507" s="283"/>
      <c r="P507" s="283"/>
      <c r="Q507" s="283"/>
      <c r="R507" s="283"/>
      <c r="S507" s="283"/>
      <c r="T507" s="283"/>
      <c r="U507" s="284"/>
      <c r="V507" s="107"/>
      <c r="W507" s="72"/>
      <c r="X507" s="72"/>
      <c r="Y507" s="72"/>
      <c r="Z507" s="45">
        <v>7</v>
      </c>
      <c r="AA507" s="65">
        <v>73</v>
      </c>
      <c r="AB507" s="65">
        <v>84</v>
      </c>
      <c r="AC507" s="25"/>
      <c r="AD507" s="25"/>
      <c r="BA507" s="228"/>
    </row>
    <row r="508" spans="1:53" ht="15.75" thickBot="1" x14ac:dyDescent="0.3">
      <c r="A508" s="88"/>
      <c r="B508" s="323"/>
      <c r="C508" s="295"/>
      <c r="D508" s="295"/>
      <c r="E508" s="308"/>
      <c r="F508" s="295"/>
      <c r="G508" s="310"/>
      <c r="H508" s="310"/>
      <c r="I508" s="310"/>
      <c r="J508" s="312"/>
      <c r="K508" s="295"/>
      <c r="L508" s="282"/>
      <c r="M508" s="285"/>
      <c r="N508" s="285"/>
      <c r="O508" s="285"/>
      <c r="P508" s="285"/>
      <c r="Q508" s="285"/>
      <c r="R508" s="285"/>
      <c r="S508" s="285"/>
      <c r="T508" s="285"/>
      <c r="U508" s="28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79"/>
      <c r="N509" s="279"/>
      <c r="O509" s="279"/>
      <c r="P509" s="279"/>
      <c r="Q509" s="279"/>
      <c r="R509" s="279"/>
      <c r="S509" s="279"/>
      <c r="T509" s="279"/>
      <c r="U509" s="280"/>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79"/>
      <c r="N510" s="279"/>
      <c r="O510" s="279"/>
      <c r="P510" s="279"/>
      <c r="Q510" s="279"/>
      <c r="R510" s="279"/>
      <c r="S510" s="279"/>
      <c r="T510" s="279"/>
      <c r="U510" s="280"/>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9"/>
      <c r="N511" s="279"/>
      <c r="O511" s="279"/>
      <c r="P511" s="279"/>
      <c r="Q511" s="279"/>
      <c r="R511" s="279"/>
      <c r="S511" s="279"/>
      <c r="T511" s="279"/>
      <c r="U511" s="280"/>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9"/>
      <c r="N512" s="279"/>
      <c r="O512" s="279"/>
      <c r="P512" s="279"/>
      <c r="Q512" s="279"/>
      <c r="R512" s="279"/>
      <c r="S512" s="279"/>
      <c r="T512" s="279"/>
      <c r="U512" s="280"/>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9"/>
      <c r="N513" s="279"/>
      <c r="O513" s="279"/>
      <c r="P513" s="279"/>
      <c r="Q513" s="279"/>
      <c r="R513" s="279"/>
      <c r="S513" s="279"/>
      <c r="T513" s="279"/>
      <c r="U513" s="280"/>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9"/>
      <c r="N514" s="279"/>
      <c r="O514" s="279"/>
      <c r="P514" s="279"/>
      <c r="Q514" s="279"/>
      <c r="R514" s="279"/>
      <c r="S514" s="279"/>
      <c r="T514" s="279"/>
      <c r="U514" s="280"/>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9"/>
      <c r="N515" s="279"/>
      <c r="O515" s="279"/>
      <c r="P515" s="279"/>
      <c r="Q515" s="279"/>
      <c r="R515" s="279"/>
      <c r="S515" s="279"/>
      <c r="T515" s="279"/>
      <c r="U515" s="280"/>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9"/>
      <c r="N516" s="279"/>
      <c r="O516" s="279"/>
      <c r="P516" s="279"/>
      <c r="Q516" s="279"/>
      <c r="R516" s="279"/>
      <c r="S516" s="279"/>
      <c r="T516" s="279"/>
      <c r="U516" s="280"/>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9"/>
      <c r="N517" s="279"/>
      <c r="O517" s="279"/>
      <c r="P517" s="279"/>
      <c r="Q517" s="279"/>
      <c r="R517" s="279"/>
      <c r="S517" s="279"/>
      <c r="T517" s="279"/>
      <c r="U517" s="280"/>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9"/>
      <c r="N518" s="279"/>
      <c r="O518" s="279"/>
      <c r="P518" s="279"/>
      <c r="Q518" s="279"/>
      <c r="R518" s="279"/>
      <c r="S518" s="279"/>
      <c r="T518" s="279"/>
      <c r="U518" s="280"/>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9"/>
      <c r="N519" s="279"/>
      <c r="O519" s="279"/>
      <c r="P519" s="279"/>
      <c r="Q519" s="279"/>
      <c r="R519" s="279"/>
      <c r="S519" s="279"/>
      <c r="T519" s="279"/>
      <c r="U519" s="280"/>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9"/>
      <c r="N520" s="279"/>
      <c r="O520" s="279"/>
      <c r="P520" s="279"/>
      <c r="Q520" s="279"/>
      <c r="R520" s="279"/>
      <c r="S520" s="279"/>
      <c r="T520" s="279"/>
      <c r="U520" s="280"/>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9"/>
      <c r="N521" s="279"/>
      <c r="O521" s="279"/>
      <c r="P521" s="279"/>
      <c r="Q521" s="279"/>
      <c r="R521" s="279"/>
      <c r="S521" s="279"/>
      <c r="T521" s="279"/>
      <c r="U521" s="280"/>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9"/>
      <c r="N522" s="279"/>
      <c r="O522" s="279"/>
      <c r="P522" s="279"/>
      <c r="Q522" s="279"/>
      <c r="R522" s="279"/>
      <c r="S522" s="279"/>
      <c r="T522" s="279"/>
      <c r="U522" s="280"/>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9"/>
      <c r="N523" s="279"/>
      <c r="O523" s="279"/>
      <c r="P523" s="279"/>
      <c r="Q523" s="279"/>
      <c r="R523" s="279"/>
      <c r="S523" s="279"/>
      <c r="T523" s="279"/>
      <c r="U523" s="280"/>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9"/>
      <c r="N524" s="279"/>
      <c r="O524" s="279"/>
      <c r="P524" s="279"/>
      <c r="Q524" s="279"/>
      <c r="R524" s="279"/>
      <c r="S524" s="279"/>
      <c r="T524" s="279"/>
      <c r="U524" s="280"/>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9"/>
      <c r="N525" s="279"/>
      <c r="O525" s="279"/>
      <c r="P525" s="279"/>
      <c r="Q525" s="279"/>
      <c r="R525" s="279"/>
      <c r="S525" s="279"/>
      <c r="T525" s="279"/>
      <c r="U525" s="280"/>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9"/>
      <c r="N526" s="279"/>
      <c r="O526" s="279"/>
      <c r="P526" s="279"/>
      <c r="Q526" s="279"/>
      <c r="R526" s="279"/>
      <c r="S526" s="279"/>
      <c r="T526" s="279"/>
      <c r="U526" s="280"/>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9"/>
      <c r="N527" s="279"/>
      <c r="O527" s="279"/>
      <c r="P527" s="279"/>
      <c r="Q527" s="279"/>
      <c r="R527" s="279"/>
      <c r="S527" s="279"/>
      <c r="T527" s="279"/>
      <c r="U527" s="280"/>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9"/>
      <c r="N528" s="279"/>
      <c r="O528" s="279"/>
      <c r="P528" s="279"/>
      <c r="Q528" s="279"/>
      <c r="R528" s="279"/>
      <c r="S528" s="279"/>
      <c r="T528" s="279"/>
      <c r="U528" s="280"/>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9"/>
      <c r="N529" s="279"/>
      <c r="O529" s="279"/>
      <c r="P529" s="279"/>
      <c r="Q529" s="279"/>
      <c r="R529" s="279"/>
      <c r="S529" s="279"/>
      <c r="T529" s="279"/>
      <c r="U529" s="280"/>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9"/>
      <c r="N530" s="279"/>
      <c r="O530" s="279"/>
      <c r="P530" s="279"/>
      <c r="Q530" s="279"/>
      <c r="R530" s="279"/>
      <c r="S530" s="279"/>
      <c r="T530" s="279"/>
      <c r="U530" s="280"/>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9"/>
      <c r="N531" s="279"/>
      <c r="O531" s="279"/>
      <c r="P531" s="279"/>
      <c r="Q531" s="279"/>
      <c r="R531" s="279"/>
      <c r="S531" s="279"/>
      <c r="T531" s="279"/>
      <c r="U531" s="280"/>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9"/>
      <c r="N532" s="279"/>
      <c r="O532" s="279"/>
      <c r="P532" s="279"/>
      <c r="Q532" s="279"/>
      <c r="R532" s="279"/>
      <c r="S532" s="279"/>
      <c r="T532" s="279"/>
      <c r="U532" s="280"/>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9"/>
      <c r="N533" s="279"/>
      <c r="O533" s="279"/>
      <c r="P533" s="279"/>
      <c r="Q533" s="279"/>
      <c r="R533" s="279"/>
      <c r="S533" s="279"/>
      <c r="T533" s="279"/>
      <c r="U533" s="280"/>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0" t="s">
        <v>329</v>
      </c>
      <c r="C534" s="321"/>
      <c r="D534" s="79"/>
      <c r="E534" s="80"/>
      <c r="F534" s="80"/>
      <c r="G534" s="81"/>
      <c r="H534" s="192"/>
      <c r="I534" s="192"/>
      <c r="J534" s="192"/>
      <c r="K534" s="82"/>
      <c r="L534" s="320" t="s">
        <v>306</v>
      </c>
      <c r="M534" s="331"/>
      <c r="N534" s="331"/>
      <c r="O534" s="331"/>
      <c r="P534" s="331"/>
      <c r="Q534" s="331"/>
      <c r="R534" s="331"/>
      <c r="S534" s="331"/>
      <c r="T534" s="331"/>
      <c r="U534" s="321"/>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0" t="s">
        <v>307</v>
      </c>
      <c r="C535" s="321"/>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3" t="s">
        <v>222</v>
      </c>
      <c r="C539" s="314"/>
      <c r="D539" s="315" t="s">
        <v>223</v>
      </c>
      <c r="E539" s="306"/>
      <c r="F539" s="88"/>
      <c r="G539" s="316" t="s">
        <v>224</v>
      </c>
      <c r="H539" s="317"/>
      <c r="I539" s="28">
        <f>SUM(E550:E574)</f>
        <v>0</v>
      </c>
      <c r="J539" s="318" t="s">
        <v>225</v>
      </c>
      <c r="K539" s="319"/>
      <c r="L539" s="306"/>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6" t="s">
        <v>226</v>
      </c>
      <c r="AA539" s="297"/>
      <c r="AB539" s="298"/>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5" t="s">
        <v>230</v>
      </c>
      <c r="H540" s="306"/>
      <c r="I540" s="33">
        <f>E541-I539</f>
        <v>0</v>
      </c>
      <c r="J540" s="290" t="s">
        <v>231</v>
      </c>
      <c r="K540" s="291"/>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299" t="s">
        <v>232</v>
      </c>
      <c r="AA540" s="301" t="s">
        <v>233</v>
      </c>
      <c r="AB540" s="302"/>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292" t="s">
        <v>237</v>
      </c>
      <c r="H541" s="293"/>
      <c r="I541" s="35">
        <f>IF(E541=0,0,12-(MOD(I539,12)))</f>
        <v>0</v>
      </c>
      <c r="J541" s="290" t="s">
        <v>238</v>
      </c>
      <c r="K541" s="291"/>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0"/>
      <c r="AA541" s="303"/>
      <c r="AB541" s="304"/>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322" t="s">
        <v>242</v>
      </c>
      <c r="H542" s="43" t="s">
        <v>243</v>
      </c>
      <c r="I542" s="35">
        <f>IF(E542&lt;&gt;0,1,0)</f>
        <v>0</v>
      </c>
      <c r="J542" s="292" t="s">
        <v>244</v>
      </c>
      <c r="K542" s="293"/>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323"/>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322" t="s">
        <v>251</v>
      </c>
      <c r="H544" s="51" t="s">
        <v>252</v>
      </c>
      <c r="I544" s="112">
        <f>E543</f>
        <v>0</v>
      </c>
      <c r="J544" s="324" t="s">
        <v>253</v>
      </c>
      <c r="K544" s="325"/>
      <c r="L544" s="32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323"/>
      <c r="H545" s="47" t="s">
        <v>257</v>
      </c>
      <c r="I545" s="35" t="str">
        <f>IF(E543="","0",IF(AND(E540="EUC",E541=432), I544+(203-E542),IF(E543=0,0,(E543+(E541-E542)-1))))</f>
        <v>0</v>
      </c>
      <c r="J545" s="287" t="str">
        <f>IFERROR(IF(OR(E540="EUC",E540="SS"),"---",IF(OR(P539,S539),"NO 2F Tethers for RPX!",IF(OR(P541,S541),"NO 6F Tethers for RPX!","---"))),"---")</f>
        <v>---</v>
      </c>
      <c r="K545" s="288"/>
      <c r="L545" s="289"/>
      <c r="M545" s="287" t="str">
        <f>IF(E542&gt;60,"Dead Count &gt;60: Consider Downsize","---")</f>
        <v>---</v>
      </c>
      <c r="N545" s="288"/>
      <c r="O545" s="288"/>
      <c r="P545" s="288"/>
      <c r="Q545" s="288"/>
      <c r="R545" s="288"/>
      <c r="S545" s="288"/>
      <c r="T545" s="288"/>
      <c r="U545" s="289"/>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87"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8"/>
      <c r="L546" s="289"/>
      <c r="M546" s="287" t="str">
        <f>IF(AND(OR(E540="SS",E540="RPX",E540="EUC",E540="RPX-T"),(OR(C550="",C550="Field SPL"))),"Cannot have FlexNap cables without tethers","---")</f>
        <v>---</v>
      </c>
      <c r="N546" s="288"/>
      <c r="O546" s="288"/>
      <c r="P546" s="288"/>
      <c r="Q546" s="288"/>
      <c r="R546" s="288"/>
      <c r="S546" s="288"/>
      <c r="T546" s="288"/>
      <c r="U546" s="289"/>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7" t="str">
        <f>IF(AND(OR(E540="RPX", E540="RPX-T", E540="SS"),E541=216),"NO 216 For RPX, RPX-T, OR SS CABLE","---")</f>
        <v>---</v>
      </c>
      <c r="K547" s="288"/>
      <c r="L547" s="289"/>
      <c r="M547" s="287" t="str" cm="1">
        <f t="array" ref="M547">IF(AND(E540="",OR(C550:C574="FST",C550:C574="REV T",C550:C574="DBL REV",C550:C574="TPL REV", C550:C574="QD REV")),"Non-FlexNap cables cannot have tethers","---")</f>
        <v>---</v>
      </c>
      <c r="N547" s="288"/>
      <c r="O547" s="288"/>
      <c r="P547" s="288"/>
      <c r="Q547" s="288"/>
      <c r="R547" s="288"/>
      <c r="S547" s="288"/>
      <c r="T547" s="288"/>
      <c r="U547" s="289"/>
      <c r="V547" s="25"/>
      <c r="W547" s="58"/>
      <c r="X547" s="58"/>
      <c r="Y547" s="25"/>
      <c r="Z547" s="45">
        <v>6</v>
      </c>
      <c r="AA547" s="65">
        <v>61</v>
      </c>
      <c r="AB547" s="65">
        <v>72</v>
      </c>
      <c r="AC547" s="25"/>
      <c r="AD547" s="25"/>
      <c r="BA547" s="226"/>
    </row>
    <row r="548" spans="1:53" ht="15.75" customHeight="1" thickBot="1" x14ac:dyDescent="0.3">
      <c r="A548" s="88"/>
      <c r="B548" s="322" t="s">
        <v>260</v>
      </c>
      <c r="C548" s="294" t="s">
        <v>261</v>
      </c>
      <c r="D548" s="294" t="s">
        <v>262</v>
      </c>
      <c r="E548" s="307" t="s">
        <v>263</v>
      </c>
      <c r="F548" s="294" t="s">
        <v>264</v>
      </c>
      <c r="G548" s="309" t="s">
        <v>265</v>
      </c>
      <c r="H548" s="309" t="s">
        <v>266</v>
      </c>
      <c r="I548" s="309" t="s">
        <v>267</v>
      </c>
      <c r="J548" s="311" t="s">
        <v>268</v>
      </c>
      <c r="K548" s="294" t="s">
        <v>269</v>
      </c>
      <c r="L548" s="281" t="s">
        <v>270</v>
      </c>
      <c r="M548" s="283" t="s">
        <v>271</v>
      </c>
      <c r="N548" s="283"/>
      <c r="O548" s="283"/>
      <c r="P548" s="283"/>
      <c r="Q548" s="283"/>
      <c r="R548" s="283"/>
      <c r="S548" s="283"/>
      <c r="T548" s="283"/>
      <c r="U548" s="284"/>
      <c r="V548" s="107"/>
      <c r="W548" s="72"/>
      <c r="X548" s="72"/>
      <c r="Y548" s="72"/>
      <c r="Z548" s="45">
        <v>7</v>
      </c>
      <c r="AA548" s="65">
        <v>73</v>
      </c>
      <c r="AB548" s="65">
        <v>84</v>
      </c>
      <c r="AC548" s="25"/>
      <c r="AD548" s="25"/>
      <c r="BA548" s="228"/>
    </row>
    <row r="549" spans="1:53" ht="15.75" thickBot="1" x14ac:dyDescent="0.3">
      <c r="A549" s="88"/>
      <c r="B549" s="323"/>
      <c r="C549" s="295"/>
      <c r="D549" s="295"/>
      <c r="E549" s="308"/>
      <c r="F549" s="295"/>
      <c r="G549" s="310"/>
      <c r="H549" s="310"/>
      <c r="I549" s="310"/>
      <c r="J549" s="312"/>
      <c r="K549" s="295"/>
      <c r="L549" s="282"/>
      <c r="M549" s="285"/>
      <c r="N549" s="285"/>
      <c r="O549" s="285"/>
      <c r="P549" s="285"/>
      <c r="Q549" s="285"/>
      <c r="R549" s="285"/>
      <c r="S549" s="285"/>
      <c r="T549" s="285"/>
      <c r="U549" s="28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79"/>
      <c r="N550" s="279"/>
      <c r="O550" s="279"/>
      <c r="P550" s="279"/>
      <c r="Q550" s="279"/>
      <c r="R550" s="279"/>
      <c r="S550" s="279"/>
      <c r="T550" s="279"/>
      <c r="U550" s="280"/>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79"/>
      <c r="N551" s="279"/>
      <c r="O551" s="279"/>
      <c r="P551" s="279"/>
      <c r="Q551" s="279"/>
      <c r="R551" s="279"/>
      <c r="S551" s="279"/>
      <c r="T551" s="279"/>
      <c r="U551" s="280"/>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79"/>
      <c r="N552" s="279"/>
      <c r="O552" s="279"/>
      <c r="P552" s="279"/>
      <c r="Q552" s="279"/>
      <c r="R552" s="279"/>
      <c r="S552" s="279"/>
      <c r="T552" s="279"/>
      <c r="U552" s="280"/>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79"/>
      <c r="N553" s="279"/>
      <c r="O553" s="279"/>
      <c r="P553" s="279"/>
      <c r="Q553" s="279"/>
      <c r="R553" s="279"/>
      <c r="S553" s="279"/>
      <c r="T553" s="279"/>
      <c r="U553" s="280"/>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9"/>
      <c r="N554" s="279"/>
      <c r="O554" s="279"/>
      <c r="P554" s="279"/>
      <c r="Q554" s="279"/>
      <c r="R554" s="279"/>
      <c r="S554" s="279"/>
      <c r="T554" s="279"/>
      <c r="U554" s="280"/>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9"/>
      <c r="N555" s="279"/>
      <c r="O555" s="279"/>
      <c r="P555" s="279"/>
      <c r="Q555" s="279"/>
      <c r="R555" s="279"/>
      <c r="S555" s="279"/>
      <c r="T555" s="279"/>
      <c r="U555" s="280"/>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9"/>
      <c r="N556" s="279"/>
      <c r="O556" s="279"/>
      <c r="P556" s="279"/>
      <c r="Q556" s="279"/>
      <c r="R556" s="279"/>
      <c r="S556" s="279"/>
      <c r="T556" s="279"/>
      <c r="U556" s="280"/>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9"/>
      <c r="N557" s="279"/>
      <c r="O557" s="279"/>
      <c r="P557" s="279"/>
      <c r="Q557" s="279"/>
      <c r="R557" s="279"/>
      <c r="S557" s="279"/>
      <c r="T557" s="279"/>
      <c r="U557" s="280"/>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9"/>
      <c r="N558" s="279"/>
      <c r="O558" s="279"/>
      <c r="P558" s="279"/>
      <c r="Q558" s="279"/>
      <c r="R558" s="279"/>
      <c r="S558" s="279"/>
      <c r="T558" s="279"/>
      <c r="U558" s="280"/>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9"/>
      <c r="N559" s="279"/>
      <c r="O559" s="279"/>
      <c r="P559" s="279"/>
      <c r="Q559" s="279"/>
      <c r="R559" s="279"/>
      <c r="S559" s="279"/>
      <c r="T559" s="279"/>
      <c r="U559" s="280"/>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9"/>
      <c r="N560" s="279"/>
      <c r="O560" s="279"/>
      <c r="P560" s="279"/>
      <c r="Q560" s="279"/>
      <c r="R560" s="279"/>
      <c r="S560" s="279"/>
      <c r="T560" s="279"/>
      <c r="U560" s="280"/>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9"/>
      <c r="N561" s="279"/>
      <c r="O561" s="279"/>
      <c r="P561" s="279"/>
      <c r="Q561" s="279"/>
      <c r="R561" s="279"/>
      <c r="S561" s="279"/>
      <c r="T561" s="279"/>
      <c r="U561" s="280"/>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9"/>
      <c r="N562" s="279"/>
      <c r="O562" s="279"/>
      <c r="P562" s="279"/>
      <c r="Q562" s="279"/>
      <c r="R562" s="279"/>
      <c r="S562" s="279"/>
      <c r="T562" s="279"/>
      <c r="U562" s="280"/>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9"/>
      <c r="N563" s="279"/>
      <c r="O563" s="279"/>
      <c r="P563" s="279"/>
      <c r="Q563" s="279"/>
      <c r="R563" s="279"/>
      <c r="S563" s="279"/>
      <c r="T563" s="279"/>
      <c r="U563" s="280"/>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9"/>
      <c r="N564" s="279"/>
      <c r="O564" s="279"/>
      <c r="P564" s="279"/>
      <c r="Q564" s="279"/>
      <c r="R564" s="279"/>
      <c r="S564" s="279"/>
      <c r="T564" s="279"/>
      <c r="U564" s="280"/>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9"/>
      <c r="N565" s="279"/>
      <c r="O565" s="279"/>
      <c r="P565" s="279"/>
      <c r="Q565" s="279"/>
      <c r="R565" s="279"/>
      <c r="S565" s="279"/>
      <c r="T565" s="279"/>
      <c r="U565" s="280"/>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9"/>
      <c r="N566" s="279"/>
      <c r="O566" s="279"/>
      <c r="P566" s="279"/>
      <c r="Q566" s="279"/>
      <c r="R566" s="279"/>
      <c r="S566" s="279"/>
      <c r="T566" s="279"/>
      <c r="U566" s="280"/>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9"/>
      <c r="N567" s="279"/>
      <c r="O567" s="279"/>
      <c r="P567" s="279"/>
      <c r="Q567" s="279"/>
      <c r="R567" s="279"/>
      <c r="S567" s="279"/>
      <c r="T567" s="279"/>
      <c r="U567" s="280"/>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9"/>
      <c r="N568" s="279"/>
      <c r="O568" s="279"/>
      <c r="P568" s="279"/>
      <c r="Q568" s="279"/>
      <c r="R568" s="279"/>
      <c r="S568" s="279"/>
      <c r="T568" s="279"/>
      <c r="U568" s="280"/>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9"/>
      <c r="N569" s="279"/>
      <c r="O569" s="279"/>
      <c r="P569" s="279"/>
      <c r="Q569" s="279"/>
      <c r="R569" s="279"/>
      <c r="S569" s="279"/>
      <c r="T569" s="279"/>
      <c r="U569" s="280"/>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9"/>
      <c r="N570" s="279"/>
      <c r="O570" s="279"/>
      <c r="P570" s="279"/>
      <c r="Q570" s="279"/>
      <c r="R570" s="279"/>
      <c r="S570" s="279"/>
      <c r="T570" s="279"/>
      <c r="U570" s="280"/>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9"/>
      <c r="N571" s="279"/>
      <c r="O571" s="279"/>
      <c r="P571" s="279"/>
      <c r="Q571" s="279"/>
      <c r="R571" s="279"/>
      <c r="S571" s="279"/>
      <c r="T571" s="279"/>
      <c r="U571" s="280"/>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9"/>
      <c r="N572" s="279"/>
      <c r="O572" s="279"/>
      <c r="P572" s="279"/>
      <c r="Q572" s="279"/>
      <c r="R572" s="279"/>
      <c r="S572" s="279"/>
      <c r="T572" s="279"/>
      <c r="U572" s="280"/>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9"/>
      <c r="N573" s="279"/>
      <c r="O573" s="279"/>
      <c r="P573" s="279"/>
      <c r="Q573" s="279"/>
      <c r="R573" s="279"/>
      <c r="S573" s="279"/>
      <c r="T573" s="279"/>
      <c r="U573" s="280"/>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9"/>
      <c r="N574" s="279"/>
      <c r="O574" s="279"/>
      <c r="P574" s="279"/>
      <c r="Q574" s="279"/>
      <c r="R574" s="279"/>
      <c r="S574" s="279"/>
      <c r="T574" s="279"/>
      <c r="U574" s="280"/>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0" t="s">
        <v>331</v>
      </c>
      <c r="C575" s="321"/>
      <c r="D575" s="79"/>
      <c r="E575" s="80"/>
      <c r="F575" s="80"/>
      <c r="G575" s="81"/>
      <c r="H575" s="192"/>
      <c r="I575" s="192"/>
      <c r="J575" s="192"/>
      <c r="K575" s="82"/>
      <c r="L575" s="320" t="s">
        <v>306</v>
      </c>
      <c r="M575" s="331"/>
      <c r="N575" s="331"/>
      <c r="O575" s="331"/>
      <c r="P575" s="331"/>
      <c r="Q575" s="331"/>
      <c r="R575" s="331"/>
      <c r="S575" s="331"/>
      <c r="T575" s="331"/>
      <c r="U575" s="321"/>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0" t="s">
        <v>307</v>
      </c>
      <c r="C576" s="321"/>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3" t="s">
        <v>222</v>
      </c>
      <c r="C580" s="314"/>
      <c r="D580" s="315" t="s">
        <v>223</v>
      </c>
      <c r="E580" s="306"/>
      <c r="F580" s="88"/>
      <c r="G580" s="316" t="s">
        <v>224</v>
      </c>
      <c r="H580" s="317"/>
      <c r="I580" s="28">
        <f>SUM(E591:E615)</f>
        <v>0</v>
      </c>
      <c r="J580" s="318" t="s">
        <v>225</v>
      </c>
      <c r="K580" s="319"/>
      <c r="L580" s="306"/>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6" t="s">
        <v>226</v>
      </c>
      <c r="AA580" s="297"/>
      <c r="AB580" s="298"/>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5" t="s">
        <v>230</v>
      </c>
      <c r="H581" s="306"/>
      <c r="I581" s="33">
        <f>E582-I580</f>
        <v>0</v>
      </c>
      <c r="J581" s="290" t="s">
        <v>231</v>
      </c>
      <c r="K581" s="291"/>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9" t="s">
        <v>232</v>
      </c>
      <c r="AA581" s="301" t="s">
        <v>233</v>
      </c>
      <c r="AB581" s="302"/>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292" t="s">
        <v>237</v>
      </c>
      <c r="H582" s="293"/>
      <c r="I582" s="35">
        <f>IF(E582=0,0,12-(MOD(I580,12)))</f>
        <v>0</v>
      </c>
      <c r="J582" s="290" t="s">
        <v>238</v>
      </c>
      <c r="K582" s="291"/>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0"/>
      <c r="AA582" s="303"/>
      <c r="AB582" s="304"/>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322" t="s">
        <v>242</v>
      </c>
      <c r="H583" s="43" t="s">
        <v>243</v>
      </c>
      <c r="I583" s="35">
        <f>IF(E583&lt;&gt;0,1,0)</f>
        <v>0</v>
      </c>
      <c r="J583" s="292" t="s">
        <v>244</v>
      </c>
      <c r="K583" s="293"/>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323"/>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322" t="s">
        <v>251</v>
      </c>
      <c r="H585" s="51" t="s">
        <v>252</v>
      </c>
      <c r="I585" s="112">
        <f>E584</f>
        <v>0</v>
      </c>
      <c r="J585" s="324" t="s">
        <v>253</v>
      </c>
      <c r="K585" s="325"/>
      <c r="L585" s="32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323"/>
      <c r="H586" s="47" t="s">
        <v>257</v>
      </c>
      <c r="I586" s="35" t="str">
        <f>IF(E584="","0",IF(AND(E581="EUC",E582=432), I585+(203-E583),IF(E584=0,0,(E584+(E582-E583)-1))))</f>
        <v>0</v>
      </c>
      <c r="J586" s="287" t="str">
        <f>IFERROR(IF(OR(E581="EUC",E581="SS"),"---",IF(OR(P580,S580),"NO 2F Tethers for RPX!",IF(OR(P582,S582),"NO 6F Tethers for RPX!","---"))),"---")</f>
        <v>---</v>
      </c>
      <c r="K586" s="288"/>
      <c r="L586" s="289"/>
      <c r="M586" s="287" t="str">
        <f>IF(E583&gt;60,"Dead Count &gt;60: Consider Downsize","---")</f>
        <v>---</v>
      </c>
      <c r="N586" s="288"/>
      <c r="O586" s="288"/>
      <c r="P586" s="288"/>
      <c r="Q586" s="288"/>
      <c r="R586" s="288"/>
      <c r="S586" s="288"/>
      <c r="T586" s="288"/>
      <c r="U586" s="289"/>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87"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8"/>
      <c r="L587" s="289"/>
      <c r="M587" s="287" t="str">
        <f>IF(AND(OR(E581="SS",E581="RPX",E581="EUC",E581="RPX-T"),(OR(C591="",C591="Field SPL"))),"Cannot have FlexNap cables without tethers","---")</f>
        <v>---</v>
      </c>
      <c r="N587" s="288"/>
      <c r="O587" s="288"/>
      <c r="P587" s="288"/>
      <c r="Q587" s="288"/>
      <c r="R587" s="288"/>
      <c r="S587" s="288"/>
      <c r="T587" s="288"/>
      <c r="U587" s="289"/>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7" t="str">
        <f>IF(AND(OR(E581="RPX", E581="RPX-T", E581="SS"),E582=216),"NO 216 For RPX, RPX-T, OR SS CABLE","---")</f>
        <v>---</v>
      </c>
      <c r="K588" s="288"/>
      <c r="L588" s="289"/>
      <c r="M588" s="287" t="str" cm="1">
        <f t="array" ref="M588">IF(AND(E581="",OR(C591:C615="FST",C591:C615="REV T",C591:C615="DBL REV",C591:C615="TPL REV", C591:C615="QD REV")),"Non-FlexNap cables cannot have tethers","---")</f>
        <v>---</v>
      </c>
      <c r="N588" s="288"/>
      <c r="O588" s="288"/>
      <c r="P588" s="288"/>
      <c r="Q588" s="288"/>
      <c r="R588" s="288"/>
      <c r="S588" s="288"/>
      <c r="T588" s="288"/>
      <c r="U588" s="289"/>
      <c r="V588" s="25"/>
      <c r="W588" s="58"/>
      <c r="X588" s="58"/>
      <c r="Y588" s="25"/>
      <c r="Z588" s="45">
        <v>6</v>
      </c>
      <c r="AA588" s="65">
        <v>61</v>
      </c>
      <c r="AB588" s="65">
        <v>72</v>
      </c>
      <c r="AC588" s="25"/>
      <c r="AD588" s="25"/>
      <c r="BA588" s="226"/>
    </row>
    <row r="589" spans="1:53" ht="15.75" customHeight="1" thickBot="1" x14ac:dyDescent="0.3">
      <c r="A589" s="88"/>
      <c r="B589" s="322" t="s">
        <v>260</v>
      </c>
      <c r="C589" s="294" t="s">
        <v>261</v>
      </c>
      <c r="D589" s="294" t="s">
        <v>262</v>
      </c>
      <c r="E589" s="307" t="s">
        <v>263</v>
      </c>
      <c r="F589" s="294" t="s">
        <v>264</v>
      </c>
      <c r="G589" s="309" t="s">
        <v>265</v>
      </c>
      <c r="H589" s="309" t="s">
        <v>266</v>
      </c>
      <c r="I589" s="309" t="s">
        <v>267</v>
      </c>
      <c r="J589" s="311" t="s">
        <v>268</v>
      </c>
      <c r="K589" s="294" t="s">
        <v>269</v>
      </c>
      <c r="L589" s="281" t="s">
        <v>270</v>
      </c>
      <c r="M589" s="283" t="s">
        <v>271</v>
      </c>
      <c r="N589" s="283"/>
      <c r="O589" s="283"/>
      <c r="P589" s="283"/>
      <c r="Q589" s="283"/>
      <c r="R589" s="283"/>
      <c r="S589" s="283"/>
      <c r="T589" s="283"/>
      <c r="U589" s="284"/>
      <c r="V589" s="107"/>
      <c r="W589" s="72"/>
      <c r="X589" s="72"/>
      <c r="Y589" s="72"/>
      <c r="Z589" s="45">
        <v>7</v>
      </c>
      <c r="AA589" s="65">
        <v>73</v>
      </c>
      <c r="AB589" s="65">
        <v>84</v>
      </c>
      <c r="AC589" s="25"/>
      <c r="AD589" s="25"/>
      <c r="BA589" s="228"/>
    </row>
    <row r="590" spans="1:53" ht="15.75" thickBot="1" x14ac:dyDescent="0.3">
      <c r="A590" s="88"/>
      <c r="B590" s="323"/>
      <c r="C590" s="295"/>
      <c r="D590" s="295"/>
      <c r="E590" s="308"/>
      <c r="F590" s="295"/>
      <c r="G590" s="310"/>
      <c r="H590" s="310"/>
      <c r="I590" s="310"/>
      <c r="J590" s="312"/>
      <c r="K590" s="295"/>
      <c r="L590" s="282"/>
      <c r="M590" s="285"/>
      <c r="N590" s="285"/>
      <c r="O590" s="285"/>
      <c r="P590" s="285"/>
      <c r="Q590" s="285"/>
      <c r="R590" s="285"/>
      <c r="S590" s="285"/>
      <c r="T590" s="285"/>
      <c r="U590" s="28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79"/>
      <c r="N591" s="279"/>
      <c r="O591" s="279"/>
      <c r="P591" s="279"/>
      <c r="Q591" s="279"/>
      <c r="R591" s="279"/>
      <c r="S591" s="279"/>
      <c r="T591" s="279"/>
      <c r="U591" s="280"/>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9"/>
      <c r="N592" s="279"/>
      <c r="O592" s="279"/>
      <c r="P592" s="279"/>
      <c r="Q592" s="279"/>
      <c r="R592" s="279"/>
      <c r="S592" s="279"/>
      <c r="T592" s="279"/>
      <c r="U592" s="280"/>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9"/>
      <c r="N593" s="279"/>
      <c r="O593" s="279"/>
      <c r="P593" s="279"/>
      <c r="Q593" s="279"/>
      <c r="R593" s="279"/>
      <c r="S593" s="279"/>
      <c r="T593" s="279"/>
      <c r="U593" s="280"/>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9"/>
      <c r="N594" s="279"/>
      <c r="O594" s="279"/>
      <c r="P594" s="279"/>
      <c r="Q594" s="279"/>
      <c r="R594" s="279"/>
      <c r="S594" s="279"/>
      <c r="T594" s="279"/>
      <c r="U594" s="280"/>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9"/>
      <c r="N595" s="279"/>
      <c r="O595" s="279"/>
      <c r="P595" s="279"/>
      <c r="Q595" s="279"/>
      <c r="R595" s="279"/>
      <c r="S595" s="279"/>
      <c r="T595" s="279"/>
      <c r="U595" s="280"/>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9"/>
      <c r="N596" s="279"/>
      <c r="O596" s="279"/>
      <c r="P596" s="279"/>
      <c r="Q596" s="279"/>
      <c r="R596" s="279"/>
      <c r="S596" s="279"/>
      <c r="T596" s="279"/>
      <c r="U596" s="280"/>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9"/>
      <c r="N597" s="279"/>
      <c r="O597" s="279"/>
      <c r="P597" s="279"/>
      <c r="Q597" s="279"/>
      <c r="R597" s="279"/>
      <c r="S597" s="279"/>
      <c r="T597" s="279"/>
      <c r="U597" s="280"/>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9"/>
      <c r="N598" s="279"/>
      <c r="O598" s="279"/>
      <c r="P598" s="279"/>
      <c r="Q598" s="279"/>
      <c r="R598" s="279"/>
      <c r="S598" s="279"/>
      <c r="T598" s="279"/>
      <c r="U598" s="280"/>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9"/>
      <c r="N599" s="279"/>
      <c r="O599" s="279"/>
      <c r="P599" s="279"/>
      <c r="Q599" s="279"/>
      <c r="R599" s="279"/>
      <c r="S599" s="279"/>
      <c r="T599" s="279"/>
      <c r="U599" s="280"/>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9"/>
      <c r="N600" s="279"/>
      <c r="O600" s="279"/>
      <c r="P600" s="279"/>
      <c r="Q600" s="279"/>
      <c r="R600" s="279"/>
      <c r="S600" s="279"/>
      <c r="T600" s="279"/>
      <c r="U600" s="280"/>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9"/>
      <c r="N601" s="279"/>
      <c r="O601" s="279"/>
      <c r="P601" s="279"/>
      <c r="Q601" s="279"/>
      <c r="R601" s="279"/>
      <c r="S601" s="279"/>
      <c r="T601" s="279"/>
      <c r="U601" s="280"/>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9"/>
      <c r="N602" s="279"/>
      <c r="O602" s="279"/>
      <c r="P602" s="279"/>
      <c r="Q602" s="279"/>
      <c r="R602" s="279"/>
      <c r="S602" s="279"/>
      <c r="T602" s="279"/>
      <c r="U602" s="280"/>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9"/>
      <c r="N603" s="279"/>
      <c r="O603" s="279"/>
      <c r="P603" s="279"/>
      <c r="Q603" s="279"/>
      <c r="R603" s="279"/>
      <c r="S603" s="279"/>
      <c r="T603" s="279"/>
      <c r="U603" s="280"/>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9"/>
      <c r="N604" s="279"/>
      <c r="O604" s="279"/>
      <c r="P604" s="279"/>
      <c r="Q604" s="279"/>
      <c r="R604" s="279"/>
      <c r="S604" s="279"/>
      <c r="T604" s="279"/>
      <c r="U604" s="280"/>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9"/>
      <c r="N605" s="279"/>
      <c r="O605" s="279"/>
      <c r="P605" s="279"/>
      <c r="Q605" s="279"/>
      <c r="R605" s="279"/>
      <c r="S605" s="279"/>
      <c r="T605" s="279"/>
      <c r="U605" s="280"/>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9"/>
      <c r="N606" s="279"/>
      <c r="O606" s="279"/>
      <c r="P606" s="279"/>
      <c r="Q606" s="279"/>
      <c r="R606" s="279"/>
      <c r="S606" s="279"/>
      <c r="T606" s="279"/>
      <c r="U606" s="280"/>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9"/>
      <c r="N607" s="279"/>
      <c r="O607" s="279"/>
      <c r="P607" s="279"/>
      <c r="Q607" s="279"/>
      <c r="R607" s="279"/>
      <c r="S607" s="279"/>
      <c r="T607" s="279"/>
      <c r="U607" s="280"/>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9"/>
      <c r="N608" s="279"/>
      <c r="O608" s="279"/>
      <c r="P608" s="279"/>
      <c r="Q608" s="279"/>
      <c r="R608" s="279"/>
      <c r="S608" s="279"/>
      <c r="T608" s="279"/>
      <c r="U608" s="280"/>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9"/>
      <c r="N609" s="279"/>
      <c r="O609" s="279"/>
      <c r="P609" s="279"/>
      <c r="Q609" s="279"/>
      <c r="R609" s="279"/>
      <c r="S609" s="279"/>
      <c r="T609" s="279"/>
      <c r="U609" s="280"/>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9"/>
      <c r="N610" s="279"/>
      <c r="O610" s="279"/>
      <c r="P610" s="279"/>
      <c r="Q610" s="279"/>
      <c r="R610" s="279"/>
      <c r="S610" s="279"/>
      <c r="T610" s="279"/>
      <c r="U610" s="280"/>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9"/>
      <c r="N611" s="279"/>
      <c r="O611" s="279"/>
      <c r="P611" s="279"/>
      <c r="Q611" s="279"/>
      <c r="R611" s="279"/>
      <c r="S611" s="279"/>
      <c r="T611" s="279"/>
      <c r="U611" s="280"/>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9"/>
      <c r="N612" s="279"/>
      <c r="O612" s="279"/>
      <c r="P612" s="279"/>
      <c r="Q612" s="279"/>
      <c r="R612" s="279"/>
      <c r="S612" s="279"/>
      <c r="T612" s="279"/>
      <c r="U612" s="280"/>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9"/>
      <c r="N613" s="279"/>
      <c r="O613" s="279"/>
      <c r="P613" s="279"/>
      <c r="Q613" s="279"/>
      <c r="R613" s="279"/>
      <c r="S613" s="279"/>
      <c r="T613" s="279"/>
      <c r="U613" s="280"/>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9"/>
      <c r="N614" s="279"/>
      <c r="O614" s="279"/>
      <c r="P614" s="279"/>
      <c r="Q614" s="279"/>
      <c r="R614" s="279"/>
      <c r="S614" s="279"/>
      <c r="T614" s="279"/>
      <c r="U614" s="280"/>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9"/>
      <c r="N615" s="279"/>
      <c r="O615" s="279"/>
      <c r="P615" s="279"/>
      <c r="Q615" s="279"/>
      <c r="R615" s="279"/>
      <c r="S615" s="279"/>
      <c r="T615" s="279"/>
      <c r="U615" s="280"/>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0" t="s">
        <v>333</v>
      </c>
      <c r="C616" s="321"/>
      <c r="D616" s="79"/>
      <c r="E616" s="80"/>
      <c r="F616" s="80"/>
      <c r="G616" s="81"/>
      <c r="H616" s="192"/>
      <c r="I616" s="192"/>
      <c r="J616" s="192"/>
      <c r="K616" s="82"/>
      <c r="L616" s="320" t="s">
        <v>306</v>
      </c>
      <c r="M616" s="331"/>
      <c r="N616" s="331"/>
      <c r="O616" s="331"/>
      <c r="P616" s="331"/>
      <c r="Q616" s="331"/>
      <c r="R616" s="331"/>
      <c r="S616" s="331"/>
      <c r="T616" s="331"/>
      <c r="U616" s="321"/>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0" t="s">
        <v>307</v>
      </c>
      <c r="C617" s="321"/>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3" t="s">
        <v>222</v>
      </c>
      <c r="C621" s="314"/>
      <c r="D621" s="315" t="s">
        <v>223</v>
      </c>
      <c r="E621" s="306"/>
      <c r="F621" s="88"/>
      <c r="G621" s="316" t="s">
        <v>224</v>
      </c>
      <c r="H621" s="317"/>
      <c r="I621" s="28">
        <f>SUM(E632:E656)</f>
        <v>0</v>
      </c>
      <c r="J621" s="318" t="s">
        <v>225</v>
      </c>
      <c r="K621" s="319"/>
      <c r="L621" s="306"/>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6" t="s">
        <v>226</v>
      </c>
      <c r="AA621" s="297"/>
      <c r="AB621" s="298"/>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5" t="s">
        <v>230</v>
      </c>
      <c r="H622" s="306"/>
      <c r="I622" s="33">
        <f>E623-I621</f>
        <v>0</v>
      </c>
      <c r="J622" s="290" t="s">
        <v>231</v>
      </c>
      <c r="K622" s="291"/>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299" t="s">
        <v>232</v>
      </c>
      <c r="AA622" s="301" t="s">
        <v>233</v>
      </c>
      <c r="AB622" s="302"/>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292" t="s">
        <v>237</v>
      </c>
      <c r="H623" s="293"/>
      <c r="I623" s="35">
        <f>IF(E623=0,0,12-(MOD(I621,12)))</f>
        <v>0</v>
      </c>
      <c r="J623" s="290" t="s">
        <v>238</v>
      </c>
      <c r="K623" s="291"/>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0"/>
      <c r="AA623" s="303"/>
      <c r="AB623" s="304"/>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322" t="s">
        <v>242</v>
      </c>
      <c r="H624" s="43" t="s">
        <v>243</v>
      </c>
      <c r="I624" s="35">
        <f>IF(E624&lt;&gt;0,1,0)</f>
        <v>0</v>
      </c>
      <c r="J624" s="292" t="s">
        <v>244</v>
      </c>
      <c r="K624" s="293"/>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323"/>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322" t="s">
        <v>251</v>
      </c>
      <c r="H626" s="51" t="s">
        <v>252</v>
      </c>
      <c r="I626" s="112">
        <f>E625</f>
        <v>0</v>
      </c>
      <c r="J626" s="324" t="s">
        <v>253</v>
      </c>
      <c r="K626" s="325"/>
      <c r="L626" s="32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323"/>
      <c r="H627" s="47" t="s">
        <v>257</v>
      </c>
      <c r="I627" s="35" t="str">
        <f>IF(E625="","0",IF(AND(E622="EUC",E623=432), I626+(203-E624),IF(E625=0,0,(E625+(E623-E624)-1))))</f>
        <v>0</v>
      </c>
      <c r="J627" s="287" t="str">
        <f>IFERROR(IF(OR(E622="EUC",E622="SS"),"---",IF(OR(P621,S621),"NO 2F Tethers for RPX!",IF(OR(P623,S623),"NO 6F Tethers for RPX!","---"))),"---")</f>
        <v>---</v>
      </c>
      <c r="K627" s="288"/>
      <c r="L627" s="289"/>
      <c r="M627" s="287" t="str">
        <f>IF(E624&gt;60,"Dead Count &gt;60: Consider Downsize","---")</f>
        <v>---</v>
      </c>
      <c r="N627" s="288"/>
      <c r="O627" s="288"/>
      <c r="P627" s="288"/>
      <c r="Q627" s="288"/>
      <c r="R627" s="288"/>
      <c r="S627" s="288"/>
      <c r="T627" s="288"/>
      <c r="U627" s="289"/>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87"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8"/>
      <c r="L628" s="289"/>
      <c r="M628" s="287" t="str">
        <f>IF(AND(OR(E622="SS",E622="RPX",E622="EUC",E622="RPX-T"),(OR(C632="",C632="Field SPL"))),"Cannot have FlexNap cables without tethers","---")</f>
        <v>---</v>
      </c>
      <c r="N628" s="288"/>
      <c r="O628" s="288"/>
      <c r="P628" s="288"/>
      <c r="Q628" s="288"/>
      <c r="R628" s="288"/>
      <c r="S628" s="288"/>
      <c r="T628" s="288"/>
      <c r="U628" s="289"/>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7" t="str">
        <f>IF(AND(OR(E622="RPX", E622="RPX-T", E622="SS"),E623=216),"NO 216 For RPX, RPX-T, OR SS CABLE","---")</f>
        <v>---</v>
      </c>
      <c r="K629" s="288"/>
      <c r="L629" s="289"/>
      <c r="M629" s="287" t="str" cm="1">
        <f t="array" ref="M629">IF(AND(E622="",OR(C632:C656="FST",C632:C656="REV T",C632:C656="DBL REV",C632:C656="TPL REV", C632:C656="QD REV")),"Non-FlexNap cables cannot have tethers","---")</f>
        <v>---</v>
      </c>
      <c r="N629" s="288"/>
      <c r="O629" s="288"/>
      <c r="P629" s="288"/>
      <c r="Q629" s="288"/>
      <c r="R629" s="288"/>
      <c r="S629" s="288"/>
      <c r="T629" s="288"/>
      <c r="U629" s="289"/>
      <c r="V629" s="25"/>
      <c r="W629" s="58"/>
      <c r="X629" s="58"/>
      <c r="Y629" s="25"/>
      <c r="Z629" s="45">
        <v>6</v>
      </c>
      <c r="AA629" s="65">
        <v>61</v>
      </c>
      <c r="AB629" s="65">
        <v>72</v>
      </c>
      <c r="AC629" s="25"/>
      <c r="AD629" s="25"/>
      <c r="BA629" s="226"/>
    </row>
    <row r="630" spans="1:53" ht="15.75" customHeight="1" thickBot="1" x14ac:dyDescent="0.3">
      <c r="A630" s="88"/>
      <c r="B630" s="322" t="s">
        <v>260</v>
      </c>
      <c r="C630" s="294" t="s">
        <v>261</v>
      </c>
      <c r="D630" s="294" t="s">
        <v>262</v>
      </c>
      <c r="E630" s="307" t="s">
        <v>263</v>
      </c>
      <c r="F630" s="294" t="s">
        <v>264</v>
      </c>
      <c r="G630" s="309" t="s">
        <v>265</v>
      </c>
      <c r="H630" s="309" t="s">
        <v>266</v>
      </c>
      <c r="I630" s="309" t="s">
        <v>267</v>
      </c>
      <c r="J630" s="311" t="s">
        <v>268</v>
      </c>
      <c r="K630" s="294" t="s">
        <v>269</v>
      </c>
      <c r="L630" s="281" t="s">
        <v>270</v>
      </c>
      <c r="M630" s="283" t="s">
        <v>271</v>
      </c>
      <c r="N630" s="283"/>
      <c r="O630" s="283"/>
      <c r="P630" s="283"/>
      <c r="Q630" s="283"/>
      <c r="R630" s="283"/>
      <c r="S630" s="283"/>
      <c r="T630" s="283"/>
      <c r="U630" s="284"/>
      <c r="V630" s="107"/>
      <c r="W630" s="72"/>
      <c r="X630" s="72"/>
      <c r="Y630" s="72"/>
      <c r="Z630" s="45">
        <v>7</v>
      </c>
      <c r="AA630" s="65">
        <v>73</v>
      </c>
      <c r="AB630" s="65">
        <v>84</v>
      </c>
      <c r="AC630" s="25"/>
      <c r="AD630" s="25"/>
      <c r="BA630" s="228"/>
    </row>
    <row r="631" spans="1:53" ht="15.75" thickBot="1" x14ac:dyDescent="0.3">
      <c r="A631" s="88"/>
      <c r="B631" s="323"/>
      <c r="C631" s="295"/>
      <c r="D631" s="295"/>
      <c r="E631" s="308"/>
      <c r="F631" s="295"/>
      <c r="G631" s="310"/>
      <c r="H631" s="310"/>
      <c r="I631" s="310"/>
      <c r="J631" s="312"/>
      <c r="K631" s="295"/>
      <c r="L631" s="282"/>
      <c r="M631" s="285"/>
      <c r="N631" s="285"/>
      <c r="O631" s="285"/>
      <c r="P631" s="285"/>
      <c r="Q631" s="285"/>
      <c r="R631" s="285"/>
      <c r="S631" s="285"/>
      <c r="T631" s="285"/>
      <c r="U631" s="28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79"/>
      <c r="N632" s="279"/>
      <c r="O632" s="279"/>
      <c r="P632" s="279"/>
      <c r="Q632" s="279"/>
      <c r="R632" s="279"/>
      <c r="S632" s="279"/>
      <c r="T632" s="279"/>
      <c r="U632" s="280"/>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79"/>
      <c r="N633" s="279"/>
      <c r="O633" s="279"/>
      <c r="P633" s="279"/>
      <c r="Q633" s="279"/>
      <c r="R633" s="279"/>
      <c r="S633" s="279"/>
      <c r="T633" s="279"/>
      <c r="U633" s="280"/>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79"/>
      <c r="N634" s="279"/>
      <c r="O634" s="279"/>
      <c r="P634" s="279"/>
      <c r="Q634" s="279"/>
      <c r="R634" s="279"/>
      <c r="S634" s="279"/>
      <c r="T634" s="279"/>
      <c r="U634" s="280"/>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79"/>
      <c r="N635" s="279"/>
      <c r="O635" s="279"/>
      <c r="P635" s="279"/>
      <c r="Q635" s="279"/>
      <c r="R635" s="279"/>
      <c r="S635" s="279"/>
      <c r="T635" s="279"/>
      <c r="U635" s="280"/>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9"/>
      <c r="N636" s="279"/>
      <c r="O636" s="279"/>
      <c r="P636" s="279"/>
      <c r="Q636" s="279"/>
      <c r="R636" s="279"/>
      <c r="S636" s="279"/>
      <c r="T636" s="279"/>
      <c r="U636" s="280"/>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9"/>
      <c r="N637" s="279"/>
      <c r="O637" s="279"/>
      <c r="P637" s="279"/>
      <c r="Q637" s="279"/>
      <c r="R637" s="279"/>
      <c r="S637" s="279"/>
      <c r="T637" s="279"/>
      <c r="U637" s="280"/>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9"/>
      <c r="N638" s="279"/>
      <c r="O638" s="279"/>
      <c r="P638" s="279"/>
      <c r="Q638" s="279"/>
      <c r="R638" s="279"/>
      <c r="S638" s="279"/>
      <c r="T638" s="279"/>
      <c r="U638" s="280"/>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9"/>
      <c r="N639" s="279"/>
      <c r="O639" s="279"/>
      <c r="P639" s="279"/>
      <c r="Q639" s="279"/>
      <c r="R639" s="279"/>
      <c r="S639" s="279"/>
      <c r="T639" s="279"/>
      <c r="U639" s="280"/>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9"/>
      <c r="N640" s="279"/>
      <c r="O640" s="279"/>
      <c r="P640" s="279"/>
      <c r="Q640" s="279"/>
      <c r="R640" s="279"/>
      <c r="S640" s="279"/>
      <c r="T640" s="279"/>
      <c r="U640" s="280"/>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9"/>
      <c r="N641" s="279"/>
      <c r="O641" s="279"/>
      <c r="P641" s="279"/>
      <c r="Q641" s="279"/>
      <c r="R641" s="279"/>
      <c r="S641" s="279"/>
      <c r="T641" s="279"/>
      <c r="U641" s="280"/>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9"/>
      <c r="N642" s="279"/>
      <c r="O642" s="279"/>
      <c r="P642" s="279"/>
      <c r="Q642" s="279"/>
      <c r="R642" s="279"/>
      <c r="S642" s="279"/>
      <c r="T642" s="279"/>
      <c r="U642" s="280"/>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9"/>
      <c r="N643" s="279"/>
      <c r="O643" s="279"/>
      <c r="P643" s="279"/>
      <c r="Q643" s="279"/>
      <c r="R643" s="279"/>
      <c r="S643" s="279"/>
      <c r="T643" s="279"/>
      <c r="U643" s="280"/>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9"/>
      <c r="N644" s="279"/>
      <c r="O644" s="279"/>
      <c r="P644" s="279"/>
      <c r="Q644" s="279"/>
      <c r="R644" s="279"/>
      <c r="S644" s="279"/>
      <c r="T644" s="279"/>
      <c r="U644" s="280"/>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9"/>
      <c r="N645" s="279"/>
      <c r="O645" s="279"/>
      <c r="P645" s="279"/>
      <c r="Q645" s="279"/>
      <c r="R645" s="279"/>
      <c r="S645" s="279"/>
      <c r="T645" s="279"/>
      <c r="U645" s="280"/>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9"/>
      <c r="N646" s="279"/>
      <c r="O646" s="279"/>
      <c r="P646" s="279"/>
      <c r="Q646" s="279"/>
      <c r="R646" s="279"/>
      <c r="S646" s="279"/>
      <c r="T646" s="279"/>
      <c r="U646" s="280"/>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9"/>
      <c r="N647" s="279"/>
      <c r="O647" s="279"/>
      <c r="P647" s="279"/>
      <c r="Q647" s="279"/>
      <c r="R647" s="279"/>
      <c r="S647" s="279"/>
      <c r="T647" s="279"/>
      <c r="U647" s="280"/>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9"/>
      <c r="N648" s="279"/>
      <c r="O648" s="279"/>
      <c r="P648" s="279"/>
      <c r="Q648" s="279"/>
      <c r="R648" s="279"/>
      <c r="S648" s="279"/>
      <c r="T648" s="279"/>
      <c r="U648" s="280"/>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9"/>
      <c r="N649" s="279"/>
      <c r="O649" s="279"/>
      <c r="P649" s="279"/>
      <c r="Q649" s="279"/>
      <c r="R649" s="279"/>
      <c r="S649" s="279"/>
      <c r="T649" s="279"/>
      <c r="U649" s="280"/>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9"/>
      <c r="N650" s="279"/>
      <c r="O650" s="279"/>
      <c r="P650" s="279"/>
      <c r="Q650" s="279"/>
      <c r="R650" s="279"/>
      <c r="S650" s="279"/>
      <c r="T650" s="279"/>
      <c r="U650" s="280"/>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9"/>
      <c r="N651" s="279"/>
      <c r="O651" s="279"/>
      <c r="P651" s="279"/>
      <c r="Q651" s="279"/>
      <c r="R651" s="279"/>
      <c r="S651" s="279"/>
      <c r="T651" s="279"/>
      <c r="U651" s="280"/>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9"/>
      <c r="N652" s="279"/>
      <c r="O652" s="279"/>
      <c r="P652" s="279"/>
      <c r="Q652" s="279"/>
      <c r="R652" s="279"/>
      <c r="S652" s="279"/>
      <c r="T652" s="279"/>
      <c r="U652" s="280"/>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9"/>
      <c r="N653" s="279"/>
      <c r="O653" s="279"/>
      <c r="P653" s="279"/>
      <c r="Q653" s="279"/>
      <c r="R653" s="279"/>
      <c r="S653" s="279"/>
      <c r="T653" s="279"/>
      <c r="U653" s="280"/>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9"/>
      <c r="N654" s="279"/>
      <c r="O654" s="279"/>
      <c r="P654" s="279"/>
      <c r="Q654" s="279"/>
      <c r="R654" s="279"/>
      <c r="S654" s="279"/>
      <c r="T654" s="279"/>
      <c r="U654" s="280"/>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9"/>
      <c r="N655" s="279"/>
      <c r="O655" s="279"/>
      <c r="P655" s="279"/>
      <c r="Q655" s="279"/>
      <c r="R655" s="279"/>
      <c r="S655" s="279"/>
      <c r="T655" s="279"/>
      <c r="U655" s="280"/>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9"/>
      <c r="N656" s="279"/>
      <c r="O656" s="279"/>
      <c r="P656" s="279"/>
      <c r="Q656" s="279"/>
      <c r="R656" s="279"/>
      <c r="S656" s="279"/>
      <c r="T656" s="279"/>
      <c r="U656" s="280"/>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0" t="s">
        <v>335</v>
      </c>
      <c r="C657" s="321"/>
      <c r="D657" s="79"/>
      <c r="E657" s="80"/>
      <c r="F657" s="80"/>
      <c r="G657" s="81"/>
      <c r="H657" s="192"/>
      <c r="I657" s="192"/>
      <c r="J657" s="192"/>
      <c r="K657" s="82"/>
      <c r="L657" s="320" t="s">
        <v>306</v>
      </c>
      <c r="M657" s="331"/>
      <c r="N657" s="331"/>
      <c r="O657" s="331"/>
      <c r="P657" s="331"/>
      <c r="Q657" s="331"/>
      <c r="R657" s="331"/>
      <c r="S657" s="331"/>
      <c r="T657" s="331"/>
      <c r="U657" s="321"/>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0" t="s">
        <v>307</v>
      </c>
      <c r="C658" s="321"/>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3" t="s">
        <v>222</v>
      </c>
      <c r="C662" s="314"/>
      <c r="D662" s="315" t="s">
        <v>223</v>
      </c>
      <c r="E662" s="306"/>
      <c r="F662" s="88"/>
      <c r="G662" s="316" t="s">
        <v>224</v>
      </c>
      <c r="H662" s="317"/>
      <c r="I662" s="28">
        <f>SUM(E673:E697)</f>
        <v>0</v>
      </c>
      <c r="J662" s="318" t="s">
        <v>225</v>
      </c>
      <c r="K662" s="319"/>
      <c r="L662" s="306"/>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6" t="s">
        <v>226</v>
      </c>
      <c r="AA662" s="297"/>
      <c r="AB662" s="298"/>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5" t="s">
        <v>230</v>
      </c>
      <c r="H663" s="306"/>
      <c r="I663" s="33">
        <f>E664-I662</f>
        <v>0</v>
      </c>
      <c r="J663" s="290" t="s">
        <v>231</v>
      </c>
      <c r="K663" s="291"/>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9" t="s">
        <v>232</v>
      </c>
      <c r="AA663" s="301" t="s">
        <v>233</v>
      </c>
      <c r="AB663" s="302"/>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292" t="s">
        <v>237</v>
      </c>
      <c r="H664" s="293"/>
      <c r="I664" s="35">
        <f>IF(E664=0,0,12-(MOD(I662,12)))</f>
        <v>0</v>
      </c>
      <c r="J664" s="290" t="s">
        <v>238</v>
      </c>
      <c r="K664" s="291"/>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0"/>
      <c r="AA664" s="303"/>
      <c r="AB664" s="304"/>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322" t="s">
        <v>242</v>
      </c>
      <c r="H665" s="43" t="s">
        <v>243</v>
      </c>
      <c r="I665" s="35">
        <f>IF(E665&lt;&gt;0,1,0)</f>
        <v>0</v>
      </c>
      <c r="J665" s="292" t="s">
        <v>244</v>
      </c>
      <c r="K665" s="293"/>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323"/>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322" t="s">
        <v>251</v>
      </c>
      <c r="H667" s="51" t="s">
        <v>252</v>
      </c>
      <c r="I667" s="112">
        <f>E666</f>
        <v>0</v>
      </c>
      <c r="J667" s="324" t="s">
        <v>253</v>
      </c>
      <c r="K667" s="325"/>
      <c r="L667" s="32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323"/>
      <c r="H668" s="47" t="s">
        <v>257</v>
      </c>
      <c r="I668" s="35" t="str">
        <f>IF(E666="","0",IF(AND(E663="EUC",E664=432), I667+(203-E665),IF(E666=0,0,(E666+(E664-E665)-1))))</f>
        <v>0</v>
      </c>
      <c r="J668" s="287" t="str">
        <f>IFERROR(IF(OR(E663="EUC",E663="SS"),"---",IF(OR(P662,S662),"NO 2F Tethers for RPX!",IF(OR(P664,S664),"NO 6F Tethers for RPX!","---"))),"---")</f>
        <v>---</v>
      </c>
      <c r="K668" s="288"/>
      <c r="L668" s="289"/>
      <c r="M668" s="287" t="str">
        <f>IF(E665&gt;60,"Dead Count &gt;60: Consider Downsize","---")</f>
        <v>---</v>
      </c>
      <c r="N668" s="288"/>
      <c r="O668" s="288"/>
      <c r="P668" s="288"/>
      <c r="Q668" s="288"/>
      <c r="R668" s="288"/>
      <c r="S668" s="288"/>
      <c r="T668" s="288"/>
      <c r="U668" s="289"/>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87"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8"/>
      <c r="L669" s="289"/>
      <c r="M669" s="287" t="str">
        <f>IF(AND(OR(E663="SS",E663="RPX",E663="EUC",E663="RPX-T"),(OR(C673="",C673="Field SPL"))),"Cannot have FlexNap cables without tethers","---")</f>
        <v>---</v>
      </c>
      <c r="N669" s="288"/>
      <c r="O669" s="288"/>
      <c r="P669" s="288"/>
      <c r="Q669" s="288"/>
      <c r="R669" s="288"/>
      <c r="S669" s="288"/>
      <c r="T669" s="288"/>
      <c r="U669" s="289"/>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7" t="str">
        <f>IF(AND(OR(E663="RPX", E663="RPX-T", E663="SS"),E664=216),"NO 216 For RPX, RPX-T, OR SS CABLE","---")</f>
        <v>---</v>
      </c>
      <c r="K670" s="288"/>
      <c r="L670" s="289"/>
      <c r="M670" s="287" t="str" cm="1">
        <f t="array" ref="M670">IF(AND(E663="",OR(C673:C697="FST",C673:C697="REV T",C673:C697="DBL REV",C673:C697="TPL REV", C673:C697="QD REV")),"Non-FlexNap cables cannot have tethers","---")</f>
        <v>---</v>
      </c>
      <c r="N670" s="288"/>
      <c r="O670" s="288"/>
      <c r="P670" s="288"/>
      <c r="Q670" s="288"/>
      <c r="R670" s="288"/>
      <c r="S670" s="288"/>
      <c r="T670" s="288"/>
      <c r="U670" s="289"/>
      <c r="V670" s="25"/>
      <c r="W670" s="58"/>
      <c r="X670" s="58"/>
      <c r="Y670" s="25"/>
      <c r="Z670" s="45">
        <v>6</v>
      </c>
      <c r="AA670" s="65">
        <v>61</v>
      </c>
      <c r="AB670" s="65">
        <v>72</v>
      </c>
      <c r="AC670" s="25"/>
      <c r="AD670" s="25"/>
      <c r="BA670" s="226"/>
    </row>
    <row r="671" spans="1:53" ht="15.75" customHeight="1" thickBot="1" x14ac:dyDescent="0.3">
      <c r="A671" s="88"/>
      <c r="B671" s="322" t="s">
        <v>260</v>
      </c>
      <c r="C671" s="294" t="s">
        <v>261</v>
      </c>
      <c r="D671" s="294" t="s">
        <v>262</v>
      </c>
      <c r="E671" s="307" t="s">
        <v>263</v>
      </c>
      <c r="F671" s="294" t="s">
        <v>264</v>
      </c>
      <c r="G671" s="309" t="s">
        <v>265</v>
      </c>
      <c r="H671" s="309" t="s">
        <v>266</v>
      </c>
      <c r="I671" s="309" t="s">
        <v>267</v>
      </c>
      <c r="J671" s="311" t="s">
        <v>268</v>
      </c>
      <c r="K671" s="294" t="s">
        <v>269</v>
      </c>
      <c r="L671" s="281" t="s">
        <v>270</v>
      </c>
      <c r="M671" s="283" t="s">
        <v>271</v>
      </c>
      <c r="N671" s="283"/>
      <c r="O671" s="283"/>
      <c r="P671" s="283"/>
      <c r="Q671" s="283"/>
      <c r="R671" s="283"/>
      <c r="S671" s="283"/>
      <c r="T671" s="283"/>
      <c r="U671" s="284"/>
      <c r="V671" s="107"/>
      <c r="W671" s="72"/>
      <c r="X671" s="72"/>
      <c r="Y671" s="72"/>
      <c r="Z671" s="45">
        <v>7</v>
      </c>
      <c r="AA671" s="65">
        <v>73</v>
      </c>
      <c r="AB671" s="65">
        <v>84</v>
      </c>
      <c r="AC671" s="25"/>
      <c r="AD671" s="25"/>
      <c r="BA671" s="228"/>
    </row>
    <row r="672" spans="1:53" ht="15.75" thickBot="1" x14ac:dyDescent="0.3">
      <c r="A672" s="88"/>
      <c r="B672" s="323"/>
      <c r="C672" s="295"/>
      <c r="D672" s="295"/>
      <c r="E672" s="308"/>
      <c r="F672" s="295"/>
      <c r="G672" s="310"/>
      <c r="H672" s="310"/>
      <c r="I672" s="310"/>
      <c r="J672" s="312"/>
      <c r="K672" s="295"/>
      <c r="L672" s="282"/>
      <c r="M672" s="285"/>
      <c r="N672" s="285"/>
      <c r="O672" s="285"/>
      <c r="P672" s="285"/>
      <c r="Q672" s="285"/>
      <c r="R672" s="285"/>
      <c r="S672" s="285"/>
      <c r="T672" s="285"/>
      <c r="U672" s="28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79"/>
      <c r="N673" s="279"/>
      <c r="O673" s="279"/>
      <c r="P673" s="279"/>
      <c r="Q673" s="279"/>
      <c r="R673" s="279"/>
      <c r="S673" s="279"/>
      <c r="T673" s="279"/>
      <c r="U673" s="280"/>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79"/>
      <c r="N674" s="279"/>
      <c r="O674" s="279"/>
      <c r="P674" s="279"/>
      <c r="Q674" s="279"/>
      <c r="R674" s="279"/>
      <c r="S674" s="279"/>
      <c r="T674" s="279"/>
      <c r="U674" s="280"/>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9"/>
      <c r="N675" s="279"/>
      <c r="O675" s="279"/>
      <c r="P675" s="279"/>
      <c r="Q675" s="279"/>
      <c r="R675" s="279"/>
      <c r="S675" s="279"/>
      <c r="T675" s="279"/>
      <c r="U675" s="280"/>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9"/>
      <c r="N676" s="279"/>
      <c r="O676" s="279"/>
      <c r="P676" s="279"/>
      <c r="Q676" s="279"/>
      <c r="R676" s="279"/>
      <c r="S676" s="279"/>
      <c r="T676" s="279"/>
      <c r="U676" s="280"/>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9"/>
      <c r="N677" s="279"/>
      <c r="O677" s="279"/>
      <c r="P677" s="279"/>
      <c r="Q677" s="279"/>
      <c r="R677" s="279"/>
      <c r="S677" s="279"/>
      <c r="T677" s="279"/>
      <c r="U677" s="280"/>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9"/>
      <c r="N678" s="279"/>
      <c r="O678" s="279"/>
      <c r="P678" s="279"/>
      <c r="Q678" s="279"/>
      <c r="R678" s="279"/>
      <c r="S678" s="279"/>
      <c r="T678" s="279"/>
      <c r="U678" s="280"/>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9"/>
      <c r="N679" s="279"/>
      <c r="O679" s="279"/>
      <c r="P679" s="279"/>
      <c r="Q679" s="279"/>
      <c r="R679" s="279"/>
      <c r="S679" s="279"/>
      <c r="T679" s="279"/>
      <c r="U679" s="280"/>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9"/>
      <c r="N680" s="279"/>
      <c r="O680" s="279"/>
      <c r="P680" s="279"/>
      <c r="Q680" s="279"/>
      <c r="R680" s="279"/>
      <c r="S680" s="279"/>
      <c r="T680" s="279"/>
      <c r="U680" s="280"/>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9"/>
      <c r="N681" s="279"/>
      <c r="O681" s="279"/>
      <c r="P681" s="279"/>
      <c r="Q681" s="279"/>
      <c r="R681" s="279"/>
      <c r="S681" s="279"/>
      <c r="T681" s="279"/>
      <c r="U681" s="280"/>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9"/>
      <c r="N682" s="279"/>
      <c r="O682" s="279"/>
      <c r="P682" s="279"/>
      <c r="Q682" s="279"/>
      <c r="R682" s="279"/>
      <c r="S682" s="279"/>
      <c r="T682" s="279"/>
      <c r="U682" s="280"/>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9"/>
      <c r="N683" s="279"/>
      <c r="O683" s="279"/>
      <c r="P683" s="279"/>
      <c r="Q683" s="279"/>
      <c r="R683" s="279"/>
      <c r="S683" s="279"/>
      <c r="T683" s="279"/>
      <c r="U683" s="280"/>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9"/>
      <c r="N684" s="279"/>
      <c r="O684" s="279"/>
      <c r="P684" s="279"/>
      <c r="Q684" s="279"/>
      <c r="R684" s="279"/>
      <c r="S684" s="279"/>
      <c r="T684" s="279"/>
      <c r="U684" s="280"/>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9"/>
      <c r="N685" s="279"/>
      <c r="O685" s="279"/>
      <c r="P685" s="279"/>
      <c r="Q685" s="279"/>
      <c r="R685" s="279"/>
      <c r="S685" s="279"/>
      <c r="T685" s="279"/>
      <c r="U685" s="280"/>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9"/>
      <c r="N686" s="279"/>
      <c r="O686" s="279"/>
      <c r="P686" s="279"/>
      <c r="Q686" s="279"/>
      <c r="R686" s="279"/>
      <c r="S686" s="279"/>
      <c r="T686" s="279"/>
      <c r="U686" s="280"/>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9"/>
      <c r="N687" s="279"/>
      <c r="O687" s="279"/>
      <c r="P687" s="279"/>
      <c r="Q687" s="279"/>
      <c r="R687" s="279"/>
      <c r="S687" s="279"/>
      <c r="T687" s="279"/>
      <c r="U687" s="280"/>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9"/>
      <c r="N688" s="279"/>
      <c r="O688" s="279"/>
      <c r="P688" s="279"/>
      <c r="Q688" s="279"/>
      <c r="R688" s="279"/>
      <c r="S688" s="279"/>
      <c r="T688" s="279"/>
      <c r="U688" s="280"/>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9"/>
      <c r="N689" s="279"/>
      <c r="O689" s="279"/>
      <c r="P689" s="279"/>
      <c r="Q689" s="279"/>
      <c r="R689" s="279"/>
      <c r="S689" s="279"/>
      <c r="T689" s="279"/>
      <c r="U689" s="280"/>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9"/>
      <c r="N690" s="279"/>
      <c r="O690" s="279"/>
      <c r="P690" s="279"/>
      <c r="Q690" s="279"/>
      <c r="R690" s="279"/>
      <c r="S690" s="279"/>
      <c r="T690" s="279"/>
      <c r="U690" s="280"/>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9"/>
      <c r="N691" s="279"/>
      <c r="O691" s="279"/>
      <c r="P691" s="279"/>
      <c r="Q691" s="279"/>
      <c r="R691" s="279"/>
      <c r="S691" s="279"/>
      <c r="T691" s="279"/>
      <c r="U691" s="280"/>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9"/>
      <c r="N692" s="279"/>
      <c r="O692" s="279"/>
      <c r="P692" s="279"/>
      <c r="Q692" s="279"/>
      <c r="R692" s="279"/>
      <c r="S692" s="279"/>
      <c r="T692" s="279"/>
      <c r="U692" s="280"/>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9"/>
      <c r="N693" s="279"/>
      <c r="O693" s="279"/>
      <c r="P693" s="279"/>
      <c r="Q693" s="279"/>
      <c r="R693" s="279"/>
      <c r="S693" s="279"/>
      <c r="T693" s="279"/>
      <c r="U693" s="280"/>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9"/>
      <c r="N694" s="279"/>
      <c r="O694" s="279"/>
      <c r="P694" s="279"/>
      <c r="Q694" s="279"/>
      <c r="R694" s="279"/>
      <c r="S694" s="279"/>
      <c r="T694" s="279"/>
      <c r="U694" s="280"/>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9"/>
      <c r="N695" s="279"/>
      <c r="O695" s="279"/>
      <c r="P695" s="279"/>
      <c r="Q695" s="279"/>
      <c r="R695" s="279"/>
      <c r="S695" s="279"/>
      <c r="T695" s="279"/>
      <c r="U695" s="280"/>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9"/>
      <c r="N696" s="279"/>
      <c r="O696" s="279"/>
      <c r="P696" s="279"/>
      <c r="Q696" s="279"/>
      <c r="R696" s="279"/>
      <c r="S696" s="279"/>
      <c r="T696" s="279"/>
      <c r="U696" s="280"/>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9"/>
      <c r="N697" s="279"/>
      <c r="O697" s="279"/>
      <c r="P697" s="279"/>
      <c r="Q697" s="279"/>
      <c r="R697" s="279"/>
      <c r="S697" s="279"/>
      <c r="T697" s="279"/>
      <c r="U697" s="280"/>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0" t="s">
        <v>337</v>
      </c>
      <c r="C698" s="321"/>
      <c r="D698" s="79"/>
      <c r="E698" s="80"/>
      <c r="F698" s="80"/>
      <c r="G698" s="81"/>
      <c r="H698" s="192"/>
      <c r="I698" s="192"/>
      <c r="J698" s="192"/>
      <c r="K698" s="82"/>
      <c r="L698" s="320" t="s">
        <v>306</v>
      </c>
      <c r="M698" s="331"/>
      <c r="N698" s="331"/>
      <c r="O698" s="331"/>
      <c r="P698" s="331"/>
      <c r="Q698" s="331"/>
      <c r="R698" s="331"/>
      <c r="S698" s="331"/>
      <c r="T698" s="331"/>
      <c r="U698" s="321"/>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0" t="s">
        <v>307</v>
      </c>
      <c r="C699" s="321"/>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3" t="s">
        <v>222</v>
      </c>
      <c r="C703" s="314"/>
      <c r="D703" s="315" t="s">
        <v>223</v>
      </c>
      <c r="E703" s="306"/>
      <c r="F703" s="88"/>
      <c r="G703" s="316" t="s">
        <v>224</v>
      </c>
      <c r="H703" s="317"/>
      <c r="I703" s="28">
        <f>SUM(E714:E738)</f>
        <v>0</v>
      </c>
      <c r="J703" s="318" t="s">
        <v>225</v>
      </c>
      <c r="K703" s="319"/>
      <c r="L703" s="306"/>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6" t="s">
        <v>226</v>
      </c>
      <c r="AA703" s="297"/>
      <c r="AB703" s="298"/>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5" t="s">
        <v>230</v>
      </c>
      <c r="H704" s="306"/>
      <c r="I704" s="33">
        <f>E705-I703</f>
        <v>0</v>
      </c>
      <c r="J704" s="290" t="s">
        <v>231</v>
      </c>
      <c r="K704" s="291"/>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9" t="s">
        <v>232</v>
      </c>
      <c r="AA704" s="301" t="s">
        <v>233</v>
      </c>
      <c r="AB704" s="302"/>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292" t="s">
        <v>237</v>
      </c>
      <c r="H705" s="293"/>
      <c r="I705" s="35">
        <f>IF(E705=0,0,12-(MOD(I703,12)))</f>
        <v>0</v>
      </c>
      <c r="J705" s="290" t="s">
        <v>238</v>
      </c>
      <c r="K705" s="291"/>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0"/>
      <c r="AA705" s="303"/>
      <c r="AB705" s="304"/>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322" t="s">
        <v>242</v>
      </c>
      <c r="H706" s="43" t="s">
        <v>243</v>
      </c>
      <c r="I706" s="35">
        <f>IF(E706&lt;&gt;0,1,0)</f>
        <v>0</v>
      </c>
      <c r="J706" s="292" t="s">
        <v>244</v>
      </c>
      <c r="K706" s="293"/>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323"/>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322" t="s">
        <v>251</v>
      </c>
      <c r="H708" s="51" t="s">
        <v>252</v>
      </c>
      <c r="I708" s="112">
        <f>E707</f>
        <v>0</v>
      </c>
      <c r="J708" s="324" t="s">
        <v>253</v>
      </c>
      <c r="K708" s="325"/>
      <c r="L708" s="32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323"/>
      <c r="H709" s="47" t="s">
        <v>257</v>
      </c>
      <c r="I709" s="35" t="str">
        <f>IF(E707="","0",IF(AND(E704="EUC",E705=432), I708+(203-E706),IF(E707=0,0,(E707+(E705-E706)-1))))</f>
        <v>0</v>
      </c>
      <c r="J709" s="287" t="str">
        <f>IFERROR(IF(OR(E704="EUC",E704="SS"),"---",IF(OR(P703,S703),"NO 2F Tethers for RPX!",IF(OR(P705,S705),"NO 6F Tethers for RPX!","---"))),"---")</f>
        <v>---</v>
      </c>
      <c r="K709" s="288"/>
      <c r="L709" s="289"/>
      <c r="M709" s="287" t="str">
        <f>IF(E706&gt;60,"Dead Count &gt;60: Consider Downsize","---")</f>
        <v>---</v>
      </c>
      <c r="N709" s="288"/>
      <c r="O709" s="288"/>
      <c r="P709" s="288"/>
      <c r="Q709" s="288"/>
      <c r="R709" s="288"/>
      <c r="S709" s="288"/>
      <c r="T709" s="288"/>
      <c r="U709" s="289"/>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87"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8"/>
      <c r="L710" s="289"/>
      <c r="M710" s="287" t="str">
        <f>IF(AND(OR(E704="SS",E704="RPX",E704="EUC",E704="RPX-T"),(OR(C714="",C714="Field SPL"))),"Cannot have FlexNap cables without tethers","---")</f>
        <v>---</v>
      </c>
      <c r="N710" s="288"/>
      <c r="O710" s="288"/>
      <c r="P710" s="288"/>
      <c r="Q710" s="288"/>
      <c r="R710" s="288"/>
      <c r="S710" s="288"/>
      <c r="T710" s="288"/>
      <c r="U710" s="289"/>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7" t="str">
        <f>IF(AND(OR(E704="RPX", E704="RPX-T", E704="SS"),E705=216),"NO 216 For RPX, RPX-T, OR SS CABLE","---")</f>
        <v>---</v>
      </c>
      <c r="K711" s="288"/>
      <c r="L711" s="289"/>
      <c r="M711" s="287" t="str" cm="1">
        <f t="array" ref="M711">IF(AND(E704="",OR(C714:C738="FST",C714:C738="REV T",C714:C738="DBL REV",C714:C738="TPL REV", C714:C738="QD REV")),"Non-FlexNap cables cannot have tethers","---")</f>
        <v>---</v>
      </c>
      <c r="N711" s="288"/>
      <c r="O711" s="288"/>
      <c r="P711" s="288"/>
      <c r="Q711" s="288"/>
      <c r="R711" s="288"/>
      <c r="S711" s="288"/>
      <c r="T711" s="288"/>
      <c r="U711" s="289"/>
      <c r="V711" s="25"/>
      <c r="W711" s="58"/>
      <c r="X711" s="58"/>
      <c r="Y711" s="25"/>
      <c r="Z711" s="45">
        <v>6</v>
      </c>
      <c r="AA711" s="65">
        <v>61</v>
      </c>
      <c r="AB711" s="65">
        <v>72</v>
      </c>
      <c r="AC711" s="25"/>
      <c r="AD711" s="25"/>
      <c r="BA711" s="226"/>
    </row>
    <row r="712" spans="1:53" ht="15.75" customHeight="1" thickBot="1" x14ac:dyDescent="0.3">
      <c r="A712" s="88"/>
      <c r="B712" s="322" t="s">
        <v>260</v>
      </c>
      <c r="C712" s="294" t="s">
        <v>261</v>
      </c>
      <c r="D712" s="294" t="s">
        <v>262</v>
      </c>
      <c r="E712" s="307" t="s">
        <v>263</v>
      </c>
      <c r="F712" s="294" t="s">
        <v>264</v>
      </c>
      <c r="G712" s="309" t="s">
        <v>265</v>
      </c>
      <c r="H712" s="309" t="s">
        <v>266</v>
      </c>
      <c r="I712" s="309" t="s">
        <v>267</v>
      </c>
      <c r="J712" s="311" t="s">
        <v>268</v>
      </c>
      <c r="K712" s="294" t="s">
        <v>269</v>
      </c>
      <c r="L712" s="281" t="s">
        <v>270</v>
      </c>
      <c r="M712" s="283" t="s">
        <v>271</v>
      </c>
      <c r="N712" s="283"/>
      <c r="O712" s="283"/>
      <c r="P712" s="283"/>
      <c r="Q712" s="283"/>
      <c r="R712" s="283"/>
      <c r="S712" s="283"/>
      <c r="T712" s="283"/>
      <c r="U712" s="284"/>
      <c r="V712" s="107"/>
      <c r="W712" s="72"/>
      <c r="X712" s="72"/>
      <c r="Y712" s="72"/>
      <c r="Z712" s="45">
        <v>7</v>
      </c>
      <c r="AA712" s="65">
        <v>73</v>
      </c>
      <c r="AB712" s="65">
        <v>84</v>
      </c>
      <c r="AC712" s="25"/>
      <c r="AD712" s="25"/>
      <c r="BA712" s="228"/>
    </row>
    <row r="713" spans="1:53" ht="15.75" thickBot="1" x14ac:dyDescent="0.3">
      <c r="A713" s="88"/>
      <c r="B713" s="323"/>
      <c r="C713" s="295"/>
      <c r="D713" s="295"/>
      <c r="E713" s="308"/>
      <c r="F713" s="295"/>
      <c r="G713" s="310"/>
      <c r="H713" s="310"/>
      <c r="I713" s="310"/>
      <c r="J713" s="312"/>
      <c r="K713" s="295"/>
      <c r="L713" s="282"/>
      <c r="M713" s="285"/>
      <c r="N713" s="285"/>
      <c r="O713" s="285"/>
      <c r="P713" s="285"/>
      <c r="Q713" s="285"/>
      <c r="R713" s="285"/>
      <c r="S713" s="285"/>
      <c r="T713" s="285"/>
      <c r="U713" s="28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79"/>
      <c r="N714" s="279"/>
      <c r="O714" s="279"/>
      <c r="P714" s="279"/>
      <c r="Q714" s="279"/>
      <c r="R714" s="279"/>
      <c r="S714" s="279"/>
      <c r="T714" s="279"/>
      <c r="U714" s="280"/>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79"/>
      <c r="N715" s="279"/>
      <c r="O715" s="279"/>
      <c r="P715" s="279"/>
      <c r="Q715" s="279"/>
      <c r="R715" s="279"/>
      <c r="S715" s="279"/>
      <c r="T715" s="279"/>
      <c r="U715" s="280"/>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9"/>
      <c r="N716" s="279"/>
      <c r="O716" s="279"/>
      <c r="P716" s="279"/>
      <c r="Q716" s="279"/>
      <c r="R716" s="279"/>
      <c r="S716" s="279"/>
      <c r="T716" s="279"/>
      <c r="U716" s="280"/>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9"/>
      <c r="N717" s="279"/>
      <c r="O717" s="279"/>
      <c r="P717" s="279"/>
      <c r="Q717" s="279"/>
      <c r="R717" s="279"/>
      <c r="S717" s="279"/>
      <c r="T717" s="279"/>
      <c r="U717" s="280"/>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9"/>
      <c r="N718" s="279"/>
      <c r="O718" s="279"/>
      <c r="P718" s="279"/>
      <c r="Q718" s="279"/>
      <c r="R718" s="279"/>
      <c r="S718" s="279"/>
      <c r="T718" s="279"/>
      <c r="U718" s="280"/>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9"/>
      <c r="N719" s="279"/>
      <c r="O719" s="279"/>
      <c r="P719" s="279"/>
      <c r="Q719" s="279"/>
      <c r="R719" s="279"/>
      <c r="S719" s="279"/>
      <c r="T719" s="279"/>
      <c r="U719" s="280"/>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9"/>
      <c r="N720" s="279"/>
      <c r="O720" s="279"/>
      <c r="P720" s="279"/>
      <c r="Q720" s="279"/>
      <c r="R720" s="279"/>
      <c r="S720" s="279"/>
      <c r="T720" s="279"/>
      <c r="U720" s="280"/>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9"/>
      <c r="N721" s="279"/>
      <c r="O721" s="279"/>
      <c r="P721" s="279"/>
      <c r="Q721" s="279"/>
      <c r="R721" s="279"/>
      <c r="S721" s="279"/>
      <c r="T721" s="279"/>
      <c r="U721" s="280"/>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9"/>
      <c r="N722" s="279"/>
      <c r="O722" s="279"/>
      <c r="P722" s="279"/>
      <c r="Q722" s="279"/>
      <c r="R722" s="279"/>
      <c r="S722" s="279"/>
      <c r="T722" s="279"/>
      <c r="U722" s="280"/>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9"/>
      <c r="N723" s="279"/>
      <c r="O723" s="279"/>
      <c r="P723" s="279"/>
      <c r="Q723" s="279"/>
      <c r="R723" s="279"/>
      <c r="S723" s="279"/>
      <c r="T723" s="279"/>
      <c r="U723" s="280"/>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9"/>
      <c r="N724" s="279"/>
      <c r="O724" s="279"/>
      <c r="P724" s="279"/>
      <c r="Q724" s="279"/>
      <c r="R724" s="279"/>
      <c r="S724" s="279"/>
      <c r="T724" s="279"/>
      <c r="U724" s="280"/>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9"/>
      <c r="N725" s="279"/>
      <c r="O725" s="279"/>
      <c r="P725" s="279"/>
      <c r="Q725" s="279"/>
      <c r="R725" s="279"/>
      <c r="S725" s="279"/>
      <c r="T725" s="279"/>
      <c r="U725" s="280"/>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9"/>
      <c r="N726" s="279"/>
      <c r="O726" s="279"/>
      <c r="P726" s="279"/>
      <c r="Q726" s="279"/>
      <c r="R726" s="279"/>
      <c r="S726" s="279"/>
      <c r="T726" s="279"/>
      <c r="U726" s="280"/>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9"/>
      <c r="N727" s="279"/>
      <c r="O727" s="279"/>
      <c r="P727" s="279"/>
      <c r="Q727" s="279"/>
      <c r="R727" s="279"/>
      <c r="S727" s="279"/>
      <c r="T727" s="279"/>
      <c r="U727" s="280"/>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9"/>
      <c r="N728" s="279"/>
      <c r="O728" s="279"/>
      <c r="P728" s="279"/>
      <c r="Q728" s="279"/>
      <c r="R728" s="279"/>
      <c r="S728" s="279"/>
      <c r="T728" s="279"/>
      <c r="U728" s="280"/>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9"/>
      <c r="N729" s="279"/>
      <c r="O729" s="279"/>
      <c r="P729" s="279"/>
      <c r="Q729" s="279"/>
      <c r="R729" s="279"/>
      <c r="S729" s="279"/>
      <c r="T729" s="279"/>
      <c r="U729" s="280"/>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9"/>
      <c r="N730" s="279"/>
      <c r="O730" s="279"/>
      <c r="P730" s="279"/>
      <c r="Q730" s="279"/>
      <c r="R730" s="279"/>
      <c r="S730" s="279"/>
      <c r="T730" s="279"/>
      <c r="U730" s="280"/>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9"/>
      <c r="N731" s="279"/>
      <c r="O731" s="279"/>
      <c r="P731" s="279"/>
      <c r="Q731" s="279"/>
      <c r="R731" s="279"/>
      <c r="S731" s="279"/>
      <c r="T731" s="279"/>
      <c r="U731" s="280"/>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9"/>
      <c r="N732" s="279"/>
      <c r="O732" s="279"/>
      <c r="P732" s="279"/>
      <c r="Q732" s="279"/>
      <c r="R732" s="279"/>
      <c r="S732" s="279"/>
      <c r="T732" s="279"/>
      <c r="U732" s="280"/>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9"/>
      <c r="N733" s="279"/>
      <c r="O733" s="279"/>
      <c r="P733" s="279"/>
      <c r="Q733" s="279"/>
      <c r="R733" s="279"/>
      <c r="S733" s="279"/>
      <c r="T733" s="279"/>
      <c r="U733" s="280"/>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9"/>
      <c r="N734" s="279"/>
      <c r="O734" s="279"/>
      <c r="P734" s="279"/>
      <c r="Q734" s="279"/>
      <c r="R734" s="279"/>
      <c r="S734" s="279"/>
      <c r="T734" s="279"/>
      <c r="U734" s="280"/>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9"/>
      <c r="N735" s="279"/>
      <c r="O735" s="279"/>
      <c r="P735" s="279"/>
      <c r="Q735" s="279"/>
      <c r="R735" s="279"/>
      <c r="S735" s="279"/>
      <c r="T735" s="279"/>
      <c r="U735" s="280"/>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9"/>
      <c r="N736" s="279"/>
      <c r="O736" s="279"/>
      <c r="P736" s="279"/>
      <c r="Q736" s="279"/>
      <c r="R736" s="279"/>
      <c r="S736" s="279"/>
      <c r="T736" s="279"/>
      <c r="U736" s="280"/>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9"/>
      <c r="N737" s="279"/>
      <c r="O737" s="279"/>
      <c r="P737" s="279"/>
      <c r="Q737" s="279"/>
      <c r="R737" s="279"/>
      <c r="S737" s="279"/>
      <c r="T737" s="279"/>
      <c r="U737" s="280"/>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9"/>
      <c r="N738" s="279"/>
      <c r="O738" s="279"/>
      <c r="P738" s="279"/>
      <c r="Q738" s="279"/>
      <c r="R738" s="279"/>
      <c r="S738" s="279"/>
      <c r="T738" s="279"/>
      <c r="U738" s="280"/>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0" t="s">
        <v>339</v>
      </c>
      <c r="C739" s="321"/>
      <c r="D739" s="79"/>
      <c r="E739" s="80"/>
      <c r="F739" s="80"/>
      <c r="G739" s="81"/>
      <c r="H739" s="192"/>
      <c r="I739" s="192"/>
      <c r="J739" s="192"/>
      <c r="K739" s="82"/>
      <c r="L739" s="320" t="s">
        <v>306</v>
      </c>
      <c r="M739" s="331"/>
      <c r="N739" s="331"/>
      <c r="O739" s="331"/>
      <c r="P739" s="331"/>
      <c r="Q739" s="331"/>
      <c r="R739" s="331"/>
      <c r="S739" s="331"/>
      <c r="T739" s="331"/>
      <c r="U739" s="321"/>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0" t="s">
        <v>307</v>
      </c>
      <c r="C740" s="321"/>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3" t="s">
        <v>222</v>
      </c>
      <c r="C744" s="314"/>
      <c r="D744" s="315" t="s">
        <v>223</v>
      </c>
      <c r="E744" s="306"/>
      <c r="F744" s="88"/>
      <c r="G744" s="316" t="s">
        <v>224</v>
      </c>
      <c r="H744" s="317"/>
      <c r="I744" s="28">
        <f>SUM(E755:E779)</f>
        <v>0</v>
      </c>
      <c r="J744" s="318" t="s">
        <v>225</v>
      </c>
      <c r="K744" s="319"/>
      <c r="L744" s="306"/>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6" t="s">
        <v>226</v>
      </c>
      <c r="AA744" s="297"/>
      <c r="AB744" s="298"/>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5" t="s">
        <v>230</v>
      </c>
      <c r="H745" s="306"/>
      <c r="I745" s="33">
        <f>E746-I744</f>
        <v>0</v>
      </c>
      <c r="J745" s="290" t="s">
        <v>231</v>
      </c>
      <c r="K745" s="291"/>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9" t="s">
        <v>232</v>
      </c>
      <c r="AA745" s="301" t="s">
        <v>233</v>
      </c>
      <c r="AB745" s="302"/>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2" t="s">
        <v>237</v>
      </c>
      <c r="H746" s="293"/>
      <c r="I746" s="35">
        <f>IF(E746=0,0,12-(MOD(I744,12)))</f>
        <v>0</v>
      </c>
      <c r="J746" s="290" t="s">
        <v>238</v>
      </c>
      <c r="K746" s="291"/>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0"/>
      <c r="AA746" s="303"/>
      <c r="AB746" s="304"/>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2" t="s">
        <v>242</v>
      </c>
      <c r="H747" s="43" t="s">
        <v>243</v>
      </c>
      <c r="I747" s="35">
        <f>IF(E747&lt;&gt;0,1,0)</f>
        <v>0</v>
      </c>
      <c r="J747" s="292" t="s">
        <v>244</v>
      </c>
      <c r="K747" s="293"/>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3"/>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2" t="s">
        <v>251</v>
      </c>
      <c r="H749" s="51" t="s">
        <v>252</v>
      </c>
      <c r="I749" s="112">
        <f>E748</f>
        <v>0</v>
      </c>
      <c r="J749" s="324" t="s">
        <v>253</v>
      </c>
      <c r="K749" s="325"/>
      <c r="L749" s="32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323"/>
      <c r="H750" s="47" t="s">
        <v>257</v>
      </c>
      <c r="I750" s="35" t="str">
        <f>IF(E748="","0",IF(AND(E745="EUC",E746=432), I749+(203-E747),IF(E748=0,0,(E748+(E746-E747)-1))))</f>
        <v>0</v>
      </c>
      <c r="J750" s="287" t="str">
        <f>IFERROR(IF(OR(E745="EUC",E745="SS"),"---",IF(OR(P744,S744),"NO 2F Tethers for RPX!",IF(OR(P746,S746),"NO 6F Tethers for RPX!","---"))),"---")</f>
        <v>---</v>
      </c>
      <c r="K750" s="288"/>
      <c r="L750" s="289"/>
      <c r="M750" s="287" t="str">
        <f>IF(E747&gt;60,"Dead Count &gt;60: Consider Downsize","---")</f>
        <v>---</v>
      </c>
      <c r="N750" s="288"/>
      <c r="O750" s="288"/>
      <c r="P750" s="288"/>
      <c r="Q750" s="288"/>
      <c r="R750" s="288"/>
      <c r="S750" s="288"/>
      <c r="T750" s="288"/>
      <c r="U750" s="289"/>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7"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8"/>
      <c r="L751" s="289"/>
      <c r="M751" s="287" t="str">
        <f>IF(AND(OR(E745="SS",E745="RPX",E745="EUC",E745="RPX-T"),(OR(C755="",C755="Field SPL"))),"Cannot have FlexNap cables without tethers","---")</f>
        <v>---</v>
      </c>
      <c r="N751" s="288"/>
      <c r="O751" s="288"/>
      <c r="P751" s="288"/>
      <c r="Q751" s="288"/>
      <c r="R751" s="288"/>
      <c r="S751" s="288"/>
      <c r="T751" s="288"/>
      <c r="U751" s="289"/>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7" t="str">
        <f>IF(AND(OR(E745="RPX", E745="RPX-T", E745="SS"),E746=216),"NO 216 For RPX, RPX-T, OR SS CABLE","---")</f>
        <v>---</v>
      </c>
      <c r="K752" s="288"/>
      <c r="L752" s="289"/>
      <c r="M752" s="287" t="str" cm="1">
        <f t="array" ref="M752">IF(AND(E745="",OR(C755:C779="FST",C755:C779="REV T",C755:C779="DBL REV",C755:C779="TPL REV", C755:C779="QD REV")),"Non-FlexNap cables cannot have tethers","---")</f>
        <v>---</v>
      </c>
      <c r="N752" s="288"/>
      <c r="O752" s="288"/>
      <c r="P752" s="288"/>
      <c r="Q752" s="288"/>
      <c r="R752" s="288"/>
      <c r="S752" s="288"/>
      <c r="T752" s="288"/>
      <c r="U752" s="289"/>
      <c r="V752" s="25"/>
      <c r="W752" s="58"/>
      <c r="X752" s="58"/>
      <c r="Y752" s="25"/>
      <c r="Z752" s="45">
        <v>6</v>
      </c>
      <c r="AA752" s="65">
        <v>61</v>
      </c>
      <c r="AB752" s="65">
        <v>72</v>
      </c>
      <c r="AC752" s="25"/>
      <c r="AD752" s="25"/>
      <c r="BA752" s="226"/>
    </row>
    <row r="753" spans="1:53" ht="15.75" customHeight="1" thickBot="1" x14ac:dyDescent="0.3">
      <c r="A753" s="88"/>
      <c r="B753" s="322" t="s">
        <v>260</v>
      </c>
      <c r="C753" s="294" t="s">
        <v>261</v>
      </c>
      <c r="D753" s="294" t="s">
        <v>262</v>
      </c>
      <c r="E753" s="307" t="s">
        <v>263</v>
      </c>
      <c r="F753" s="294" t="s">
        <v>264</v>
      </c>
      <c r="G753" s="309" t="s">
        <v>265</v>
      </c>
      <c r="H753" s="309" t="s">
        <v>266</v>
      </c>
      <c r="I753" s="309" t="s">
        <v>267</v>
      </c>
      <c r="J753" s="311" t="s">
        <v>268</v>
      </c>
      <c r="K753" s="294" t="s">
        <v>269</v>
      </c>
      <c r="L753" s="281" t="s">
        <v>270</v>
      </c>
      <c r="M753" s="283" t="s">
        <v>271</v>
      </c>
      <c r="N753" s="283"/>
      <c r="O753" s="283"/>
      <c r="P753" s="283"/>
      <c r="Q753" s="283"/>
      <c r="R753" s="283"/>
      <c r="S753" s="283"/>
      <c r="T753" s="283"/>
      <c r="U753" s="284"/>
      <c r="V753" s="107"/>
      <c r="W753" s="72"/>
      <c r="X753" s="72"/>
      <c r="Y753" s="72"/>
      <c r="Z753" s="45">
        <v>7</v>
      </c>
      <c r="AA753" s="65">
        <v>73</v>
      </c>
      <c r="AB753" s="65">
        <v>84</v>
      </c>
      <c r="AC753" s="25"/>
      <c r="AD753" s="25"/>
      <c r="BA753" s="228"/>
    </row>
    <row r="754" spans="1:53" ht="15.75" thickBot="1" x14ac:dyDescent="0.3">
      <c r="A754" s="88"/>
      <c r="B754" s="323"/>
      <c r="C754" s="295"/>
      <c r="D754" s="295"/>
      <c r="E754" s="308"/>
      <c r="F754" s="295"/>
      <c r="G754" s="310"/>
      <c r="H754" s="310"/>
      <c r="I754" s="310"/>
      <c r="J754" s="312"/>
      <c r="K754" s="295"/>
      <c r="L754" s="282"/>
      <c r="M754" s="285"/>
      <c r="N754" s="285"/>
      <c r="O754" s="285"/>
      <c r="P754" s="285"/>
      <c r="Q754" s="285"/>
      <c r="R754" s="285"/>
      <c r="S754" s="285"/>
      <c r="T754" s="285"/>
      <c r="U754" s="28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9"/>
      <c r="N755" s="279"/>
      <c r="O755" s="279"/>
      <c r="P755" s="279"/>
      <c r="Q755" s="279"/>
      <c r="R755" s="279"/>
      <c r="S755" s="279"/>
      <c r="T755" s="279"/>
      <c r="U755" s="280"/>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9"/>
      <c r="N756" s="279"/>
      <c r="O756" s="279"/>
      <c r="P756" s="279"/>
      <c r="Q756" s="279"/>
      <c r="R756" s="279"/>
      <c r="S756" s="279"/>
      <c r="T756" s="279"/>
      <c r="U756" s="280"/>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9"/>
      <c r="N757" s="279"/>
      <c r="O757" s="279"/>
      <c r="P757" s="279"/>
      <c r="Q757" s="279"/>
      <c r="R757" s="279"/>
      <c r="S757" s="279"/>
      <c r="T757" s="279"/>
      <c r="U757" s="280"/>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9"/>
      <c r="N758" s="279"/>
      <c r="O758" s="279"/>
      <c r="P758" s="279"/>
      <c r="Q758" s="279"/>
      <c r="R758" s="279"/>
      <c r="S758" s="279"/>
      <c r="T758" s="279"/>
      <c r="U758" s="280"/>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9"/>
      <c r="N759" s="279"/>
      <c r="O759" s="279"/>
      <c r="P759" s="279"/>
      <c r="Q759" s="279"/>
      <c r="R759" s="279"/>
      <c r="S759" s="279"/>
      <c r="T759" s="279"/>
      <c r="U759" s="280"/>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9"/>
      <c r="N760" s="279"/>
      <c r="O760" s="279"/>
      <c r="P760" s="279"/>
      <c r="Q760" s="279"/>
      <c r="R760" s="279"/>
      <c r="S760" s="279"/>
      <c r="T760" s="279"/>
      <c r="U760" s="280"/>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9"/>
      <c r="N761" s="279"/>
      <c r="O761" s="279"/>
      <c r="P761" s="279"/>
      <c r="Q761" s="279"/>
      <c r="R761" s="279"/>
      <c r="S761" s="279"/>
      <c r="T761" s="279"/>
      <c r="U761" s="280"/>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9"/>
      <c r="N762" s="279"/>
      <c r="O762" s="279"/>
      <c r="P762" s="279"/>
      <c r="Q762" s="279"/>
      <c r="R762" s="279"/>
      <c r="S762" s="279"/>
      <c r="T762" s="279"/>
      <c r="U762" s="280"/>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9"/>
      <c r="N763" s="279"/>
      <c r="O763" s="279"/>
      <c r="P763" s="279"/>
      <c r="Q763" s="279"/>
      <c r="R763" s="279"/>
      <c r="S763" s="279"/>
      <c r="T763" s="279"/>
      <c r="U763" s="280"/>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9"/>
      <c r="N764" s="279"/>
      <c r="O764" s="279"/>
      <c r="P764" s="279"/>
      <c r="Q764" s="279"/>
      <c r="R764" s="279"/>
      <c r="S764" s="279"/>
      <c r="T764" s="279"/>
      <c r="U764" s="280"/>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9"/>
      <c r="N765" s="279"/>
      <c r="O765" s="279"/>
      <c r="P765" s="279"/>
      <c r="Q765" s="279"/>
      <c r="R765" s="279"/>
      <c r="S765" s="279"/>
      <c r="T765" s="279"/>
      <c r="U765" s="280"/>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9"/>
      <c r="N766" s="279"/>
      <c r="O766" s="279"/>
      <c r="P766" s="279"/>
      <c r="Q766" s="279"/>
      <c r="R766" s="279"/>
      <c r="S766" s="279"/>
      <c r="T766" s="279"/>
      <c r="U766" s="280"/>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9"/>
      <c r="N767" s="279"/>
      <c r="O767" s="279"/>
      <c r="P767" s="279"/>
      <c r="Q767" s="279"/>
      <c r="R767" s="279"/>
      <c r="S767" s="279"/>
      <c r="T767" s="279"/>
      <c r="U767" s="280"/>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9"/>
      <c r="N768" s="279"/>
      <c r="O768" s="279"/>
      <c r="P768" s="279"/>
      <c r="Q768" s="279"/>
      <c r="R768" s="279"/>
      <c r="S768" s="279"/>
      <c r="T768" s="279"/>
      <c r="U768" s="280"/>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9"/>
      <c r="N769" s="279"/>
      <c r="O769" s="279"/>
      <c r="P769" s="279"/>
      <c r="Q769" s="279"/>
      <c r="R769" s="279"/>
      <c r="S769" s="279"/>
      <c r="T769" s="279"/>
      <c r="U769" s="280"/>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9"/>
      <c r="N770" s="279"/>
      <c r="O770" s="279"/>
      <c r="P770" s="279"/>
      <c r="Q770" s="279"/>
      <c r="R770" s="279"/>
      <c r="S770" s="279"/>
      <c r="T770" s="279"/>
      <c r="U770" s="280"/>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9"/>
      <c r="N771" s="279"/>
      <c r="O771" s="279"/>
      <c r="P771" s="279"/>
      <c r="Q771" s="279"/>
      <c r="R771" s="279"/>
      <c r="S771" s="279"/>
      <c r="T771" s="279"/>
      <c r="U771" s="280"/>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9"/>
      <c r="N772" s="279"/>
      <c r="O772" s="279"/>
      <c r="P772" s="279"/>
      <c r="Q772" s="279"/>
      <c r="R772" s="279"/>
      <c r="S772" s="279"/>
      <c r="T772" s="279"/>
      <c r="U772" s="280"/>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9"/>
      <c r="N773" s="279"/>
      <c r="O773" s="279"/>
      <c r="P773" s="279"/>
      <c r="Q773" s="279"/>
      <c r="R773" s="279"/>
      <c r="S773" s="279"/>
      <c r="T773" s="279"/>
      <c r="U773" s="280"/>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9"/>
      <c r="N774" s="279"/>
      <c r="O774" s="279"/>
      <c r="P774" s="279"/>
      <c r="Q774" s="279"/>
      <c r="R774" s="279"/>
      <c r="S774" s="279"/>
      <c r="T774" s="279"/>
      <c r="U774" s="280"/>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9"/>
      <c r="N775" s="279"/>
      <c r="O775" s="279"/>
      <c r="P775" s="279"/>
      <c r="Q775" s="279"/>
      <c r="R775" s="279"/>
      <c r="S775" s="279"/>
      <c r="T775" s="279"/>
      <c r="U775" s="280"/>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9"/>
      <c r="N776" s="279"/>
      <c r="O776" s="279"/>
      <c r="P776" s="279"/>
      <c r="Q776" s="279"/>
      <c r="R776" s="279"/>
      <c r="S776" s="279"/>
      <c r="T776" s="279"/>
      <c r="U776" s="280"/>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9"/>
      <c r="N777" s="279"/>
      <c r="O777" s="279"/>
      <c r="P777" s="279"/>
      <c r="Q777" s="279"/>
      <c r="R777" s="279"/>
      <c r="S777" s="279"/>
      <c r="T777" s="279"/>
      <c r="U777" s="280"/>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9"/>
      <c r="N778" s="279"/>
      <c r="O778" s="279"/>
      <c r="P778" s="279"/>
      <c r="Q778" s="279"/>
      <c r="R778" s="279"/>
      <c r="S778" s="279"/>
      <c r="T778" s="279"/>
      <c r="U778" s="280"/>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9"/>
      <c r="N779" s="279"/>
      <c r="O779" s="279"/>
      <c r="P779" s="279"/>
      <c r="Q779" s="279"/>
      <c r="R779" s="279"/>
      <c r="S779" s="279"/>
      <c r="T779" s="279"/>
      <c r="U779" s="280"/>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0" t="s">
        <v>341</v>
      </c>
      <c r="C780" s="321"/>
      <c r="D780" s="79"/>
      <c r="E780" s="80"/>
      <c r="F780" s="80"/>
      <c r="G780" s="81"/>
      <c r="H780" s="192"/>
      <c r="I780" s="192"/>
      <c r="J780" s="192"/>
      <c r="K780" s="82"/>
      <c r="L780" s="320" t="s">
        <v>306</v>
      </c>
      <c r="M780" s="331"/>
      <c r="N780" s="331"/>
      <c r="O780" s="331"/>
      <c r="P780" s="331"/>
      <c r="Q780" s="331"/>
      <c r="R780" s="331"/>
      <c r="S780" s="331"/>
      <c r="T780" s="331"/>
      <c r="U780" s="321"/>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0" t="s">
        <v>307</v>
      </c>
      <c r="C781" s="321"/>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3" t="s">
        <v>222</v>
      </c>
      <c r="C785" s="314"/>
      <c r="D785" s="315" t="s">
        <v>223</v>
      </c>
      <c r="E785" s="306"/>
      <c r="F785" s="88"/>
      <c r="G785" s="316" t="s">
        <v>224</v>
      </c>
      <c r="H785" s="317"/>
      <c r="I785" s="28">
        <f>SUM(E796:E820)</f>
        <v>0</v>
      </c>
      <c r="J785" s="318" t="s">
        <v>225</v>
      </c>
      <c r="K785" s="319"/>
      <c r="L785" s="306"/>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6" t="s">
        <v>226</v>
      </c>
      <c r="AA785" s="297"/>
      <c r="AB785" s="298"/>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5" t="s">
        <v>230</v>
      </c>
      <c r="H786" s="306"/>
      <c r="I786" s="33">
        <f>E787-I785</f>
        <v>0</v>
      </c>
      <c r="J786" s="290" t="s">
        <v>231</v>
      </c>
      <c r="K786" s="291"/>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9" t="s">
        <v>232</v>
      </c>
      <c r="AA786" s="301" t="s">
        <v>233</v>
      </c>
      <c r="AB786" s="302"/>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2" t="s">
        <v>237</v>
      </c>
      <c r="H787" s="293"/>
      <c r="I787" s="35">
        <f>IF(E787=0,0,12-(MOD(I785,12)))</f>
        <v>0</v>
      </c>
      <c r="J787" s="290" t="s">
        <v>238</v>
      </c>
      <c r="K787" s="291"/>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0"/>
      <c r="AA787" s="303"/>
      <c r="AB787" s="304"/>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2" t="s">
        <v>242</v>
      </c>
      <c r="H788" s="43" t="s">
        <v>243</v>
      </c>
      <c r="I788" s="35">
        <f>IF(E788&lt;&gt;0,1,0)</f>
        <v>0</v>
      </c>
      <c r="J788" s="292" t="s">
        <v>244</v>
      </c>
      <c r="K788" s="293"/>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3"/>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2" t="s">
        <v>251</v>
      </c>
      <c r="H790" s="51" t="s">
        <v>252</v>
      </c>
      <c r="I790" s="112">
        <f>E789</f>
        <v>0</v>
      </c>
      <c r="J790" s="324" t="s">
        <v>253</v>
      </c>
      <c r="K790" s="325"/>
      <c r="L790" s="32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3"/>
      <c r="H791" s="47" t="s">
        <v>257</v>
      </c>
      <c r="I791" s="35" t="str">
        <f>IF(E789="","0",IF(AND(E786="EUC",E787=432), I790+(203-E788),IF(E789=0,0,(E789+(E787-E788)-1))))</f>
        <v>0</v>
      </c>
      <c r="J791" s="287" t="str">
        <f>IFERROR(IF(OR(E786="EUC",E786="SS"),"---",IF(OR(P785,S785),"NO 2F Tethers for RPX!",IF(OR(P787,S787),"NO 6F Tethers for RPX!","---"))),"---")</f>
        <v>---</v>
      </c>
      <c r="K791" s="288"/>
      <c r="L791" s="289"/>
      <c r="M791" s="287" t="str">
        <f>IF(E788&gt;60,"Dead Count &gt;60: Consider Downsize","---")</f>
        <v>---</v>
      </c>
      <c r="N791" s="288"/>
      <c r="O791" s="288"/>
      <c r="P791" s="288"/>
      <c r="Q791" s="288"/>
      <c r="R791" s="288"/>
      <c r="S791" s="288"/>
      <c r="T791" s="288"/>
      <c r="U791" s="289"/>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7"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8"/>
      <c r="L792" s="289"/>
      <c r="M792" s="287" t="str">
        <f>IF(AND(OR(E786="SS",E786="RPX",E786="EUC",E786="RPX-T"),(OR(C796="",C796="Field SPL"))),"Cannot have FlexNap cables without tethers","---")</f>
        <v>---</v>
      </c>
      <c r="N792" s="288"/>
      <c r="O792" s="288"/>
      <c r="P792" s="288"/>
      <c r="Q792" s="288"/>
      <c r="R792" s="288"/>
      <c r="S792" s="288"/>
      <c r="T792" s="288"/>
      <c r="U792" s="289"/>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7" t="str">
        <f>IF(AND(OR(E786="RPX", E786="RPX-T", E786="SS"),E787=216),"NO 216 For RPX, RPX-T, OR SS CABLE","---")</f>
        <v>---</v>
      </c>
      <c r="K793" s="288"/>
      <c r="L793" s="289"/>
      <c r="M793" s="287" t="str" cm="1">
        <f t="array" ref="M793">IF(AND(E786="",OR(C796:C820="FST",C796:C820="REV T",C796:C820="DBL REV",C796:C820="TPL REV", C796:C820="QD REV")),"Non-FlexNap cables cannot have tethers","---")</f>
        <v>---</v>
      </c>
      <c r="N793" s="288"/>
      <c r="O793" s="288"/>
      <c r="P793" s="288"/>
      <c r="Q793" s="288"/>
      <c r="R793" s="288"/>
      <c r="S793" s="288"/>
      <c r="T793" s="288"/>
      <c r="U793" s="289"/>
      <c r="V793" s="25"/>
      <c r="W793" s="58"/>
      <c r="X793" s="58"/>
      <c r="Y793" s="25"/>
      <c r="Z793" s="45">
        <v>6</v>
      </c>
      <c r="AA793" s="65">
        <v>61</v>
      </c>
      <c r="AB793" s="65">
        <v>72</v>
      </c>
      <c r="AC793" s="25"/>
      <c r="AD793" s="25"/>
      <c r="BA793" s="226"/>
    </row>
    <row r="794" spans="1:53" ht="15.75" customHeight="1" thickBot="1" x14ac:dyDescent="0.3">
      <c r="A794" s="88"/>
      <c r="B794" s="322" t="s">
        <v>260</v>
      </c>
      <c r="C794" s="294" t="s">
        <v>261</v>
      </c>
      <c r="D794" s="294" t="s">
        <v>262</v>
      </c>
      <c r="E794" s="307" t="s">
        <v>263</v>
      </c>
      <c r="F794" s="294" t="s">
        <v>264</v>
      </c>
      <c r="G794" s="309" t="s">
        <v>265</v>
      </c>
      <c r="H794" s="309" t="s">
        <v>266</v>
      </c>
      <c r="I794" s="309" t="s">
        <v>267</v>
      </c>
      <c r="J794" s="311" t="s">
        <v>268</v>
      </c>
      <c r="K794" s="294" t="s">
        <v>269</v>
      </c>
      <c r="L794" s="281" t="s">
        <v>270</v>
      </c>
      <c r="M794" s="283" t="s">
        <v>271</v>
      </c>
      <c r="N794" s="283"/>
      <c r="O794" s="283"/>
      <c r="P794" s="283"/>
      <c r="Q794" s="283"/>
      <c r="R794" s="283"/>
      <c r="S794" s="283"/>
      <c r="T794" s="283"/>
      <c r="U794" s="284"/>
      <c r="V794" s="107"/>
      <c r="W794" s="72"/>
      <c r="X794" s="72"/>
      <c r="Y794" s="72"/>
      <c r="Z794" s="45">
        <v>7</v>
      </c>
      <c r="AA794" s="65">
        <v>73</v>
      </c>
      <c r="AB794" s="65">
        <v>84</v>
      </c>
      <c r="AC794" s="25"/>
      <c r="AD794" s="25"/>
      <c r="BA794" s="228"/>
    </row>
    <row r="795" spans="1:53" ht="15.75" thickBot="1" x14ac:dyDescent="0.3">
      <c r="A795" s="88"/>
      <c r="B795" s="323"/>
      <c r="C795" s="295"/>
      <c r="D795" s="295"/>
      <c r="E795" s="308"/>
      <c r="F795" s="295"/>
      <c r="G795" s="310"/>
      <c r="H795" s="310"/>
      <c r="I795" s="310"/>
      <c r="J795" s="312"/>
      <c r="K795" s="295"/>
      <c r="L795" s="282"/>
      <c r="M795" s="285"/>
      <c r="N795" s="285"/>
      <c r="O795" s="285"/>
      <c r="P795" s="285"/>
      <c r="Q795" s="285"/>
      <c r="R795" s="285"/>
      <c r="S795" s="285"/>
      <c r="T795" s="285"/>
      <c r="U795" s="28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9"/>
      <c r="N796" s="279"/>
      <c r="O796" s="279"/>
      <c r="P796" s="279"/>
      <c r="Q796" s="279"/>
      <c r="R796" s="279"/>
      <c r="S796" s="279"/>
      <c r="T796" s="279"/>
      <c r="U796" s="280"/>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9"/>
      <c r="N797" s="279"/>
      <c r="O797" s="279"/>
      <c r="P797" s="279"/>
      <c r="Q797" s="279"/>
      <c r="R797" s="279"/>
      <c r="S797" s="279"/>
      <c r="T797" s="279"/>
      <c r="U797" s="280"/>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9"/>
      <c r="N798" s="279"/>
      <c r="O798" s="279"/>
      <c r="P798" s="279"/>
      <c r="Q798" s="279"/>
      <c r="R798" s="279"/>
      <c r="S798" s="279"/>
      <c r="T798" s="279"/>
      <c r="U798" s="280"/>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9"/>
      <c r="N799" s="279"/>
      <c r="O799" s="279"/>
      <c r="P799" s="279"/>
      <c r="Q799" s="279"/>
      <c r="R799" s="279"/>
      <c r="S799" s="279"/>
      <c r="T799" s="279"/>
      <c r="U799" s="280"/>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9"/>
      <c r="N800" s="279"/>
      <c r="O800" s="279"/>
      <c r="P800" s="279"/>
      <c r="Q800" s="279"/>
      <c r="R800" s="279"/>
      <c r="S800" s="279"/>
      <c r="T800" s="279"/>
      <c r="U800" s="280"/>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9"/>
      <c r="N801" s="279"/>
      <c r="O801" s="279"/>
      <c r="P801" s="279"/>
      <c r="Q801" s="279"/>
      <c r="R801" s="279"/>
      <c r="S801" s="279"/>
      <c r="T801" s="279"/>
      <c r="U801" s="280"/>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9"/>
      <c r="N802" s="279"/>
      <c r="O802" s="279"/>
      <c r="P802" s="279"/>
      <c r="Q802" s="279"/>
      <c r="R802" s="279"/>
      <c r="S802" s="279"/>
      <c r="T802" s="279"/>
      <c r="U802" s="280"/>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9"/>
      <c r="N803" s="279"/>
      <c r="O803" s="279"/>
      <c r="P803" s="279"/>
      <c r="Q803" s="279"/>
      <c r="R803" s="279"/>
      <c r="S803" s="279"/>
      <c r="T803" s="279"/>
      <c r="U803" s="280"/>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9"/>
      <c r="N804" s="279"/>
      <c r="O804" s="279"/>
      <c r="P804" s="279"/>
      <c r="Q804" s="279"/>
      <c r="R804" s="279"/>
      <c r="S804" s="279"/>
      <c r="T804" s="279"/>
      <c r="U804" s="280"/>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9"/>
      <c r="N805" s="279"/>
      <c r="O805" s="279"/>
      <c r="P805" s="279"/>
      <c r="Q805" s="279"/>
      <c r="R805" s="279"/>
      <c r="S805" s="279"/>
      <c r="T805" s="279"/>
      <c r="U805" s="280"/>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9"/>
      <c r="N806" s="279"/>
      <c r="O806" s="279"/>
      <c r="P806" s="279"/>
      <c r="Q806" s="279"/>
      <c r="R806" s="279"/>
      <c r="S806" s="279"/>
      <c r="T806" s="279"/>
      <c r="U806" s="280"/>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9"/>
      <c r="N807" s="279"/>
      <c r="O807" s="279"/>
      <c r="P807" s="279"/>
      <c r="Q807" s="279"/>
      <c r="R807" s="279"/>
      <c r="S807" s="279"/>
      <c r="T807" s="279"/>
      <c r="U807" s="280"/>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9"/>
      <c r="N808" s="279"/>
      <c r="O808" s="279"/>
      <c r="P808" s="279"/>
      <c r="Q808" s="279"/>
      <c r="R808" s="279"/>
      <c r="S808" s="279"/>
      <c r="T808" s="279"/>
      <c r="U808" s="280"/>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9"/>
      <c r="N809" s="279"/>
      <c r="O809" s="279"/>
      <c r="P809" s="279"/>
      <c r="Q809" s="279"/>
      <c r="R809" s="279"/>
      <c r="S809" s="279"/>
      <c r="T809" s="279"/>
      <c r="U809" s="280"/>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9"/>
      <c r="N810" s="279"/>
      <c r="O810" s="279"/>
      <c r="P810" s="279"/>
      <c r="Q810" s="279"/>
      <c r="R810" s="279"/>
      <c r="S810" s="279"/>
      <c r="T810" s="279"/>
      <c r="U810" s="280"/>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9"/>
      <c r="N811" s="279"/>
      <c r="O811" s="279"/>
      <c r="P811" s="279"/>
      <c r="Q811" s="279"/>
      <c r="R811" s="279"/>
      <c r="S811" s="279"/>
      <c r="T811" s="279"/>
      <c r="U811" s="280"/>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9"/>
      <c r="N812" s="279"/>
      <c r="O812" s="279"/>
      <c r="P812" s="279"/>
      <c r="Q812" s="279"/>
      <c r="R812" s="279"/>
      <c r="S812" s="279"/>
      <c r="T812" s="279"/>
      <c r="U812" s="280"/>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9"/>
      <c r="N813" s="279"/>
      <c r="O813" s="279"/>
      <c r="P813" s="279"/>
      <c r="Q813" s="279"/>
      <c r="R813" s="279"/>
      <c r="S813" s="279"/>
      <c r="T813" s="279"/>
      <c r="U813" s="280"/>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9"/>
      <c r="N814" s="279"/>
      <c r="O814" s="279"/>
      <c r="P814" s="279"/>
      <c r="Q814" s="279"/>
      <c r="R814" s="279"/>
      <c r="S814" s="279"/>
      <c r="T814" s="279"/>
      <c r="U814" s="280"/>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9"/>
      <c r="N815" s="279"/>
      <c r="O815" s="279"/>
      <c r="P815" s="279"/>
      <c r="Q815" s="279"/>
      <c r="R815" s="279"/>
      <c r="S815" s="279"/>
      <c r="T815" s="279"/>
      <c r="U815" s="280"/>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9"/>
      <c r="N816" s="279"/>
      <c r="O816" s="279"/>
      <c r="P816" s="279"/>
      <c r="Q816" s="279"/>
      <c r="R816" s="279"/>
      <c r="S816" s="279"/>
      <c r="T816" s="279"/>
      <c r="U816" s="280"/>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9"/>
      <c r="N817" s="279"/>
      <c r="O817" s="279"/>
      <c r="P817" s="279"/>
      <c r="Q817" s="279"/>
      <c r="R817" s="279"/>
      <c r="S817" s="279"/>
      <c r="T817" s="279"/>
      <c r="U817" s="280"/>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9"/>
      <c r="N818" s="279"/>
      <c r="O818" s="279"/>
      <c r="P818" s="279"/>
      <c r="Q818" s="279"/>
      <c r="R818" s="279"/>
      <c r="S818" s="279"/>
      <c r="T818" s="279"/>
      <c r="U818" s="280"/>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9"/>
      <c r="N819" s="279"/>
      <c r="O819" s="279"/>
      <c r="P819" s="279"/>
      <c r="Q819" s="279"/>
      <c r="R819" s="279"/>
      <c r="S819" s="279"/>
      <c r="T819" s="279"/>
      <c r="U819" s="280"/>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9"/>
      <c r="N820" s="279"/>
      <c r="O820" s="279"/>
      <c r="P820" s="279"/>
      <c r="Q820" s="279"/>
      <c r="R820" s="279"/>
      <c r="S820" s="279"/>
      <c r="T820" s="279"/>
      <c r="U820" s="280"/>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0" t="s">
        <v>343</v>
      </c>
      <c r="C821" s="321"/>
      <c r="D821" s="79"/>
      <c r="E821" s="80"/>
      <c r="F821" s="80"/>
      <c r="G821" s="81"/>
      <c r="H821" s="192"/>
      <c r="I821" s="192"/>
      <c r="J821" s="192"/>
      <c r="K821" s="82"/>
      <c r="L821" s="320" t="s">
        <v>306</v>
      </c>
      <c r="M821" s="331"/>
      <c r="N821" s="331"/>
      <c r="O821" s="331"/>
      <c r="P821" s="331"/>
      <c r="Q821" s="331"/>
      <c r="R821" s="331"/>
      <c r="S821" s="331"/>
      <c r="T821" s="331"/>
      <c r="U821" s="321"/>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0" t="s">
        <v>307</v>
      </c>
      <c r="C822" s="321"/>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3" t="s">
        <v>222</v>
      </c>
      <c r="C826" s="314"/>
      <c r="D826" s="315" t="s">
        <v>223</v>
      </c>
      <c r="E826" s="306"/>
      <c r="F826" s="88"/>
      <c r="G826" s="316" t="s">
        <v>224</v>
      </c>
      <c r="H826" s="317"/>
      <c r="I826" s="28">
        <f>SUM(E837:E861)</f>
        <v>0</v>
      </c>
      <c r="J826" s="318" t="s">
        <v>225</v>
      </c>
      <c r="K826" s="319"/>
      <c r="L826" s="306"/>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6" t="s">
        <v>226</v>
      </c>
      <c r="AA826" s="297"/>
      <c r="AB826" s="298"/>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5" t="s">
        <v>230</v>
      </c>
      <c r="H827" s="306"/>
      <c r="I827" s="33">
        <f>E828-I826</f>
        <v>0</v>
      </c>
      <c r="J827" s="290" t="s">
        <v>231</v>
      </c>
      <c r="K827" s="291"/>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9" t="s">
        <v>232</v>
      </c>
      <c r="AA827" s="301" t="s">
        <v>233</v>
      </c>
      <c r="AB827" s="302"/>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2" t="s">
        <v>237</v>
      </c>
      <c r="H828" s="293"/>
      <c r="I828" s="35">
        <f>IF(E828=0,0,12-(MOD(I826,12)))</f>
        <v>0</v>
      </c>
      <c r="J828" s="290" t="s">
        <v>238</v>
      </c>
      <c r="K828" s="291"/>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0"/>
      <c r="AA828" s="303"/>
      <c r="AB828" s="304"/>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2" t="s">
        <v>242</v>
      </c>
      <c r="H829" s="43" t="s">
        <v>243</v>
      </c>
      <c r="I829" s="35">
        <f>IF(E829&lt;&gt;0,1,0)</f>
        <v>0</v>
      </c>
      <c r="J829" s="292" t="s">
        <v>244</v>
      </c>
      <c r="K829" s="293"/>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3"/>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2" t="s">
        <v>251</v>
      </c>
      <c r="H831" s="51" t="s">
        <v>252</v>
      </c>
      <c r="I831" s="112">
        <f>E830</f>
        <v>0</v>
      </c>
      <c r="J831" s="324" t="s">
        <v>253</v>
      </c>
      <c r="K831" s="325"/>
      <c r="L831" s="32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3"/>
      <c r="H832" s="47" t="s">
        <v>257</v>
      </c>
      <c r="I832" s="35" t="str">
        <f>IF(E830="","0",IF(AND(E827="EUC",E828=432), I831+(203-E829),IF(E830=0,0,(E830+(E828-E829)-1))))</f>
        <v>0</v>
      </c>
      <c r="J832" s="287" t="str">
        <f>IFERROR(IF(OR(E827="EUC",E827="SS"),"---",IF(OR(P826,S826),"NO 2F Tethers for RPX!",IF(OR(P828,S828),"NO 6F Tethers for RPX!","---"))),"---")</f>
        <v>---</v>
      </c>
      <c r="K832" s="288"/>
      <c r="L832" s="289"/>
      <c r="M832" s="287" t="str">
        <f>IF(E829&gt;60,"Dead Count &gt;60: Consider Downsize","---")</f>
        <v>---</v>
      </c>
      <c r="N832" s="288"/>
      <c r="O832" s="288"/>
      <c r="P832" s="288"/>
      <c r="Q832" s="288"/>
      <c r="R832" s="288"/>
      <c r="S832" s="288"/>
      <c r="T832" s="288"/>
      <c r="U832" s="289"/>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7"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8"/>
      <c r="L833" s="289"/>
      <c r="M833" s="287" t="str">
        <f>IF(AND(OR(E827="SS",E827="RPX",E827="EUC",E827="RPX-T"),(OR(C837="",C837="Field SPL"))),"Cannot have FlexNap cables without tethers","---")</f>
        <v>---</v>
      </c>
      <c r="N833" s="288"/>
      <c r="O833" s="288"/>
      <c r="P833" s="288"/>
      <c r="Q833" s="288"/>
      <c r="R833" s="288"/>
      <c r="S833" s="288"/>
      <c r="T833" s="288"/>
      <c r="U833" s="289"/>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7" t="str">
        <f>IF(AND(OR(E827="RPX", E827="RPX-T", E827="SS"),E828=216),"NO 216 For RPX, RPX-T, OR SS CABLE","---")</f>
        <v>---</v>
      </c>
      <c r="K834" s="288"/>
      <c r="L834" s="289"/>
      <c r="M834" s="287" t="str" cm="1">
        <f t="array" ref="M834">IF(AND(E827="",OR(C837:C861="FST",C837:C861="REV T",C837:C861="DBL REV",C837:C861="TPL REV", C837:C861="QD REV")),"Non-FlexNap cables cannot have tethers","---")</f>
        <v>---</v>
      </c>
      <c r="N834" s="288"/>
      <c r="O834" s="288"/>
      <c r="P834" s="288"/>
      <c r="Q834" s="288"/>
      <c r="R834" s="288"/>
      <c r="S834" s="288"/>
      <c r="T834" s="288"/>
      <c r="U834" s="289"/>
      <c r="V834" s="25"/>
      <c r="W834" s="58"/>
      <c r="X834" s="58"/>
      <c r="Y834" s="25"/>
      <c r="Z834" s="45">
        <v>6</v>
      </c>
      <c r="AA834" s="65">
        <v>61</v>
      </c>
      <c r="AB834" s="65">
        <v>72</v>
      </c>
      <c r="AC834" s="25"/>
      <c r="AD834" s="25"/>
      <c r="BA834" s="226"/>
    </row>
    <row r="835" spans="1:53" ht="15.75" customHeight="1" thickBot="1" x14ac:dyDescent="0.3">
      <c r="A835" s="88"/>
      <c r="B835" s="322" t="s">
        <v>260</v>
      </c>
      <c r="C835" s="294" t="s">
        <v>261</v>
      </c>
      <c r="D835" s="294" t="s">
        <v>262</v>
      </c>
      <c r="E835" s="307" t="s">
        <v>263</v>
      </c>
      <c r="F835" s="294" t="s">
        <v>264</v>
      </c>
      <c r="G835" s="309" t="s">
        <v>265</v>
      </c>
      <c r="H835" s="309" t="s">
        <v>266</v>
      </c>
      <c r="I835" s="309" t="s">
        <v>267</v>
      </c>
      <c r="J835" s="311" t="s">
        <v>268</v>
      </c>
      <c r="K835" s="294" t="s">
        <v>269</v>
      </c>
      <c r="L835" s="281" t="s">
        <v>270</v>
      </c>
      <c r="M835" s="283" t="s">
        <v>271</v>
      </c>
      <c r="N835" s="283"/>
      <c r="O835" s="283"/>
      <c r="P835" s="283"/>
      <c r="Q835" s="283"/>
      <c r="R835" s="283"/>
      <c r="S835" s="283"/>
      <c r="T835" s="283"/>
      <c r="U835" s="284"/>
      <c r="V835" s="107"/>
      <c r="W835" s="72"/>
      <c r="X835" s="72"/>
      <c r="Y835" s="72"/>
      <c r="Z835" s="45">
        <v>7</v>
      </c>
      <c r="AA835" s="65">
        <v>73</v>
      </c>
      <c r="AB835" s="65">
        <v>84</v>
      </c>
      <c r="AC835" s="25"/>
      <c r="AD835" s="25"/>
      <c r="BA835" s="228"/>
    </row>
    <row r="836" spans="1:53" ht="15.75" thickBot="1" x14ac:dyDescent="0.3">
      <c r="A836" s="88"/>
      <c r="B836" s="323"/>
      <c r="C836" s="295"/>
      <c r="D836" s="295"/>
      <c r="E836" s="308"/>
      <c r="F836" s="295"/>
      <c r="G836" s="310"/>
      <c r="H836" s="310"/>
      <c r="I836" s="310"/>
      <c r="J836" s="312"/>
      <c r="K836" s="295"/>
      <c r="L836" s="282"/>
      <c r="M836" s="285"/>
      <c r="N836" s="285"/>
      <c r="O836" s="285"/>
      <c r="P836" s="285"/>
      <c r="Q836" s="285"/>
      <c r="R836" s="285"/>
      <c r="S836" s="285"/>
      <c r="T836" s="285"/>
      <c r="U836" s="28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9"/>
      <c r="N837" s="279"/>
      <c r="O837" s="279"/>
      <c r="P837" s="279"/>
      <c r="Q837" s="279"/>
      <c r="R837" s="279"/>
      <c r="S837" s="279"/>
      <c r="T837" s="279"/>
      <c r="U837" s="280"/>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9"/>
      <c r="N838" s="279"/>
      <c r="O838" s="279"/>
      <c r="P838" s="279"/>
      <c r="Q838" s="279"/>
      <c r="R838" s="279"/>
      <c r="S838" s="279"/>
      <c r="T838" s="279"/>
      <c r="U838" s="280"/>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9"/>
      <c r="N839" s="279"/>
      <c r="O839" s="279"/>
      <c r="P839" s="279"/>
      <c r="Q839" s="279"/>
      <c r="R839" s="279"/>
      <c r="S839" s="279"/>
      <c r="T839" s="279"/>
      <c r="U839" s="280"/>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9"/>
      <c r="N840" s="279"/>
      <c r="O840" s="279"/>
      <c r="P840" s="279"/>
      <c r="Q840" s="279"/>
      <c r="R840" s="279"/>
      <c r="S840" s="279"/>
      <c r="T840" s="279"/>
      <c r="U840" s="280"/>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9"/>
      <c r="N841" s="279"/>
      <c r="O841" s="279"/>
      <c r="P841" s="279"/>
      <c r="Q841" s="279"/>
      <c r="R841" s="279"/>
      <c r="S841" s="279"/>
      <c r="T841" s="279"/>
      <c r="U841" s="280"/>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9"/>
      <c r="N842" s="279"/>
      <c r="O842" s="279"/>
      <c r="P842" s="279"/>
      <c r="Q842" s="279"/>
      <c r="R842" s="279"/>
      <c r="S842" s="279"/>
      <c r="T842" s="279"/>
      <c r="U842" s="280"/>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9"/>
      <c r="N843" s="279"/>
      <c r="O843" s="279"/>
      <c r="P843" s="279"/>
      <c r="Q843" s="279"/>
      <c r="R843" s="279"/>
      <c r="S843" s="279"/>
      <c r="T843" s="279"/>
      <c r="U843" s="280"/>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9"/>
      <c r="N844" s="279"/>
      <c r="O844" s="279"/>
      <c r="P844" s="279"/>
      <c r="Q844" s="279"/>
      <c r="R844" s="279"/>
      <c r="S844" s="279"/>
      <c r="T844" s="279"/>
      <c r="U844" s="280"/>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9"/>
      <c r="N845" s="279"/>
      <c r="O845" s="279"/>
      <c r="P845" s="279"/>
      <c r="Q845" s="279"/>
      <c r="R845" s="279"/>
      <c r="S845" s="279"/>
      <c r="T845" s="279"/>
      <c r="U845" s="280"/>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9"/>
      <c r="N846" s="279"/>
      <c r="O846" s="279"/>
      <c r="P846" s="279"/>
      <c r="Q846" s="279"/>
      <c r="R846" s="279"/>
      <c r="S846" s="279"/>
      <c r="T846" s="279"/>
      <c r="U846" s="280"/>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9"/>
      <c r="N847" s="279"/>
      <c r="O847" s="279"/>
      <c r="P847" s="279"/>
      <c r="Q847" s="279"/>
      <c r="R847" s="279"/>
      <c r="S847" s="279"/>
      <c r="T847" s="279"/>
      <c r="U847" s="280"/>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9"/>
      <c r="N848" s="279"/>
      <c r="O848" s="279"/>
      <c r="P848" s="279"/>
      <c r="Q848" s="279"/>
      <c r="R848" s="279"/>
      <c r="S848" s="279"/>
      <c r="T848" s="279"/>
      <c r="U848" s="280"/>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9"/>
      <c r="N849" s="279"/>
      <c r="O849" s="279"/>
      <c r="P849" s="279"/>
      <c r="Q849" s="279"/>
      <c r="R849" s="279"/>
      <c r="S849" s="279"/>
      <c r="T849" s="279"/>
      <c r="U849" s="280"/>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9"/>
      <c r="N850" s="279"/>
      <c r="O850" s="279"/>
      <c r="P850" s="279"/>
      <c r="Q850" s="279"/>
      <c r="R850" s="279"/>
      <c r="S850" s="279"/>
      <c r="T850" s="279"/>
      <c r="U850" s="280"/>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9"/>
      <c r="N851" s="279"/>
      <c r="O851" s="279"/>
      <c r="P851" s="279"/>
      <c r="Q851" s="279"/>
      <c r="R851" s="279"/>
      <c r="S851" s="279"/>
      <c r="T851" s="279"/>
      <c r="U851" s="280"/>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9"/>
      <c r="N852" s="279"/>
      <c r="O852" s="279"/>
      <c r="P852" s="279"/>
      <c r="Q852" s="279"/>
      <c r="R852" s="279"/>
      <c r="S852" s="279"/>
      <c r="T852" s="279"/>
      <c r="U852" s="280"/>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9"/>
      <c r="N853" s="279"/>
      <c r="O853" s="279"/>
      <c r="P853" s="279"/>
      <c r="Q853" s="279"/>
      <c r="R853" s="279"/>
      <c r="S853" s="279"/>
      <c r="T853" s="279"/>
      <c r="U853" s="280"/>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9"/>
      <c r="N854" s="279"/>
      <c r="O854" s="279"/>
      <c r="P854" s="279"/>
      <c r="Q854" s="279"/>
      <c r="R854" s="279"/>
      <c r="S854" s="279"/>
      <c r="T854" s="279"/>
      <c r="U854" s="280"/>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9"/>
      <c r="N855" s="279"/>
      <c r="O855" s="279"/>
      <c r="P855" s="279"/>
      <c r="Q855" s="279"/>
      <c r="R855" s="279"/>
      <c r="S855" s="279"/>
      <c r="T855" s="279"/>
      <c r="U855" s="280"/>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9"/>
      <c r="N856" s="279"/>
      <c r="O856" s="279"/>
      <c r="P856" s="279"/>
      <c r="Q856" s="279"/>
      <c r="R856" s="279"/>
      <c r="S856" s="279"/>
      <c r="T856" s="279"/>
      <c r="U856" s="280"/>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9"/>
      <c r="N857" s="279"/>
      <c r="O857" s="279"/>
      <c r="P857" s="279"/>
      <c r="Q857" s="279"/>
      <c r="R857" s="279"/>
      <c r="S857" s="279"/>
      <c r="T857" s="279"/>
      <c r="U857" s="280"/>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9"/>
      <c r="N858" s="279"/>
      <c r="O858" s="279"/>
      <c r="P858" s="279"/>
      <c r="Q858" s="279"/>
      <c r="R858" s="279"/>
      <c r="S858" s="279"/>
      <c r="T858" s="279"/>
      <c r="U858" s="280"/>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9"/>
      <c r="N859" s="279"/>
      <c r="O859" s="279"/>
      <c r="P859" s="279"/>
      <c r="Q859" s="279"/>
      <c r="R859" s="279"/>
      <c r="S859" s="279"/>
      <c r="T859" s="279"/>
      <c r="U859" s="280"/>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9"/>
      <c r="N860" s="279"/>
      <c r="O860" s="279"/>
      <c r="P860" s="279"/>
      <c r="Q860" s="279"/>
      <c r="R860" s="279"/>
      <c r="S860" s="279"/>
      <c r="T860" s="279"/>
      <c r="U860" s="280"/>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9"/>
      <c r="N861" s="279"/>
      <c r="O861" s="279"/>
      <c r="P861" s="279"/>
      <c r="Q861" s="279"/>
      <c r="R861" s="279"/>
      <c r="S861" s="279"/>
      <c r="T861" s="279"/>
      <c r="U861" s="280"/>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0" t="s">
        <v>345</v>
      </c>
      <c r="C862" s="321"/>
      <c r="D862" s="79"/>
      <c r="E862" s="80"/>
      <c r="F862" s="80"/>
      <c r="G862" s="81"/>
      <c r="H862" s="192"/>
      <c r="I862" s="192"/>
      <c r="J862" s="192"/>
      <c r="K862" s="82"/>
      <c r="L862" s="320" t="s">
        <v>306</v>
      </c>
      <c r="M862" s="331"/>
      <c r="N862" s="331"/>
      <c r="O862" s="331"/>
      <c r="P862" s="331"/>
      <c r="Q862" s="331"/>
      <c r="R862" s="331"/>
      <c r="S862" s="331"/>
      <c r="T862" s="331"/>
      <c r="U862" s="321"/>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0" t="s">
        <v>307</v>
      </c>
      <c r="C863" s="321"/>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3" t="s">
        <v>222</v>
      </c>
      <c r="C867" s="314"/>
      <c r="D867" s="315" t="s">
        <v>223</v>
      </c>
      <c r="E867" s="306"/>
      <c r="F867" s="88"/>
      <c r="G867" s="316" t="s">
        <v>224</v>
      </c>
      <c r="H867" s="317"/>
      <c r="I867" s="28">
        <f>SUM(E878:E902)</f>
        <v>0</v>
      </c>
      <c r="J867" s="318" t="s">
        <v>225</v>
      </c>
      <c r="K867" s="319"/>
      <c r="L867" s="306"/>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6" t="s">
        <v>226</v>
      </c>
      <c r="AA867" s="297"/>
      <c r="AB867" s="298"/>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5" t="s">
        <v>230</v>
      </c>
      <c r="H868" s="306"/>
      <c r="I868" s="33">
        <f>E869-I867</f>
        <v>0</v>
      </c>
      <c r="J868" s="290" t="s">
        <v>231</v>
      </c>
      <c r="K868" s="291"/>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9" t="s">
        <v>232</v>
      </c>
      <c r="AA868" s="301" t="s">
        <v>233</v>
      </c>
      <c r="AB868" s="302"/>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2" t="s">
        <v>237</v>
      </c>
      <c r="H869" s="293"/>
      <c r="I869" s="35">
        <f>IF(E869=0,0,12-(MOD(I867,12)))</f>
        <v>0</v>
      </c>
      <c r="J869" s="290" t="s">
        <v>238</v>
      </c>
      <c r="K869" s="291"/>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0"/>
      <c r="AA869" s="303"/>
      <c r="AB869" s="304"/>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2" t="s">
        <v>242</v>
      </c>
      <c r="H870" s="43" t="s">
        <v>243</v>
      </c>
      <c r="I870" s="35">
        <f>IF(E870&lt;&gt;0,1,0)</f>
        <v>0</v>
      </c>
      <c r="J870" s="292" t="s">
        <v>244</v>
      </c>
      <c r="K870" s="293"/>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3"/>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2" t="s">
        <v>251</v>
      </c>
      <c r="H872" s="51" t="s">
        <v>252</v>
      </c>
      <c r="I872" s="112">
        <f>E871</f>
        <v>0</v>
      </c>
      <c r="J872" s="324" t="s">
        <v>253</v>
      </c>
      <c r="K872" s="325"/>
      <c r="L872" s="32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3"/>
      <c r="H873" s="47" t="s">
        <v>257</v>
      </c>
      <c r="I873" s="35" t="str">
        <f>IF(E871="","0",IF(AND(E868="EUC",E869=432), I872+(203-E870),IF(E871=0,0,(E871+(E869-E870)-1))))</f>
        <v>0</v>
      </c>
      <c r="J873" s="287" t="str">
        <f>IFERROR(IF(OR(E868="EUC",E868="SS"),"---",IF(OR(P867,S867),"NO 2F Tethers for RPX!",IF(OR(P869,S869),"NO 6F Tethers for RPX!","---"))),"---")</f>
        <v>---</v>
      </c>
      <c r="K873" s="288"/>
      <c r="L873" s="289"/>
      <c r="M873" s="287" t="str">
        <f>IF(E870&gt;60,"Dead Count &gt;60: Consider Downsize","---")</f>
        <v>---</v>
      </c>
      <c r="N873" s="288"/>
      <c r="O873" s="288"/>
      <c r="P873" s="288"/>
      <c r="Q873" s="288"/>
      <c r="R873" s="288"/>
      <c r="S873" s="288"/>
      <c r="T873" s="288"/>
      <c r="U873" s="289"/>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7"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8"/>
      <c r="L874" s="289"/>
      <c r="M874" s="287" t="str">
        <f>IF(AND(OR(E868="SS",E868="RPX",E868="EUC",E868="RPX-T"),(OR(C878="",C878="Field SPL"))),"Cannot have FlexNap cables without tethers","---")</f>
        <v>---</v>
      </c>
      <c r="N874" s="288"/>
      <c r="O874" s="288"/>
      <c r="P874" s="288"/>
      <c r="Q874" s="288"/>
      <c r="R874" s="288"/>
      <c r="S874" s="288"/>
      <c r="T874" s="288"/>
      <c r="U874" s="289"/>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7" t="str">
        <f>IF(AND(OR(E868="RPX", E868="RPX-T", E868="SS"),E869=216),"NO 216 For RPX, RPX-T, OR SS CABLE","---")</f>
        <v>---</v>
      </c>
      <c r="K875" s="288"/>
      <c r="L875" s="289"/>
      <c r="M875" s="287" t="str" cm="1">
        <f t="array" ref="M875">IF(AND(E868="",OR(C878:C902="FST",C878:C902="REV T",C878:C902="DBL REV",C878:C902="TPL REV", C878:C902="QD REV")),"Non-FlexNap cables cannot have tethers","---")</f>
        <v>---</v>
      </c>
      <c r="N875" s="288"/>
      <c r="O875" s="288"/>
      <c r="P875" s="288"/>
      <c r="Q875" s="288"/>
      <c r="R875" s="288"/>
      <c r="S875" s="288"/>
      <c r="T875" s="288"/>
      <c r="U875" s="289"/>
      <c r="V875" s="25"/>
      <c r="W875" s="58"/>
      <c r="X875" s="58"/>
      <c r="Y875" s="25"/>
      <c r="Z875" s="45">
        <v>6</v>
      </c>
      <c r="AA875" s="65">
        <v>61</v>
      </c>
      <c r="AB875" s="65">
        <v>72</v>
      </c>
      <c r="AC875" s="25"/>
      <c r="AD875" s="25"/>
      <c r="BA875" s="226"/>
    </row>
    <row r="876" spans="1:53" ht="15.75" customHeight="1" thickBot="1" x14ac:dyDescent="0.3">
      <c r="A876" s="88"/>
      <c r="B876" s="322" t="s">
        <v>260</v>
      </c>
      <c r="C876" s="294" t="s">
        <v>261</v>
      </c>
      <c r="D876" s="294" t="s">
        <v>262</v>
      </c>
      <c r="E876" s="307" t="s">
        <v>263</v>
      </c>
      <c r="F876" s="294" t="s">
        <v>264</v>
      </c>
      <c r="G876" s="309" t="s">
        <v>265</v>
      </c>
      <c r="H876" s="309" t="s">
        <v>266</v>
      </c>
      <c r="I876" s="309" t="s">
        <v>267</v>
      </c>
      <c r="J876" s="311" t="s">
        <v>268</v>
      </c>
      <c r="K876" s="294" t="s">
        <v>269</v>
      </c>
      <c r="L876" s="281" t="s">
        <v>270</v>
      </c>
      <c r="M876" s="283" t="s">
        <v>271</v>
      </c>
      <c r="N876" s="283"/>
      <c r="O876" s="283"/>
      <c r="P876" s="283"/>
      <c r="Q876" s="283"/>
      <c r="R876" s="283"/>
      <c r="S876" s="283"/>
      <c r="T876" s="283"/>
      <c r="U876" s="284"/>
      <c r="V876" s="107"/>
      <c r="W876" s="72"/>
      <c r="X876" s="72"/>
      <c r="Y876" s="72"/>
      <c r="Z876" s="45">
        <v>7</v>
      </c>
      <c r="AA876" s="65">
        <v>73</v>
      </c>
      <c r="AB876" s="65">
        <v>84</v>
      </c>
      <c r="AC876" s="25"/>
      <c r="AD876" s="25"/>
      <c r="BA876" s="228"/>
    </row>
    <row r="877" spans="1:53" ht="15.75" thickBot="1" x14ac:dyDescent="0.3">
      <c r="A877" s="88"/>
      <c r="B877" s="323"/>
      <c r="C877" s="295"/>
      <c r="D877" s="295"/>
      <c r="E877" s="308"/>
      <c r="F877" s="295"/>
      <c r="G877" s="310"/>
      <c r="H877" s="310"/>
      <c r="I877" s="310"/>
      <c r="J877" s="312"/>
      <c r="K877" s="295"/>
      <c r="L877" s="282"/>
      <c r="M877" s="285"/>
      <c r="N877" s="285"/>
      <c r="O877" s="285"/>
      <c r="P877" s="285"/>
      <c r="Q877" s="285"/>
      <c r="R877" s="285"/>
      <c r="S877" s="285"/>
      <c r="T877" s="285"/>
      <c r="U877" s="28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9"/>
      <c r="N878" s="279"/>
      <c r="O878" s="279"/>
      <c r="P878" s="279"/>
      <c r="Q878" s="279"/>
      <c r="R878" s="279"/>
      <c r="S878" s="279"/>
      <c r="T878" s="279"/>
      <c r="U878" s="280"/>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9"/>
      <c r="N879" s="279"/>
      <c r="O879" s="279"/>
      <c r="P879" s="279"/>
      <c r="Q879" s="279"/>
      <c r="R879" s="279"/>
      <c r="S879" s="279"/>
      <c r="T879" s="279"/>
      <c r="U879" s="280"/>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9"/>
      <c r="N880" s="279"/>
      <c r="O880" s="279"/>
      <c r="P880" s="279"/>
      <c r="Q880" s="279"/>
      <c r="R880" s="279"/>
      <c r="S880" s="279"/>
      <c r="T880" s="279"/>
      <c r="U880" s="280"/>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9"/>
      <c r="N881" s="279"/>
      <c r="O881" s="279"/>
      <c r="P881" s="279"/>
      <c r="Q881" s="279"/>
      <c r="R881" s="279"/>
      <c r="S881" s="279"/>
      <c r="T881" s="279"/>
      <c r="U881" s="280"/>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9"/>
      <c r="N882" s="279"/>
      <c r="O882" s="279"/>
      <c r="P882" s="279"/>
      <c r="Q882" s="279"/>
      <c r="R882" s="279"/>
      <c r="S882" s="279"/>
      <c r="T882" s="279"/>
      <c r="U882" s="280"/>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9"/>
      <c r="N883" s="279"/>
      <c r="O883" s="279"/>
      <c r="P883" s="279"/>
      <c r="Q883" s="279"/>
      <c r="R883" s="279"/>
      <c r="S883" s="279"/>
      <c r="T883" s="279"/>
      <c r="U883" s="280"/>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9"/>
      <c r="N884" s="279"/>
      <c r="O884" s="279"/>
      <c r="P884" s="279"/>
      <c r="Q884" s="279"/>
      <c r="R884" s="279"/>
      <c r="S884" s="279"/>
      <c r="T884" s="279"/>
      <c r="U884" s="280"/>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9"/>
      <c r="N885" s="279"/>
      <c r="O885" s="279"/>
      <c r="P885" s="279"/>
      <c r="Q885" s="279"/>
      <c r="R885" s="279"/>
      <c r="S885" s="279"/>
      <c r="T885" s="279"/>
      <c r="U885" s="280"/>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9"/>
      <c r="N886" s="279"/>
      <c r="O886" s="279"/>
      <c r="P886" s="279"/>
      <c r="Q886" s="279"/>
      <c r="R886" s="279"/>
      <c r="S886" s="279"/>
      <c r="T886" s="279"/>
      <c r="U886" s="280"/>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9"/>
      <c r="N887" s="279"/>
      <c r="O887" s="279"/>
      <c r="P887" s="279"/>
      <c r="Q887" s="279"/>
      <c r="R887" s="279"/>
      <c r="S887" s="279"/>
      <c r="T887" s="279"/>
      <c r="U887" s="280"/>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9"/>
      <c r="N888" s="279"/>
      <c r="O888" s="279"/>
      <c r="P888" s="279"/>
      <c r="Q888" s="279"/>
      <c r="R888" s="279"/>
      <c r="S888" s="279"/>
      <c r="T888" s="279"/>
      <c r="U888" s="280"/>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9"/>
      <c r="N889" s="279"/>
      <c r="O889" s="279"/>
      <c r="P889" s="279"/>
      <c r="Q889" s="279"/>
      <c r="R889" s="279"/>
      <c r="S889" s="279"/>
      <c r="T889" s="279"/>
      <c r="U889" s="280"/>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9"/>
      <c r="N890" s="279"/>
      <c r="O890" s="279"/>
      <c r="P890" s="279"/>
      <c r="Q890" s="279"/>
      <c r="R890" s="279"/>
      <c r="S890" s="279"/>
      <c r="T890" s="279"/>
      <c r="U890" s="280"/>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9"/>
      <c r="N891" s="279"/>
      <c r="O891" s="279"/>
      <c r="P891" s="279"/>
      <c r="Q891" s="279"/>
      <c r="R891" s="279"/>
      <c r="S891" s="279"/>
      <c r="T891" s="279"/>
      <c r="U891" s="280"/>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9"/>
      <c r="N892" s="279"/>
      <c r="O892" s="279"/>
      <c r="P892" s="279"/>
      <c r="Q892" s="279"/>
      <c r="R892" s="279"/>
      <c r="S892" s="279"/>
      <c r="T892" s="279"/>
      <c r="U892" s="280"/>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9"/>
      <c r="N893" s="279"/>
      <c r="O893" s="279"/>
      <c r="P893" s="279"/>
      <c r="Q893" s="279"/>
      <c r="R893" s="279"/>
      <c r="S893" s="279"/>
      <c r="T893" s="279"/>
      <c r="U893" s="280"/>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9"/>
      <c r="N894" s="279"/>
      <c r="O894" s="279"/>
      <c r="P894" s="279"/>
      <c r="Q894" s="279"/>
      <c r="R894" s="279"/>
      <c r="S894" s="279"/>
      <c r="T894" s="279"/>
      <c r="U894" s="280"/>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9"/>
      <c r="N895" s="279"/>
      <c r="O895" s="279"/>
      <c r="P895" s="279"/>
      <c r="Q895" s="279"/>
      <c r="R895" s="279"/>
      <c r="S895" s="279"/>
      <c r="T895" s="279"/>
      <c r="U895" s="280"/>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9"/>
      <c r="N896" s="279"/>
      <c r="O896" s="279"/>
      <c r="P896" s="279"/>
      <c r="Q896" s="279"/>
      <c r="R896" s="279"/>
      <c r="S896" s="279"/>
      <c r="T896" s="279"/>
      <c r="U896" s="280"/>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9"/>
      <c r="N897" s="279"/>
      <c r="O897" s="279"/>
      <c r="P897" s="279"/>
      <c r="Q897" s="279"/>
      <c r="R897" s="279"/>
      <c r="S897" s="279"/>
      <c r="T897" s="279"/>
      <c r="U897" s="280"/>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9"/>
      <c r="N898" s="279"/>
      <c r="O898" s="279"/>
      <c r="P898" s="279"/>
      <c r="Q898" s="279"/>
      <c r="R898" s="279"/>
      <c r="S898" s="279"/>
      <c r="T898" s="279"/>
      <c r="U898" s="280"/>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9"/>
      <c r="N899" s="279"/>
      <c r="O899" s="279"/>
      <c r="P899" s="279"/>
      <c r="Q899" s="279"/>
      <c r="R899" s="279"/>
      <c r="S899" s="279"/>
      <c r="T899" s="279"/>
      <c r="U899" s="280"/>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9"/>
      <c r="N900" s="279"/>
      <c r="O900" s="279"/>
      <c r="P900" s="279"/>
      <c r="Q900" s="279"/>
      <c r="R900" s="279"/>
      <c r="S900" s="279"/>
      <c r="T900" s="279"/>
      <c r="U900" s="280"/>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9"/>
      <c r="N901" s="279"/>
      <c r="O901" s="279"/>
      <c r="P901" s="279"/>
      <c r="Q901" s="279"/>
      <c r="R901" s="279"/>
      <c r="S901" s="279"/>
      <c r="T901" s="279"/>
      <c r="U901" s="280"/>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9"/>
      <c r="N902" s="279"/>
      <c r="O902" s="279"/>
      <c r="P902" s="279"/>
      <c r="Q902" s="279"/>
      <c r="R902" s="279"/>
      <c r="S902" s="279"/>
      <c r="T902" s="279"/>
      <c r="U902" s="280"/>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0" t="s">
        <v>347</v>
      </c>
      <c r="C903" s="321"/>
      <c r="D903" s="79"/>
      <c r="E903" s="80"/>
      <c r="F903" s="80"/>
      <c r="G903" s="81"/>
      <c r="H903" s="192"/>
      <c r="I903" s="192"/>
      <c r="J903" s="192"/>
      <c r="K903" s="82"/>
      <c r="L903" s="320" t="s">
        <v>306</v>
      </c>
      <c r="M903" s="331"/>
      <c r="N903" s="331"/>
      <c r="O903" s="331"/>
      <c r="P903" s="331"/>
      <c r="Q903" s="331"/>
      <c r="R903" s="331"/>
      <c r="S903" s="331"/>
      <c r="T903" s="331"/>
      <c r="U903" s="321"/>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0" t="s">
        <v>307</v>
      </c>
      <c r="C904" s="321"/>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3" t="s">
        <v>222</v>
      </c>
      <c r="C908" s="314"/>
      <c r="D908" s="315" t="s">
        <v>223</v>
      </c>
      <c r="E908" s="306"/>
      <c r="F908" s="88"/>
      <c r="G908" s="316" t="s">
        <v>224</v>
      </c>
      <c r="H908" s="317"/>
      <c r="I908" s="28">
        <f>SUM(E919:E943)</f>
        <v>0</v>
      </c>
      <c r="J908" s="318" t="s">
        <v>225</v>
      </c>
      <c r="K908" s="319"/>
      <c r="L908" s="306"/>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6" t="s">
        <v>226</v>
      </c>
      <c r="AA908" s="297"/>
      <c r="AB908" s="298"/>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5" t="s">
        <v>230</v>
      </c>
      <c r="H909" s="306"/>
      <c r="I909" s="33">
        <f>E910-I908</f>
        <v>0</v>
      </c>
      <c r="J909" s="290" t="s">
        <v>231</v>
      </c>
      <c r="K909" s="291"/>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9" t="s">
        <v>232</v>
      </c>
      <c r="AA909" s="301" t="s">
        <v>233</v>
      </c>
      <c r="AB909" s="302"/>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2" t="s">
        <v>237</v>
      </c>
      <c r="H910" s="293"/>
      <c r="I910" s="35">
        <f>IF(E910=0,0,12-(MOD(I908,12)))</f>
        <v>0</v>
      </c>
      <c r="J910" s="290" t="s">
        <v>238</v>
      </c>
      <c r="K910" s="291"/>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0"/>
      <c r="AA910" s="303"/>
      <c r="AB910" s="304"/>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2" t="s">
        <v>242</v>
      </c>
      <c r="H911" s="43" t="s">
        <v>243</v>
      </c>
      <c r="I911" s="35">
        <f>IF(E911&lt;&gt;0,1,0)</f>
        <v>0</v>
      </c>
      <c r="J911" s="292" t="s">
        <v>244</v>
      </c>
      <c r="K911" s="293"/>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3"/>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2" t="s">
        <v>251</v>
      </c>
      <c r="H913" s="51" t="s">
        <v>252</v>
      </c>
      <c r="I913" s="112">
        <f>E912</f>
        <v>0</v>
      </c>
      <c r="J913" s="324" t="s">
        <v>253</v>
      </c>
      <c r="K913" s="325"/>
      <c r="L913" s="32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3"/>
      <c r="H914" s="47" t="s">
        <v>257</v>
      </c>
      <c r="I914" s="35" t="str">
        <f>IF(E912="","0",IF(AND(E909="EUC",E910=432), I913+(203-E911),IF(E912=0,0,(E912+(E910-E911)-1))))</f>
        <v>0</v>
      </c>
      <c r="J914" s="287" t="str">
        <f>IFERROR(IF(OR(E909="EUC",E909="SS"),"---",IF(OR(P908,S908),"NO 2F Tethers for RPX!",IF(OR(P910,S910),"NO 6F Tethers for RPX!","---"))),"---")</f>
        <v>---</v>
      </c>
      <c r="K914" s="288"/>
      <c r="L914" s="289"/>
      <c r="M914" s="287" t="str">
        <f>IF(E911&gt;60,"Dead Count &gt;60: Consider Downsize","---")</f>
        <v>---</v>
      </c>
      <c r="N914" s="288"/>
      <c r="O914" s="288"/>
      <c r="P914" s="288"/>
      <c r="Q914" s="288"/>
      <c r="R914" s="288"/>
      <c r="S914" s="288"/>
      <c r="T914" s="288"/>
      <c r="U914" s="289"/>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7"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8"/>
      <c r="L915" s="289"/>
      <c r="M915" s="287" t="str">
        <f>IF(AND(OR(E909="SS",E909="RPX",E909="EUC",E909="RPX-T"),(OR(C919="",C919="Field SPL"))),"Cannot have FlexNap cables without tethers","---")</f>
        <v>---</v>
      </c>
      <c r="N915" s="288"/>
      <c r="O915" s="288"/>
      <c r="P915" s="288"/>
      <c r="Q915" s="288"/>
      <c r="R915" s="288"/>
      <c r="S915" s="288"/>
      <c r="T915" s="288"/>
      <c r="U915" s="289"/>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7" t="str">
        <f>IF(AND(OR(E909="RPX", E909="RPX-T", E909="SS"),E910=216),"NO 216 For RPX, RPX-T, OR SS CABLE","---")</f>
        <v>---</v>
      </c>
      <c r="K916" s="288"/>
      <c r="L916" s="289"/>
      <c r="M916" s="287" t="str" cm="1">
        <f t="array" ref="M916">IF(AND(E909="",OR(C919:C943="FST",C919:C943="REV T",C919:C943="DBL REV",C919:C943="TPL REV", C919:C943="QD REV")),"Non-FlexNap cables cannot have tethers","---")</f>
        <v>---</v>
      </c>
      <c r="N916" s="288"/>
      <c r="O916" s="288"/>
      <c r="P916" s="288"/>
      <c r="Q916" s="288"/>
      <c r="R916" s="288"/>
      <c r="S916" s="288"/>
      <c r="T916" s="288"/>
      <c r="U916" s="289"/>
      <c r="V916" s="25"/>
      <c r="W916" s="58"/>
      <c r="X916" s="58"/>
      <c r="Y916" s="25"/>
      <c r="Z916" s="45">
        <v>6</v>
      </c>
      <c r="AA916" s="65">
        <v>61</v>
      </c>
      <c r="AB916" s="65">
        <v>72</v>
      </c>
      <c r="AC916" s="25"/>
      <c r="AD916" s="25"/>
      <c r="BA916" s="226"/>
    </row>
    <row r="917" spans="1:53" ht="15.75" customHeight="1" thickBot="1" x14ac:dyDescent="0.3">
      <c r="A917" s="88"/>
      <c r="B917" s="322" t="s">
        <v>260</v>
      </c>
      <c r="C917" s="294" t="s">
        <v>261</v>
      </c>
      <c r="D917" s="294" t="s">
        <v>262</v>
      </c>
      <c r="E917" s="307" t="s">
        <v>263</v>
      </c>
      <c r="F917" s="294" t="s">
        <v>264</v>
      </c>
      <c r="G917" s="309" t="s">
        <v>265</v>
      </c>
      <c r="H917" s="309" t="s">
        <v>266</v>
      </c>
      <c r="I917" s="309" t="s">
        <v>267</v>
      </c>
      <c r="J917" s="311" t="s">
        <v>268</v>
      </c>
      <c r="K917" s="294" t="s">
        <v>269</v>
      </c>
      <c r="L917" s="281" t="s">
        <v>270</v>
      </c>
      <c r="M917" s="283" t="s">
        <v>271</v>
      </c>
      <c r="N917" s="283"/>
      <c r="O917" s="283"/>
      <c r="P917" s="283"/>
      <c r="Q917" s="283"/>
      <c r="R917" s="283"/>
      <c r="S917" s="283"/>
      <c r="T917" s="283"/>
      <c r="U917" s="284"/>
      <c r="V917" s="107"/>
      <c r="W917" s="72"/>
      <c r="X917" s="72"/>
      <c r="Y917" s="72"/>
      <c r="Z917" s="45">
        <v>7</v>
      </c>
      <c r="AA917" s="65">
        <v>73</v>
      </c>
      <c r="AB917" s="65">
        <v>84</v>
      </c>
      <c r="AC917" s="25"/>
      <c r="AD917" s="25"/>
      <c r="BA917" s="228"/>
    </row>
    <row r="918" spans="1:53" ht="15.75" thickBot="1" x14ac:dyDescent="0.3">
      <c r="A918" s="88"/>
      <c r="B918" s="323"/>
      <c r="C918" s="295"/>
      <c r="D918" s="295"/>
      <c r="E918" s="308"/>
      <c r="F918" s="295"/>
      <c r="G918" s="310"/>
      <c r="H918" s="310"/>
      <c r="I918" s="310"/>
      <c r="J918" s="312"/>
      <c r="K918" s="295"/>
      <c r="L918" s="282"/>
      <c r="M918" s="285"/>
      <c r="N918" s="285"/>
      <c r="O918" s="285"/>
      <c r="P918" s="285"/>
      <c r="Q918" s="285"/>
      <c r="R918" s="285"/>
      <c r="S918" s="285"/>
      <c r="T918" s="285"/>
      <c r="U918" s="28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9"/>
      <c r="N919" s="279"/>
      <c r="O919" s="279"/>
      <c r="P919" s="279"/>
      <c r="Q919" s="279"/>
      <c r="R919" s="279"/>
      <c r="S919" s="279"/>
      <c r="T919" s="279"/>
      <c r="U919" s="280"/>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9"/>
      <c r="N920" s="279"/>
      <c r="O920" s="279"/>
      <c r="P920" s="279"/>
      <c r="Q920" s="279"/>
      <c r="R920" s="279"/>
      <c r="S920" s="279"/>
      <c r="T920" s="279"/>
      <c r="U920" s="280"/>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9"/>
      <c r="N921" s="279"/>
      <c r="O921" s="279"/>
      <c r="P921" s="279"/>
      <c r="Q921" s="279"/>
      <c r="R921" s="279"/>
      <c r="S921" s="279"/>
      <c r="T921" s="279"/>
      <c r="U921" s="280"/>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9"/>
      <c r="N922" s="279"/>
      <c r="O922" s="279"/>
      <c r="P922" s="279"/>
      <c r="Q922" s="279"/>
      <c r="R922" s="279"/>
      <c r="S922" s="279"/>
      <c r="T922" s="279"/>
      <c r="U922" s="280"/>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9"/>
      <c r="N923" s="279"/>
      <c r="O923" s="279"/>
      <c r="P923" s="279"/>
      <c r="Q923" s="279"/>
      <c r="R923" s="279"/>
      <c r="S923" s="279"/>
      <c r="T923" s="279"/>
      <c r="U923" s="280"/>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9"/>
      <c r="N924" s="279"/>
      <c r="O924" s="279"/>
      <c r="P924" s="279"/>
      <c r="Q924" s="279"/>
      <c r="R924" s="279"/>
      <c r="S924" s="279"/>
      <c r="T924" s="279"/>
      <c r="U924" s="280"/>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9"/>
      <c r="N925" s="279"/>
      <c r="O925" s="279"/>
      <c r="P925" s="279"/>
      <c r="Q925" s="279"/>
      <c r="R925" s="279"/>
      <c r="S925" s="279"/>
      <c r="T925" s="279"/>
      <c r="U925" s="280"/>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9"/>
      <c r="N926" s="279"/>
      <c r="O926" s="279"/>
      <c r="P926" s="279"/>
      <c r="Q926" s="279"/>
      <c r="R926" s="279"/>
      <c r="S926" s="279"/>
      <c r="T926" s="279"/>
      <c r="U926" s="280"/>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9"/>
      <c r="N927" s="279"/>
      <c r="O927" s="279"/>
      <c r="P927" s="279"/>
      <c r="Q927" s="279"/>
      <c r="R927" s="279"/>
      <c r="S927" s="279"/>
      <c r="T927" s="279"/>
      <c r="U927" s="280"/>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9"/>
      <c r="N928" s="279"/>
      <c r="O928" s="279"/>
      <c r="P928" s="279"/>
      <c r="Q928" s="279"/>
      <c r="R928" s="279"/>
      <c r="S928" s="279"/>
      <c r="T928" s="279"/>
      <c r="U928" s="280"/>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9"/>
      <c r="N929" s="279"/>
      <c r="O929" s="279"/>
      <c r="P929" s="279"/>
      <c r="Q929" s="279"/>
      <c r="R929" s="279"/>
      <c r="S929" s="279"/>
      <c r="T929" s="279"/>
      <c r="U929" s="280"/>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9"/>
      <c r="N930" s="279"/>
      <c r="O930" s="279"/>
      <c r="P930" s="279"/>
      <c r="Q930" s="279"/>
      <c r="R930" s="279"/>
      <c r="S930" s="279"/>
      <c r="T930" s="279"/>
      <c r="U930" s="280"/>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9"/>
      <c r="N931" s="279"/>
      <c r="O931" s="279"/>
      <c r="P931" s="279"/>
      <c r="Q931" s="279"/>
      <c r="R931" s="279"/>
      <c r="S931" s="279"/>
      <c r="T931" s="279"/>
      <c r="U931" s="280"/>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9"/>
      <c r="N932" s="279"/>
      <c r="O932" s="279"/>
      <c r="P932" s="279"/>
      <c r="Q932" s="279"/>
      <c r="R932" s="279"/>
      <c r="S932" s="279"/>
      <c r="T932" s="279"/>
      <c r="U932" s="280"/>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9"/>
      <c r="N933" s="279"/>
      <c r="O933" s="279"/>
      <c r="P933" s="279"/>
      <c r="Q933" s="279"/>
      <c r="R933" s="279"/>
      <c r="S933" s="279"/>
      <c r="T933" s="279"/>
      <c r="U933" s="280"/>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9"/>
      <c r="N934" s="279"/>
      <c r="O934" s="279"/>
      <c r="P934" s="279"/>
      <c r="Q934" s="279"/>
      <c r="R934" s="279"/>
      <c r="S934" s="279"/>
      <c r="T934" s="279"/>
      <c r="U934" s="280"/>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9"/>
      <c r="N935" s="279"/>
      <c r="O935" s="279"/>
      <c r="P935" s="279"/>
      <c r="Q935" s="279"/>
      <c r="R935" s="279"/>
      <c r="S935" s="279"/>
      <c r="T935" s="279"/>
      <c r="U935" s="280"/>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9"/>
      <c r="N936" s="279"/>
      <c r="O936" s="279"/>
      <c r="P936" s="279"/>
      <c r="Q936" s="279"/>
      <c r="R936" s="279"/>
      <c r="S936" s="279"/>
      <c r="T936" s="279"/>
      <c r="U936" s="280"/>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9"/>
      <c r="N937" s="279"/>
      <c r="O937" s="279"/>
      <c r="P937" s="279"/>
      <c r="Q937" s="279"/>
      <c r="R937" s="279"/>
      <c r="S937" s="279"/>
      <c r="T937" s="279"/>
      <c r="U937" s="280"/>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9"/>
      <c r="N938" s="279"/>
      <c r="O938" s="279"/>
      <c r="P938" s="279"/>
      <c r="Q938" s="279"/>
      <c r="R938" s="279"/>
      <c r="S938" s="279"/>
      <c r="T938" s="279"/>
      <c r="U938" s="280"/>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9"/>
      <c r="N939" s="279"/>
      <c r="O939" s="279"/>
      <c r="P939" s="279"/>
      <c r="Q939" s="279"/>
      <c r="R939" s="279"/>
      <c r="S939" s="279"/>
      <c r="T939" s="279"/>
      <c r="U939" s="280"/>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9"/>
      <c r="N940" s="279"/>
      <c r="O940" s="279"/>
      <c r="P940" s="279"/>
      <c r="Q940" s="279"/>
      <c r="R940" s="279"/>
      <c r="S940" s="279"/>
      <c r="T940" s="279"/>
      <c r="U940" s="280"/>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9"/>
      <c r="N941" s="279"/>
      <c r="O941" s="279"/>
      <c r="P941" s="279"/>
      <c r="Q941" s="279"/>
      <c r="R941" s="279"/>
      <c r="S941" s="279"/>
      <c r="T941" s="279"/>
      <c r="U941" s="280"/>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9"/>
      <c r="N942" s="279"/>
      <c r="O942" s="279"/>
      <c r="P942" s="279"/>
      <c r="Q942" s="279"/>
      <c r="R942" s="279"/>
      <c r="S942" s="279"/>
      <c r="T942" s="279"/>
      <c r="U942" s="280"/>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9"/>
      <c r="N943" s="279"/>
      <c r="O943" s="279"/>
      <c r="P943" s="279"/>
      <c r="Q943" s="279"/>
      <c r="R943" s="279"/>
      <c r="S943" s="279"/>
      <c r="T943" s="279"/>
      <c r="U943" s="280"/>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3" t="s">
        <v>222</v>
      </c>
      <c r="C949" s="314"/>
      <c r="D949" s="315" t="s">
        <v>223</v>
      </c>
      <c r="E949" s="306"/>
      <c r="F949" s="88"/>
      <c r="G949" s="316" t="s">
        <v>224</v>
      </c>
      <c r="H949" s="317"/>
      <c r="I949" s="28">
        <f>SUM(E960:E984)</f>
        <v>0</v>
      </c>
      <c r="J949" s="318" t="s">
        <v>225</v>
      </c>
      <c r="K949" s="319"/>
      <c r="L949" s="306"/>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6" t="s">
        <v>226</v>
      </c>
      <c r="AA949" s="297"/>
      <c r="AB949" s="298"/>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5" t="s">
        <v>230</v>
      </c>
      <c r="H950" s="306"/>
      <c r="I950" s="33">
        <f>E951-I949</f>
        <v>0</v>
      </c>
      <c r="J950" s="290" t="s">
        <v>231</v>
      </c>
      <c r="K950" s="291"/>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9" t="s">
        <v>232</v>
      </c>
      <c r="AA950" s="301" t="s">
        <v>233</v>
      </c>
      <c r="AB950" s="302"/>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2" t="s">
        <v>237</v>
      </c>
      <c r="H951" s="293"/>
      <c r="I951" s="35">
        <f>IF(E951=0,0,12-(MOD(I949,12)))</f>
        <v>0</v>
      </c>
      <c r="J951" s="290" t="s">
        <v>238</v>
      </c>
      <c r="K951" s="291"/>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0"/>
      <c r="AA951" s="303"/>
      <c r="AB951" s="304"/>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2" t="s">
        <v>242</v>
      </c>
      <c r="H952" s="43" t="s">
        <v>243</v>
      </c>
      <c r="I952" s="35">
        <f>IF(E952&lt;&gt;0,1,0)</f>
        <v>0</v>
      </c>
      <c r="J952" s="292" t="s">
        <v>244</v>
      </c>
      <c r="K952" s="293"/>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3"/>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2" t="s">
        <v>251</v>
      </c>
      <c r="H954" s="51" t="s">
        <v>252</v>
      </c>
      <c r="I954" s="112">
        <f>E953</f>
        <v>0</v>
      </c>
      <c r="J954" s="324" t="s">
        <v>253</v>
      </c>
      <c r="K954" s="325"/>
      <c r="L954" s="32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3"/>
      <c r="H955" s="47" t="s">
        <v>257</v>
      </c>
      <c r="I955" s="35" t="str">
        <f>IF(E953="","0",IF(AND(E950="EUC",E951=432), I954+(203-E952),IF(E953=0,0,(E953+(E951-E952)-1))))</f>
        <v>0</v>
      </c>
      <c r="J955" s="287" t="str">
        <f>IFERROR(IF(OR(E950="EUC",E950="SS"),"---",IF(OR(P949,S949),"NO 2F Tethers for RPX!",IF(OR(P951,S951),"NO 6F Tethers for RPX!","---"))),"---")</f>
        <v>---</v>
      </c>
      <c r="K955" s="288"/>
      <c r="L955" s="289"/>
      <c r="M955" s="287" t="str">
        <f>IF(E952&gt;60,"Dead Count &gt;60: Consider Downsize","---")</f>
        <v>---</v>
      </c>
      <c r="N955" s="288"/>
      <c r="O955" s="288"/>
      <c r="P955" s="288"/>
      <c r="Q955" s="288"/>
      <c r="R955" s="288"/>
      <c r="S955" s="288"/>
      <c r="T955" s="288"/>
      <c r="U955" s="289"/>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7"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8"/>
      <c r="L956" s="289"/>
      <c r="M956" s="287" t="str">
        <f>IF(AND(OR(E950="SS",E950="RPX",E950="EUC",E950="RPX-T"),(OR(C960="",C960="Field SPL"))),"Cannot have FlexNap cables without tethers","---")</f>
        <v>---</v>
      </c>
      <c r="N956" s="288"/>
      <c r="O956" s="288"/>
      <c r="P956" s="288"/>
      <c r="Q956" s="288"/>
      <c r="R956" s="288"/>
      <c r="S956" s="288"/>
      <c r="T956" s="288"/>
      <c r="U956" s="289"/>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7" t="str">
        <f>IF(AND(OR(E950="RPX", E950="RPX-T", E950="SS"),E951=216),"NO 216 For RPX, RPX-T, OR SS CABLE","---")</f>
        <v>---</v>
      </c>
      <c r="K957" s="288"/>
      <c r="L957" s="289"/>
      <c r="M957" s="287" t="str" cm="1">
        <f t="array" ref="M957">IF(AND(E950="",OR(C960:C984="FST",C960:C984="REV T",C960:C984="DBL REV",C960:C984="TPL REV", C960:C984="QD REV")),"Non-FlexNap cables cannot have tethers","---")</f>
        <v>---</v>
      </c>
      <c r="N957" s="288"/>
      <c r="O957" s="288"/>
      <c r="P957" s="288"/>
      <c r="Q957" s="288"/>
      <c r="R957" s="288"/>
      <c r="S957" s="288"/>
      <c r="T957" s="288"/>
      <c r="U957" s="289"/>
      <c r="V957" s="25"/>
      <c r="W957" s="58"/>
      <c r="X957" s="58"/>
      <c r="Y957" s="25"/>
      <c r="Z957" s="45">
        <v>6</v>
      </c>
      <c r="AA957" s="65">
        <v>61</v>
      </c>
      <c r="AB957" s="65">
        <v>72</v>
      </c>
      <c r="AC957" s="25"/>
      <c r="AD957" s="25"/>
      <c r="BA957" s="226"/>
    </row>
    <row r="958" spans="1:53" ht="15.75" customHeight="1" thickBot="1" x14ac:dyDescent="0.3">
      <c r="A958" s="88"/>
      <c r="B958" s="322" t="s">
        <v>260</v>
      </c>
      <c r="C958" s="294" t="s">
        <v>261</v>
      </c>
      <c r="D958" s="294" t="s">
        <v>262</v>
      </c>
      <c r="E958" s="307" t="s">
        <v>263</v>
      </c>
      <c r="F958" s="294" t="s">
        <v>264</v>
      </c>
      <c r="G958" s="309" t="s">
        <v>265</v>
      </c>
      <c r="H958" s="309" t="s">
        <v>266</v>
      </c>
      <c r="I958" s="309" t="s">
        <v>267</v>
      </c>
      <c r="J958" s="311" t="s">
        <v>268</v>
      </c>
      <c r="K958" s="294" t="s">
        <v>269</v>
      </c>
      <c r="L958" s="281" t="s">
        <v>270</v>
      </c>
      <c r="M958" s="283" t="s">
        <v>271</v>
      </c>
      <c r="N958" s="283"/>
      <c r="O958" s="283"/>
      <c r="P958" s="283"/>
      <c r="Q958" s="283"/>
      <c r="R958" s="283"/>
      <c r="S958" s="283"/>
      <c r="T958" s="283"/>
      <c r="U958" s="284"/>
      <c r="V958" s="107"/>
      <c r="W958" s="72"/>
      <c r="X958" s="72"/>
      <c r="Y958" s="72"/>
      <c r="Z958" s="45">
        <v>7</v>
      </c>
      <c r="AA958" s="65">
        <v>73</v>
      </c>
      <c r="AB958" s="65">
        <v>84</v>
      </c>
      <c r="AC958" s="25"/>
      <c r="AD958" s="25"/>
      <c r="BA958" s="228"/>
    </row>
    <row r="959" spans="1:53" ht="15.75" thickBot="1" x14ac:dyDescent="0.3">
      <c r="A959" s="88"/>
      <c r="B959" s="323"/>
      <c r="C959" s="295"/>
      <c r="D959" s="295"/>
      <c r="E959" s="308"/>
      <c r="F959" s="295"/>
      <c r="G959" s="310"/>
      <c r="H959" s="310"/>
      <c r="I959" s="310"/>
      <c r="J959" s="312"/>
      <c r="K959" s="295"/>
      <c r="L959" s="282"/>
      <c r="M959" s="285"/>
      <c r="N959" s="285"/>
      <c r="O959" s="285"/>
      <c r="P959" s="285"/>
      <c r="Q959" s="285"/>
      <c r="R959" s="285"/>
      <c r="S959" s="285"/>
      <c r="T959" s="285"/>
      <c r="U959" s="28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9"/>
      <c r="N960" s="279"/>
      <c r="O960" s="279"/>
      <c r="P960" s="279"/>
      <c r="Q960" s="279"/>
      <c r="R960" s="279"/>
      <c r="S960" s="279"/>
      <c r="T960" s="279"/>
      <c r="U960" s="280"/>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9"/>
      <c r="N961" s="279"/>
      <c r="O961" s="279"/>
      <c r="P961" s="279"/>
      <c r="Q961" s="279"/>
      <c r="R961" s="279"/>
      <c r="S961" s="279"/>
      <c r="T961" s="279"/>
      <c r="U961" s="280"/>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9"/>
      <c r="N962" s="279"/>
      <c r="O962" s="279"/>
      <c r="P962" s="279"/>
      <c r="Q962" s="279"/>
      <c r="R962" s="279"/>
      <c r="S962" s="279"/>
      <c r="T962" s="279"/>
      <c r="U962" s="280"/>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9"/>
      <c r="N963" s="279"/>
      <c r="O963" s="279"/>
      <c r="P963" s="279"/>
      <c r="Q963" s="279"/>
      <c r="R963" s="279"/>
      <c r="S963" s="279"/>
      <c r="T963" s="279"/>
      <c r="U963" s="280"/>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9"/>
      <c r="N964" s="279"/>
      <c r="O964" s="279"/>
      <c r="P964" s="279"/>
      <c r="Q964" s="279"/>
      <c r="R964" s="279"/>
      <c r="S964" s="279"/>
      <c r="T964" s="279"/>
      <c r="U964" s="280"/>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9"/>
      <c r="N965" s="279"/>
      <c r="O965" s="279"/>
      <c r="P965" s="279"/>
      <c r="Q965" s="279"/>
      <c r="R965" s="279"/>
      <c r="S965" s="279"/>
      <c r="T965" s="279"/>
      <c r="U965" s="280"/>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9"/>
      <c r="N966" s="279"/>
      <c r="O966" s="279"/>
      <c r="P966" s="279"/>
      <c r="Q966" s="279"/>
      <c r="R966" s="279"/>
      <c r="S966" s="279"/>
      <c r="T966" s="279"/>
      <c r="U966" s="280"/>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9"/>
      <c r="N967" s="279"/>
      <c r="O967" s="279"/>
      <c r="P967" s="279"/>
      <c r="Q967" s="279"/>
      <c r="R967" s="279"/>
      <c r="S967" s="279"/>
      <c r="T967" s="279"/>
      <c r="U967" s="280"/>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9"/>
      <c r="N968" s="279"/>
      <c r="O968" s="279"/>
      <c r="P968" s="279"/>
      <c r="Q968" s="279"/>
      <c r="R968" s="279"/>
      <c r="S968" s="279"/>
      <c r="T968" s="279"/>
      <c r="U968" s="280"/>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9"/>
      <c r="N969" s="279"/>
      <c r="O969" s="279"/>
      <c r="P969" s="279"/>
      <c r="Q969" s="279"/>
      <c r="R969" s="279"/>
      <c r="S969" s="279"/>
      <c r="T969" s="279"/>
      <c r="U969" s="280"/>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9"/>
      <c r="N970" s="279"/>
      <c r="O970" s="279"/>
      <c r="P970" s="279"/>
      <c r="Q970" s="279"/>
      <c r="R970" s="279"/>
      <c r="S970" s="279"/>
      <c r="T970" s="279"/>
      <c r="U970" s="280"/>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9"/>
      <c r="N971" s="279"/>
      <c r="O971" s="279"/>
      <c r="P971" s="279"/>
      <c r="Q971" s="279"/>
      <c r="R971" s="279"/>
      <c r="S971" s="279"/>
      <c r="T971" s="279"/>
      <c r="U971" s="280"/>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9"/>
      <c r="N972" s="279"/>
      <c r="O972" s="279"/>
      <c r="P972" s="279"/>
      <c r="Q972" s="279"/>
      <c r="R972" s="279"/>
      <c r="S972" s="279"/>
      <c r="T972" s="279"/>
      <c r="U972" s="280"/>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9"/>
      <c r="N973" s="279"/>
      <c r="O973" s="279"/>
      <c r="P973" s="279"/>
      <c r="Q973" s="279"/>
      <c r="R973" s="279"/>
      <c r="S973" s="279"/>
      <c r="T973" s="279"/>
      <c r="U973" s="280"/>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9"/>
      <c r="N974" s="279"/>
      <c r="O974" s="279"/>
      <c r="P974" s="279"/>
      <c r="Q974" s="279"/>
      <c r="R974" s="279"/>
      <c r="S974" s="279"/>
      <c r="T974" s="279"/>
      <c r="U974" s="280"/>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9"/>
      <c r="N975" s="279"/>
      <c r="O975" s="279"/>
      <c r="P975" s="279"/>
      <c r="Q975" s="279"/>
      <c r="R975" s="279"/>
      <c r="S975" s="279"/>
      <c r="T975" s="279"/>
      <c r="U975" s="280"/>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9"/>
      <c r="N976" s="279"/>
      <c r="O976" s="279"/>
      <c r="P976" s="279"/>
      <c r="Q976" s="279"/>
      <c r="R976" s="279"/>
      <c r="S976" s="279"/>
      <c r="T976" s="279"/>
      <c r="U976" s="280"/>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9"/>
      <c r="N977" s="279"/>
      <c r="O977" s="279"/>
      <c r="P977" s="279"/>
      <c r="Q977" s="279"/>
      <c r="R977" s="279"/>
      <c r="S977" s="279"/>
      <c r="T977" s="279"/>
      <c r="U977" s="280"/>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9"/>
      <c r="N978" s="279"/>
      <c r="O978" s="279"/>
      <c r="P978" s="279"/>
      <c r="Q978" s="279"/>
      <c r="R978" s="279"/>
      <c r="S978" s="279"/>
      <c r="T978" s="279"/>
      <c r="U978" s="280"/>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9"/>
      <c r="N979" s="279"/>
      <c r="O979" s="279"/>
      <c r="P979" s="279"/>
      <c r="Q979" s="279"/>
      <c r="R979" s="279"/>
      <c r="S979" s="279"/>
      <c r="T979" s="279"/>
      <c r="U979" s="280"/>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9"/>
      <c r="N980" s="279"/>
      <c r="O980" s="279"/>
      <c r="P980" s="279"/>
      <c r="Q980" s="279"/>
      <c r="R980" s="279"/>
      <c r="S980" s="279"/>
      <c r="T980" s="279"/>
      <c r="U980" s="280"/>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9"/>
      <c r="N981" s="279"/>
      <c r="O981" s="279"/>
      <c r="P981" s="279"/>
      <c r="Q981" s="279"/>
      <c r="R981" s="279"/>
      <c r="S981" s="279"/>
      <c r="T981" s="279"/>
      <c r="U981" s="280"/>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9"/>
      <c r="N982" s="279"/>
      <c r="O982" s="279"/>
      <c r="P982" s="279"/>
      <c r="Q982" s="279"/>
      <c r="R982" s="279"/>
      <c r="S982" s="279"/>
      <c r="T982" s="279"/>
      <c r="U982" s="280"/>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9"/>
      <c r="N983" s="279"/>
      <c r="O983" s="279"/>
      <c r="P983" s="279"/>
      <c r="Q983" s="279"/>
      <c r="R983" s="279"/>
      <c r="S983" s="279"/>
      <c r="T983" s="279"/>
      <c r="U983" s="280"/>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9"/>
      <c r="N984" s="279"/>
      <c r="O984" s="279"/>
      <c r="P984" s="279"/>
      <c r="Q984" s="279"/>
      <c r="R984" s="279"/>
      <c r="S984" s="279"/>
      <c r="T984" s="279"/>
      <c r="U984" s="280"/>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0" t="s">
        <v>351</v>
      </c>
      <c r="C985" s="321"/>
      <c r="D985" s="79"/>
      <c r="E985" s="80"/>
      <c r="F985" s="80"/>
      <c r="G985" s="81"/>
      <c r="H985" s="192"/>
      <c r="I985" s="192"/>
      <c r="J985" s="192"/>
      <c r="K985" s="82"/>
      <c r="L985" s="320" t="s">
        <v>306</v>
      </c>
      <c r="M985" s="331"/>
      <c r="N985" s="331"/>
      <c r="O985" s="331"/>
      <c r="P985" s="331"/>
      <c r="Q985" s="331"/>
      <c r="R985" s="331"/>
      <c r="S985" s="331"/>
      <c r="T985" s="331"/>
      <c r="U985" s="321"/>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0" t="s">
        <v>307</v>
      </c>
      <c r="C986" s="321"/>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3" t="s">
        <v>222</v>
      </c>
      <c r="C990" s="314"/>
      <c r="D990" s="315" t="s">
        <v>223</v>
      </c>
      <c r="E990" s="306"/>
      <c r="F990" s="88"/>
      <c r="G990" s="316" t="s">
        <v>224</v>
      </c>
      <c r="H990" s="317"/>
      <c r="I990" s="28">
        <f>SUM(E1001:E1025)</f>
        <v>0</v>
      </c>
      <c r="J990" s="318" t="s">
        <v>225</v>
      </c>
      <c r="K990" s="319"/>
      <c r="L990" s="306"/>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6" t="s">
        <v>226</v>
      </c>
      <c r="AA990" s="297"/>
      <c r="AB990" s="298"/>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5" t="s">
        <v>230</v>
      </c>
      <c r="H991" s="306"/>
      <c r="I991" s="33">
        <f>E992-I990</f>
        <v>0</v>
      </c>
      <c r="J991" s="290" t="s">
        <v>231</v>
      </c>
      <c r="K991" s="291"/>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9" t="s">
        <v>232</v>
      </c>
      <c r="AA991" s="301" t="s">
        <v>233</v>
      </c>
      <c r="AB991" s="302"/>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2" t="s">
        <v>237</v>
      </c>
      <c r="H992" s="293"/>
      <c r="I992" s="35">
        <f>IF(E992=0,0,12-(MOD(I990,12)))</f>
        <v>0</v>
      </c>
      <c r="J992" s="290" t="s">
        <v>238</v>
      </c>
      <c r="K992" s="291"/>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0"/>
      <c r="AA992" s="303"/>
      <c r="AB992" s="304"/>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2" t="s">
        <v>242</v>
      </c>
      <c r="H993" s="43" t="s">
        <v>243</v>
      </c>
      <c r="I993" s="35">
        <f>IF(E993&lt;&gt;0,1,0)</f>
        <v>0</v>
      </c>
      <c r="J993" s="292" t="s">
        <v>244</v>
      </c>
      <c r="K993" s="293"/>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3"/>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2" t="s">
        <v>251</v>
      </c>
      <c r="H995" s="51" t="s">
        <v>252</v>
      </c>
      <c r="I995" s="112">
        <f>E994</f>
        <v>0</v>
      </c>
      <c r="J995" s="324" t="s">
        <v>253</v>
      </c>
      <c r="K995" s="325"/>
      <c r="L995" s="32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3"/>
      <c r="H996" s="47" t="s">
        <v>257</v>
      </c>
      <c r="I996" s="35" t="str">
        <f>IF(E994="","0",IF(AND(E991="EUC",E992=432), I995+(203-E993),IF(E994=0,0,(E994+(E992-E993)-1))))</f>
        <v>0</v>
      </c>
      <c r="J996" s="287" t="str">
        <f>IFERROR(IF(OR(E991="EUC",E991="SS"),"---",IF(OR(P990,S990),"NO 2F Tethers for RPX!",IF(OR(P992,S992),"NO 6F Tethers for RPX!","---"))),"---")</f>
        <v>---</v>
      </c>
      <c r="K996" s="288"/>
      <c r="L996" s="289"/>
      <c r="M996" s="287" t="str">
        <f>IF(E993&gt;60,"Dead Count &gt;60: Consider Downsize","---")</f>
        <v>---</v>
      </c>
      <c r="N996" s="288"/>
      <c r="O996" s="288"/>
      <c r="P996" s="288"/>
      <c r="Q996" s="288"/>
      <c r="R996" s="288"/>
      <c r="S996" s="288"/>
      <c r="T996" s="288"/>
      <c r="U996" s="289"/>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7"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8"/>
      <c r="L997" s="289"/>
      <c r="M997" s="287" t="str">
        <f>IF(AND(OR(E991="SS",E991="RPX",E991="EUC",E991="RPX-T"),(OR(C1001="",C1001="Field SPL"))),"Cannot have FlexNap cables without tethers","---")</f>
        <v>---</v>
      </c>
      <c r="N997" s="288"/>
      <c r="O997" s="288"/>
      <c r="P997" s="288"/>
      <c r="Q997" s="288"/>
      <c r="R997" s="288"/>
      <c r="S997" s="288"/>
      <c r="T997" s="288"/>
      <c r="U997" s="289"/>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7" t="str">
        <f>IF(AND(OR(E991="RPX", E991="RPX-T", E991="SS"),E992=216),"NO 216 For RPX, RPX-T, OR SS CABLE","---")</f>
        <v>---</v>
      </c>
      <c r="K998" s="288"/>
      <c r="L998" s="289"/>
      <c r="M998" s="287" t="str" cm="1">
        <f t="array" ref="M998">IF(AND(E991="",OR(C1001:C1025="FST",C1001:C1025="REV T",C1001:C1025="DBL REV",C1001:C1025="TPL REV", C1001:C1025="QD REV")),"Non-FlexNap cables cannot have tethers","---")</f>
        <v>---</v>
      </c>
      <c r="N998" s="288"/>
      <c r="O998" s="288"/>
      <c r="P998" s="288"/>
      <c r="Q998" s="288"/>
      <c r="R998" s="288"/>
      <c r="S998" s="288"/>
      <c r="T998" s="288"/>
      <c r="U998" s="289"/>
      <c r="V998" s="25"/>
      <c r="W998" s="58"/>
      <c r="X998" s="58"/>
      <c r="Y998" s="25"/>
      <c r="Z998" s="45">
        <v>6</v>
      </c>
      <c r="AA998" s="65">
        <v>61</v>
      </c>
      <c r="AB998" s="65">
        <v>72</v>
      </c>
      <c r="AC998" s="25"/>
      <c r="AD998" s="25"/>
      <c r="BA998" s="226"/>
    </row>
    <row r="999" spans="1:53" ht="15.75" customHeight="1" thickBot="1" x14ac:dyDescent="0.3">
      <c r="A999" s="88"/>
      <c r="B999" s="322" t="s">
        <v>260</v>
      </c>
      <c r="C999" s="294" t="s">
        <v>261</v>
      </c>
      <c r="D999" s="294" t="s">
        <v>262</v>
      </c>
      <c r="E999" s="307" t="s">
        <v>263</v>
      </c>
      <c r="F999" s="294" t="s">
        <v>264</v>
      </c>
      <c r="G999" s="309" t="s">
        <v>265</v>
      </c>
      <c r="H999" s="309" t="s">
        <v>266</v>
      </c>
      <c r="I999" s="309" t="s">
        <v>267</v>
      </c>
      <c r="J999" s="311" t="s">
        <v>268</v>
      </c>
      <c r="K999" s="294" t="s">
        <v>269</v>
      </c>
      <c r="L999" s="281" t="s">
        <v>270</v>
      </c>
      <c r="M999" s="283" t="s">
        <v>271</v>
      </c>
      <c r="N999" s="283"/>
      <c r="O999" s="283"/>
      <c r="P999" s="283"/>
      <c r="Q999" s="283"/>
      <c r="R999" s="283"/>
      <c r="S999" s="283"/>
      <c r="T999" s="283"/>
      <c r="U999" s="284"/>
      <c r="V999" s="107"/>
      <c r="W999" s="72"/>
      <c r="X999" s="72"/>
      <c r="Y999" s="72"/>
      <c r="Z999" s="45">
        <v>7</v>
      </c>
      <c r="AA999" s="65">
        <v>73</v>
      </c>
      <c r="AB999" s="65">
        <v>84</v>
      </c>
      <c r="AC999" s="25"/>
      <c r="AD999" s="25"/>
      <c r="BA999" s="228"/>
    </row>
    <row r="1000" spans="1:53" ht="15.75" thickBot="1" x14ac:dyDescent="0.3">
      <c r="A1000" s="88"/>
      <c r="B1000" s="323"/>
      <c r="C1000" s="295"/>
      <c r="D1000" s="295"/>
      <c r="E1000" s="308"/>
      <c r="F1000" s="295"/>
      <c r="G1000" s="310"/>
      <c r="H1000" s="310"/>
      <c r="I1000" s="310"/>
      <c r="J1000" s="312"/>
      <c r="K1000" s="295"/>
      <c r="L1000" s="282"/>
      <c r="M1000" s="285"/>
      <c r="N1000" s="285"/>
      <c r="O1000" s="285"/>
      <c r="P1000" s="285"/>
      <c r="Q1000" s="285"/>
      <c r="R1000" s="285"/>
      <c r="S1000" s="285"/>
      <c r="T1000" s="285"/>
      <c r="U1000" s="28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9"/>
      <c r="N1001" s="279"/>
      <c r="O1001" s="279"/>
      <c r="P1001" s="279"/>
      <c r="Q1001" s="279"/>
      <c r="R1001" s="279"/>
      <c r="S1001" s="279"/>
      <c r="T1001" s="279"/>
      <c r="U1001" s="280"/>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9"/>
      <c r="N1002" s="279"/>
      <c r="O1002" s="279"/>
      <c r="P1002" s="279"/>
      <c r="Q1002" s="279"/>
      <c r="R1002" s="279"/>
      <c r="S1002" s="279"/>
      <c r="T1002" s="279"/>
      <c r="U1002" s="280"/>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9"/>
      <c r="N1003" s="279"/>
      <c r="O1003" s="279"/>
      <c r="P1003" s="279"/>
      <c r="Q1003" s="279"/>
      <c r="R1003" s="279"/>
      <c r="S1003" s="279"/>
      <c r="T1003" s="279"/>
      <c r="U1003" s="280"/>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9"/>
      <c r="N1004" s="279"/>
      <c r="O1004" s="279"/>
      <c r="P1004" s="279"/>
      <c r="Q1004" s="279"/>
      <c r="R1004" s="279"/>
      <c r="S1004" s="279"/>
      <c r="T1004" s="279"/>
      <c r="U1004" s="280"/>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9"/>
      <c r="N1005" s="279"/>
      <c r="O1005" s="279"/>
      <c r="P1005" s="279"/>
      <c r="Q1005" s="279"/>
      <c r="R1005" s="279"/>
      <c r="S1005" s="279"/>
      <c r="T1005" s="279"/>
      <c r="U1005" s="280"/>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9"/>
      <c r="N1006" s="279"/>
      <c r="O1006" s="279"/>
      <c r="P1006" s="279"/>
      <c r="Q1006" s="279"/>
      <c r="R1006" s="279"/>
      <c r="S1006" s="279"/>
      <c r="T1006" s="279"/>
      <c r="U1006" s="280"/>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9"/>
      <c r="N1007" s="279"/>
      <c r="O1007" s="279"/>
      <c r="P1007" s="279"/>
      <c r="Q1007" s="279"/>
      <c r="R1007" s="279"/>
      <c r="S1007" s="279"/>
      <c r="T1007" s="279"/>
      <c r="U1007" s="280"/>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9"/>
      <c r="N1008" s="279"/>
      <c r="O1008" s="279"/>
      <c r="P1008" s="279"/>
      <c r="Q1008" s="279"/>
      <c r="R1008" s="279"/>
      <c r="S1008" s="279"/>
      <c r="T1008" s="279"/>
      <c r="U1008" s="280"/>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9"/>
      <c r="N1009" s="279"/>
      <c r="O1009" s="279"/>
      <c r="P1009" s="279"/>
      <c r="Q1009" s="279"/>
      <c r="R1009" s="279"/>
      <c r="S1009" s="279"/>
      <c r="T1009" s="279"/>
      <c r="U1009" s="280"/>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9"/>
      <c r="N1010" s="279"/>
      <c r="O1010" s="279"/>
      <c r="P1010" s="279"/>
      <c r="Q1010" s="279"/>
      <c r="R1010" s="279"/>
      <c r="S1010" s="279"/>
      <c r="T1010" s="279"/>
      <c r="U1010" s="280"/>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9"/>
      <c r="N1011" s="279"/>
      <c r="O1011" s="279"/>
      <c r="P1011" s="279"/>
      <c r="Q1011" s="279"/>
      <c r="R1011" s="279"/>
      <c r="S1011" s="279"/>
      <c r="T1011" s="279"/>
      <c r="U1011" s="280"/>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9"/>
      <c r="N1012" s="279"/>
      <c r="O1012" s="279"/>
      <c r="P1012" s="279"/>
      <c r="Q1012" s="279"/>
      <c r="R1012" s="279"/>
      <c r="S1012" s="279"/>
      <c r="T1012" s="279"/>
      <c r="U1012" s="280"/>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9"/>
      <c r="N1013" s="279"/>
      <c r="O1013" s="279"/>
      <c r="P1013" s="279"/>
      <c r="Q1013" s="279"/>
      <c r="R1013" s="279"/>
      <c r="S1013" s="279"/>
      <c r="T1013" s="279"/>
      <c r="U1013" s="280"/>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9"/>
      <c r="N1014" s="279"/>
      <c r="O1014" s="279"/>
      <c r="P1014" s="279"/>
      <c r="Q1014" s="279"/>
      <c r="R1014" s="279"/>
      <c r="S1014" s="279"/>
      <c r="T1014" s="279"/>
      <c r="U1014" s="280"/>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9"/>
      <c r="N1015" s="279"/>
      <c r="O1015" s="279"/>
      <c r="P1015" s="279"/>
      <c r="Q1015" s="279"/>
      <c r="R1015" s="279"/>
      <c r="S1015" s="279"/>
      <c r="T1015" s="279"/>
      <c r="U1015" s="280"/>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9"/>
      <c r="N1016" s="279"/>
      <c r="O1016" s="279"/>
      <c r="P1016" s="279"/>
      <c r="Q1016" s="279"/>
      <c r="R1016" s="279"/>
      <c r="S1016" s="279"/>
      <c r="T1016" s="279"/>
      <c r="U1016" s="280"/>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9"/>
      <c r="N1017" s="279"/>
      <c r="O1017" s="279"/>
      <c r="P1017" s="279"/>
      <c r="Q1017" s="279"/>
      <c r="R1017" s="279"/>
      <c r="S1017" s="279"/>
      <c r="T1017" s="279"/>
      <c r="U1017" s="280"/>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9"/>
      <c r="N1018" s="279"/>
      <c r="O1018" s="279"/>
      <c r="P1018" s="279"/>
      <c r="Q1018" s="279"/>
      <c r="R1018" s="279"/>
      <c r="S1018" s="279"/>
      <c r="T1018" s="279"/>
      <c r="U1018" s="280"/>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9"/>
      <c r="N1019" s="279"/>
      <c r="O1019" s="279"/>
      <c r="P1019" s="279"/>
      <c r="Q1019" s="279"/>
      <c r="R1019" s="279"/>
      <c r="S1019" s="279"/>
      <c r="T1019" s="279"/>
      <c r="U1019" s="280"/>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9"/>
      <c r="N1020" s="279"/>
      <c r="O1020" s="279"/>
      <c r="P1020" s="279"/>
      <c r="Q1020" s="279"/>
      <c r="R1020" s="279"/>
      <c r="S1020" s="279"/>
      <c r="T1020" s="279"/>
      <c r="U1020" s="280"/>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9"/>
      <c r="N1021" s="279"/>
      <c r="O1021" s="279"/>
      <c r="P1021" s="279"/>
      <c r="Q1021" s="279"/>
      <c r="R1021" s="279"/>
      <c r="S1021" s="279"/>
      <c r="T1021" s="279"/>
      <c r="U1021" s="280"/>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9"/>
      <c r="N1022" s="279"/>
      <c r="O1022" s="279"/>
      <c r="P1022" s="279"/>
      <c r="Q1022" s="279"/>
      <c r="R1022" s="279"/>
      <c r="S1022" s="279"/>
      <c r="T1022" s="279"/>
      <c r="U1022" s="280"/>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9"/>
      <c r="N1023" s="279"/>
      <c r="O1023" s="279"/>
      <c r="P1023" s="279"/>
      <c r="Q1023" s="279"/>
      <c r="R1023" s="279"/>
      <c r="S1023" s="279"/>
      <c r="T1023" s="279"/>
      <c r="U1023" s="280"/>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9"/>
      <c r="N1024" s="279"/>
      <c r="O1024" s="279"/>
      <c r="P1024" s="279"/>
      <c r="Q1024" s="279"/>
      <c r="R1024" s="279"/>
      <c r="S1024" s="279"/>
      <c r="T1024" s="279"/>
      <c r="U1024" s="280"/>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9"/>
      <c r="N1025" s="279"/>
      <c r="O1025" s="279"/>
      <c r="P1025" s="279"/>
      <c r="Q1025" s="279"/>
      <c r="R1025" s="279"/>
      <c r="S1025" s="279"/>
      <c r="T1025" s="279"/>
      <c r="U1025" s="280"/>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0" t="s">
        <v>353</v>
      </c>
      <c r="C1026" s="321"/>
      <c r="D1026" s="79"/>
      <c r="E1026" s="80"/>
      <c r="F1026" s="80"/>
      <c r="G1026" s="81"/>
      <c r="H1026" s="192"/>
      <c r="I1026" s="192"/>
      <c r="J1026" s="192"/>
      <c r="K1026" s="82"/>
      <c r="L1026" s="320" t="s">
        <v>306</v>
      </c>
      <c r="M1026" s="331"/>
      <c r="N1026" s="331"/>
      <c r="O1026" s="331"/>
      <c r="P1026" s="331"/>
      <c r="Q1026" s="331"/>
      <c r="R1026" s="331"/>
      <c r="S1026" s="331"/>
      <c r="T1026" s="331"/>
      <c r="U1026" s="321"/>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0" t="s">
        <v>307</v>
      </c>
      <c r="C1027" s="321"/>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3" t="s">
        <v>222</v>
      </c>
      <c r="C1031" s="314"/>
      <c r="D1031" s="315" t="s">
        <v>223</v>
      </c>
      <c r="E1031" s="306"/>
      <c r="F1031" s="88"/>
      <c r="G1031" s="316" t="s">
        <v>224</v>
      </c>
      <c r="H1031" s="317"/>
      <c r="I1031" s="28">
        <f>SUM(E1042:E1066)</f>
        <v>0</v>
      </c>
      <c r="J1031" s="318" t="s">
        <v>225</v>
      </c>
      <c r="K1031" s="319"/>
      <c r="L1031" s="306"/>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6" t="s">
        <v>226</v>
      </c>
      <c r="AA1031" s="297"/>
      <c r="AB1031" s="298"/>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5" t="s">
        <v>230</v>
      </c>
      <c r="H1032" s="306"/>
      <c r="I1032" s="33">
        <f>E1033-I1031</f>
        <v>0</v>
      </c>
      <c r="J1032" s="290" t="s">
        <v>231</v>
      </c>
      <c r="K1032" s="291"/>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9" t="s">
        <v>232</v>
      </c>
      <c r="AA1032" s="301" t="s">
        <v>233</v>
      </c>
      <c r="AB1032" s="302"/>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2" t="s">
        <v>237</v>
      </c>
      <c r="H1033" s="293"/>
      <c r="I1033" s="35">
        <f>IF(E1033=0,0,12-(MOD(I1031,12)))</f>
        <v>0</v>
      </c>
      <c r="J1033" s="290" t="s">
        <v>238</v>
      </c>
      <c r="K1033" s="291"/>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0"/>
      <c r="AA1033" s="303"/>
      <c r="AB1033" s="304"/>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2" t="s">
        <v>242</v>
      </c>
      <c r="H1034" s="43" t="s">
        <v>243</v>
      </c>
      <c r="I1034" s="35">
        <f>IF(E1034&lt;&gt;0,1,0)</f>
        <v>0</v>
      </c>
      <c r="J1034" s="292" t="s">
        <v>244</v>
      </c>
      <c r="K1034" s="293"/>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3"/>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2" t="s">
        <v>251</v>
      </c>
      <c r="H1036" s="51" t="s">
        <v>252</v>
      </c>
      <c r="I1036" s="112">
        <f>E1035</f>
        <v>0</v>
      </c>
      <c r="J1036" s="324" t="s">
        <v>253</v>
      </c>
      <c r="K1036" s="325"/>
      <c r="L1036" s="32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3"/>
      <c r="H1037" s="47" t="s">
        <v>257</v>
      </c>
      <c r="I1037" s="35" t="str">
        <f>IF(E1035="","0",IF(AND(E1032="EUC",E1033=432), I1036+(203-E1034),IF(E1035=0,0,(E1035+(E1033-E1034)-1))))</f>
        <v>0</v>
      </c>
      <c r="J1037" s="287" t="str">
        <f>IFERROR(IF(OR(E1032="EUC",E1032="SS"),"---",IF(OR(P1031,S1031),"NO 2F Tethers for RPX!",IF(OR(P1033,S1033),"NO 6F Tethers for RPX!","---"))),"---")</f>
        <v>---</v>
      </c>
      <c r="K1037" s="288"/>
      <c r="L1037" s="289"/>
      <c r="M1037" s="287" t="str">
        <f>IF(E1034&gt;60,"Dead Count &gt;60: Consider Downsize","---")</f>
        <v>---</v>
      </c>
      <c r="N1037" s="288"/>
      <c r="O1037" s="288"/>
      <c r="P1037" s="288"/>
      <c r="Q1037" s="288"/>
      <c r="R1037" s="288"/>
      <c r="S1037" s="288"/>
      <c r="T1037" s="288"/>
      <c r="U1037" s="289"/>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7"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8"/>
      <c r="L1038" s="289"/>
      <c r="M1038" s="287" t="str">
        <f>IF(AND(OR(E1032="SS",E1032="RPX",E1032="EUC",E1032="RPX-T"),(OR(C1042="",C1042="Field SPL"))),"Cannot have FlexNap cables without tethers","---")</f>
        <v>---</v>
      </c>
      <c r="N1038" s="288"/>
      <c r="O1038" s="288"/>
      <c r="P1038" s="288"/>
      <c r="Q1038" s="288"/>
      <c r="R1038" s="288"/>
      <c r="S1038" s="288"/>
      <c r="T1038" s="288"/>
      <c r="U1038" s="289"/>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7" t="str">
        <f>IF(AND(OR(E1032="RPX", E1032="RPX-T", E1032="SS"),E1033=216),"NO 216 For RPX, RPX-T, OR SS CABLE","---")</f>
        <v>---</v>
      </c>
      <c r="K1039" s="288"/>
      <c r="L1039" s="289"/>
      <c r="M1039" s="287" t="str" cm="1">
        <f t="array" ref="M1039">IF(AND(E1032="",OR(C1042:C1066="FST",C1042:C1066="REV T",C1042:C1066="DBL REV",C1042:C1066="TPL REV", C1042:C1066="QD REV")),"Non-FlexNap cables cannot have tethers","---")</f>
        <v>---</v>
      </c>
      <c r="N1039" s="288"/>
      <c r="O1039" s="288"/>
      <c r="P1039" s="288"/>
      <c r="Q1039" s="288"/>
      <c r="R1039" s="288"/>
      <c r="S1039" s="288"/>
      <c r="T1039" s="288"/>
      <c r="U1039" s="289"/>
      <c r="V1039" s="25"/>
      <c r="W1039" s="58"/>
      <c r="X1039" s="58"/>
      <c r="Y1039" s="25"/>
      <c r="Z1039" s="45">
        <v>6</v>
      </c>
      <c r="AA1039" s="65">
        <v>61</v>
      </c>
      <c r="AB1039" s="65">
        <v>72</v>
      </c>
      <c r="AC1039" s="25"/>
      <c r="AD1039" s="25"/>
      <c r="BA1039" s="226"/>
    </row>
    <row r="1040" spans="1:53" ht="15.75" customHeight="1" thickBot="1" x14ac:dyDescent="0.3">
      <c r="A1040" s="88"/>
      <c r="B1040" s="322" t="s">
        <v>260</v>
      </c>
      <c r="C1040" s="294" t="s">
        <v>261</v>
      </c>
      <c r="D1040" s="294" t="s">
        <v>262</v>
      </c>
      <c r="E1040" s="307" t="s">
        <v>263</v>
      </c>
      <c r="F1040" s="294" t="s">
        <v>264</v>
      </c>
      <c r="G1040" s="309" t="s">
        <v>265</v>
      </c>
      <c r="H1040" s="309" t="s">
        <v>266</v>
      </c>
      <c r="I1040" s="309" t="s">
        <v>267</v>
      </c>
      <c r="J1040" s="311" t="s">
        <v>268</v>
      </c>
      <c r="K1040" s="294" t="s">
        <v>269</v>
      </c>
      <c r="L1040" s="281" t="s">
        <v>270</v>
      </c>
      <c r="M1040" s="283" t="s">
        <v>271</v>
      </c>
      <c r="N1040" s="283"/>
      <c r="O1040" s="283"/>
      <c r="P1040" s="283"/>
      <c r="Q1040" s="283"/>
      <c r="R1040" s="283"/>
      <c r="S1040" s="283"/>
      <c r="T1040" s="283"/>
      <c r="U1040" s="284"/>
      <c r="V1040" s="107"/>
      <c r="W1040" s="72"/>
      <c r="X1040" s="72"/>
      <c r="Y1040" s="72"/>
      <c r="Z1040" s="45">
        <v>7</v>
      </c>
      <c r="AA1040" s="65">
        <v>73</v>
      </c>
      <c r="AB1040" s="65">
        <v>84</v>
      </c>
      <c r="AC1040" s="25"/>
      <c r="AD1040" s="25"/>
      <c r="BA1040" s="228"/>
    </row>
    <row r="1041" spans="1:53" ht="15.75" thickBot="1" x14ac:dyDescent="0.3">
      <c r="A1041" s="88"/>
      <c r="B1041" s="323"/>
      <c r="C1041" s="295"/>
      <c r="D1041" s="295"/>
      <c r="E1041" s="308"/>
      <c r="F1041" s="295"/>
      <c r="G1041" s="310"/>
      <c r="H1041" s="310"/>
      <c r="I1041" s="310"/>
      <c r="J1041" s="312"/>
      <c r="K1041" s="295"/>
      <c r="L1041" s="282"/>
      <c r="M1041" s="285"/>
      <c r="N1041" s="285"/>
      <c r="O1041" s="285"/>
      <c r="P1041" s="285"/>
      <c r="Q1041" s="285"/>
      <c r="R1041" s="285"/>
      <c r="S1041" s="285"/>
      <c r="T1041" s="285"/>
      <c r="U1041" s="28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9"/>
      <c r="N1042" s="279"/>
      <c r="O1042" s="279"/>
      <c r="P1042" s="279"/>
      <c r="Q1042" s="279"/>
      <c r="R1042" s="279"/>
      <c r="S1042" s="279"/>
      <c r="T1042" s="279"/>
      <c r="U1042" s="280"/>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9"/>
      <c r="N1043" s="279"/>
      <c r="O1043" s="279"/>
      <c r="P1043" s="279"/>
      <c r="Q1043" s="279"/>
      <c r="R1043" s="279"/>
      <c r="S1043" s="279"/>
      <c r="T1043" s="279"/>
      <c r="U1043" s="280"/>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9"/>
      <c r="N1044" s="279"/>
      <c r="O1044" s="279"/>
      <c r="P1044" s="279"/>
      <c r="Q1044" s="279"/>
      <c r="R1044" s="279"/>
      <c r="S1044" s="279"/>
      <c r="T1044" s="279"/>
      <c r="U1044" s="280"/>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9"/>
      <c r="N1045" s="279"/>
      <c r="O1045" s="279"/>
      <c r="P1045" s="279"/>
      <c r="Q1045" s="279"/>
      <c r="R1045" s="279"/>
      <c r="S1045" s="279"/>
      <c r="T1045" s="279"/>
      <c r="U1045" s="280"/>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9"/>
      <c r="N1046" s="279"/>
      <c r="O1046" s="279"/>
      <c r="P1046" s="279"/>
      <c r="Q1046" s="279"/>
      <c r="R1046" s="279"/>
      <c r="S1046" s="279"/>
      <c r="T1046" s="279"/>
      <c r="U1046" s="280"/>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9"/>
      <c r="N1047" s="279"/>
      <c r="O1047" s="279"/>
      <c r="P1047" s="279"/>
      <c r="Q1047" s="279"/>
      <c r="R1047" s="279"/>
      <c r="S1047" s="279"/>
      <c r="T1047" s="279"/>
      <c r="U1047" s="280"/>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9"/>
      <c r="N1048" s="279"/>
      <c r="O1048" s="279"/>
      <c r="P1048" s="279"/>
      <c r="Q1048" s="279"/>
      <c r="R1048" s="279"/>
      <c r="S1048" s="279"/>
      <c r="T1048" s="279"/>
      <c r="U1048" s="280"/>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9"/>
      <c r="N1049" s="279"/>
      <c r="O1049" s="279"/>
      <c r="P1049" s="279"/>
      <c r="Q1049" s="279"/>
      <c r="R1049" s="279"/>
      <c r="S1049" s="279"/>
      <c r="T1049" s="279"/>
      <c r="U1049" s="280"/>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9"/>
      <c r="N1050" s="279"/>
      <c r="O1050" s="279"/>
      <c r="P1050" s="279"/>
      <c r="Q1050" s="279"/>
      <c r="R1050" s="279"/>
      <c r="S1050" s="279"/>
      <c r="T1050" s="279"/>
      <c r="U1050" s="280"/>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9"/>
      <c r="N1051" s="279"/>
      <c r="O1051" s="279"/>
      <c r="P1051" s="279"/>
      <c r="Q1051" s="279"/>
      <c r="R1051" s="279"/>
      <c r="S1051" s="279"/>
      <c r="T1051" s="279"/>
      <c r="U1051" s="280"/>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9"/>
      <c r="N1052" s="279"/>
      <c r="O1052" s="279"/>
      <c r="P1052" s="279"/>
      <c r="Q1052" s="279"/>
      <c r="R1052" s="279"/>
      <c r="S1052" s="279"/>
      <c r="T1052" s="279"/>
      <c r="U1052" s="280"/>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9"/>
      <c r="N1053" s="279"/>
      <c r="O1053" s="279"/>
      <c r="P1053" s="279"/>
      <c r="Q1053" s="279"/>
      <c r="R1053" s="279"/>
      <c r="S1053" s="279"/>
      <c r="T1053" s="279"/>
      <c r="U1053" s="280"/>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9"/>
      <c r="N1054" s="279"/>
      <c r="O1054" s="279"/>
      <c r="P1054" s="279"/>
      <c r="Q1054" s="279"/>
      <c r="R1054" s="279"/>
      <c r="S1054" s="279"/>
      <c r="T1054" s="279"/>
      <c r="U1054" s="280"/>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9"/>
      <c r="N1055" s="279"/>
      <c r="O1055" s="279"/>
      <c r="P1055" s="279"/>
      <c r="Q1055" s="279"/>
      <c r="R1055" s="279"/>
      <c r="S1055" s="279"/>
      <c r="T1055" s="279"/>
      <c r="U1055" s="280"/>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9"/>
      <c r="N1056" s="279"/>
      <c r="O1056" s="279"/>
      <c r="P1056" s="279"/>
      <c r="Q1056" s="279"/>
      <c r="R1056" s="279"/>
      <c r="S1056" s="279"/>
      <c r="T1056" s="279"/>
      <c r="U1056" s="280"/>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9"/>
      <c r="N1057" s="279"/>
      <c r="O1057" s="279"/>
      <c r="P1057" s="279"/>
      <c r="Q1057" s="279"/>
      <c r="R1057" s="279"/>
      <c r="S1057" s="279"/>
      <c r="T1057" s="279"/>
      <c r="U1057" s="280"/>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9"/>
      <c r="N1058" s="279"/>
      <c r="O1058" s="279"/>
      <c r="P1058" s="279"/>
      <c r="Q1058" s="279"/>
      <c r="R1058" s="279"/>
      <c r="S1058" s="279"/>
      <c r="T1058" s="279"/>
      <c r="U1058" s="280"/>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9"/>
      <c r="N1059" s="279"/>
      <c r="O1059" s="279"/>
      <c r="P1059" s="279"/>
      <c r="Q1059" s="279"/>
      <c r="R1059" s="279"/>
      <c r="S1059" s="279"/>
      <c r="T1059" s="279"/>
      <c r="U1059" s="280"/>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9"/>
      <c r="N1060" s="279"/>
      <c r="O1060" s="279"/>
      <c r="P1060" s="279"/>
      <c r="Q1060" s="279"/>
      <c r="R1060" s="279"/>
      <c r="S1060" s="279"/>
      <c r="T1060" s="279"/>
      <c r="U1060" s="280"/>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9"/>
      <c r="N1061" s="279"/>
      <c r="O1061" s="279"/>
      <c r="P1061" s="279"/>
      <c r="Q1061" s="279"/>
      <c r="R1061" s="279"/>
      <c r="S1061" s="279"/>
      <c r="T1061" s="279"/>
      <c r="U1061" s="280"/>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9"/>
      <c r="N1062" s="279"/>
      <c r="O1062" s="279"/>
      <c r="P1062" s="279"/>
      <c r="Q1062" s="279"/>
      <c r="R1062" s="279"/>
      <c r="S1062" s="279"/>
      <c r="T1062" s="279"/>
      <c r="U1062" s="280"/>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9"/>
      <c r="N1063" s="279"/>
      <c r="O1063" s="279"/>
      <c r="P1063" s="279"/>
      <c r="Q1063" s="279"/>
      <c r="R1063" s="279"/>
      <c r="S1063" s="279"/>
      <c r="T1063" s="279"/>
      <c r="U1063" s="280"/>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9"/>
      <c r="N1064" s="279"/>
      <c r="O1064" s="279"/>
      <c r="P1064" s="279"/>
      <c r="Q1064" s="279"/>
      <c r="R1064" s="279"/>
      <c r="S1064" s="279"/>
      <c r="T1064" s="279"/>
      <c r="U1064" s="280"/>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9"/>
      <c r="N1065" s="279"/>
      <c r="O1065" s="279"/>
      <c r="P1065" s="279"/>
      <c r="Q1065" s="279"/>
      <c r="R1065" s="279"/>
      <c r="S1065" s="279"/>
      <c r="T1065" s="279"/>
      <c r="U1065" s="280"/>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9"/>
      <c r="N1066" s="279"/>
      <c r="O1066" s="279"/>
      <c r="P1066" s="279"/>
      <c r="Q1066" s="279"/>
      <c r="R1066" s="279"/>
      <c r="S1066" s="279"/>
      <c r="T1066" s="279"/>
      <c r="U1066" s="280"/>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0" t="s">
        <v>355</v>
      </c>
      <c r="C1067" s="321"/>
      <c r="D1067" s="79"/>
      <c r="E1067" s="80"/>
      <c r="F1067" s="80"/>
      <c r="G1067" s="81"/>
      <c r="H1067" s="192"/>
      <c r="I1067" s="192"/>
      <c r="J1067" s="192"/>
      <c r="K1067" s="82"/>
      <c r="L1067" s="320" t="s">
        <v>306</v>
      </c>
      <c r="M1067" s="331"/>
      <c r="N1067" s="331"/>
      <c r="O1067" s="331"/>
      <c r="P1067" s="331"/>
      <c r="Q1067" s="331"/>
      <c r="R1067" s="331"/>
      <c r="S1067" s="331"/>
      <c r="T1067" s="331"/>
      <c r="U1067" s="321"/>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0" t="s">
        <v>307</v>
      </c>
      <c r="C1068" s="321"/>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3" t="s">
        <v>222</v>
      </c>
      <c r="C1072" s="314"/>
      <c r="D1072" s="315" t="s">
        <v>223</v>
      </c>
      <c r="E1072" s="306"/>
      <c r="F1072" s="88"/>
      <c r="G1072" s="316" t="s">
        <v>224</v>
      </c>
      <c r="H1072" s="317"/>
      <c r="I1072" s="28">
        <f>SUM(E1083:E1107)</f>
        <v>0</v>
      </c>
      <c r="J1072" s="318" t="s">
        <v>225</v>
      </c>
      <c r="K1072" s="319"/>
      <c r="L1072" s="306"/>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6" t="s">
        <v>226</v>
      </c>
      <c r="AA1072" s="297"/>
      <c r="AB1072" s="298"/>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5" t="s">
        <v>230</v>
      </c>
      <c r="H1073" s="306"/>
      <c r="I1073" s="33">
        <f>E1074-I1072</f>
        <v>0</v>
      </c>
      <c r="J1073" s="290" t="s">
        <v>231</v>
      </c>
      <c r="K1073" s="291"/>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9" t="s">
        <v>232</v>
      </c>
      <c r="AA1073" s="301" t="s">
        <v>233</v>
      </c>
      <c r="AB1073" s="302"/>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2" t="s">
        <v>237</v>
      </c>
      <c r="H1074" s="293"/>
      <c r="I1074" s="35">
        <f>IF(E1074=0,0,12-(MOD(I1072,12)))</f>
        <v>0</v>
      </c>
      <c r="J1074" s="290" t="s">
        <v>238</v>
      </c>
      <c r="K1074" s="291"/>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0"/>
      <c r="AA1074" s="303"/>
      <c r="AB1074" s="304"/>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2" t="s">
        <v>242</v>
      </c>
      <c r="H1075" s="43" t="s">
        <v>243</v>
      </c>
      <c r="I1075" s="35">
        <f>IF(E1075&lt;&gt;0,1,0)</f>
        <v>0</v>
      </c>
      <c r="J1075" s="292" t="s">
        <v>244</v>
      </c>
      <c r="K1075" s="293"/>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3"/>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2" t="s">
        <v>251</v>
      </c>
      <c r="H1077" s="51" t="s">
        <v>252</v>
      </c>
      <c r="I1077" s="112">
        <f>E1076</f>
        <v>0</v>
      </c>
      <c r="J1077" s="324" t="s">
        <v>253</v>
      </c>
      <c r="K1077" s="325"/>
      <c r="L1077" s="32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3"/>
      <c r="H1078" s="47" t="s">
        <v>257</v>
      </c>
      <c r="I1078" s="35" t="str">
        <f>IF(E1076="","0",IF(AND(E1073="EUC",E1074=432), I1077+(203-E1075),IF(E1076=0,0,(E1076+(E1074-E1075)-1))))</f>
        <v>0</v>
      </c>
      <c r="J1078" s="287" t="str">
        <f>IFERROR(IF(OR(E1073="EUC",E1073="SS"),"---",IF(OR(P1072,S1072),"NO 2F Tethers for RPX!",IF(OR(P1074,S1074),"NO 6F Tethers for RPX!","---"))),"---")</f>
        <v>---</v>
      </c>
      <c r="K1078" s="288"/>
      <c r="L1078" s="289"/>
      <c r="M1078" s="287" t="str">
        <f>IF(E1075&gt;60,"Dead Count &gt;60: Consider Downsize","---")</f>
        <v>---</v>
      </c>
      <c r="N1078" s="288"/>
      <c r="O1078" s="288"/>
      <c r="P1078" s="288"/>
      <c r="Q1078" s="288"/>
      <c r="R1078" s="288"/>
      <c r="S1078" s="288"/>
      <c r="T1078" s="288"/>
      <c r="U1078" s="289"/>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7"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8"/>
      <c r="L1079" s="289"/>
      <c r="M1079" s="287" t="str">
        <f>IF(AND(OR(E1073="SS",E1073="RPX",E1073="EUC",E1073="RPX-T"),(OR(C1083="",C1083="Field SPL"))),"Cannot have FlexNap cables without tethers","---")</f>
        <v>---</v>
      </c>
      <c r="N1079" s="288"/>
      <c r="O1079" s="288"/>
      <c r="P1079" s="288"/>
      <c r="Q1079" s="288"/>
      <c r="R1079" s="288"/>
      <c r="S1079" s="288"/>
      <c r="T1079" s="288"/>
      <c r="U1079" s="289"/>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7" t="str">
        <f>IF(AND(OR(E1073="RPX", E1073="RPX-T", E1073="SS"),E1074=216),"NO 216 For RPX, RPX-T, OR SS CABLE","---")</f>
        <v>---</v>
      </c>
      <c r="K1080" s="288"/>
      <c r="L1080" s="289"/>
      <c r="M1080" s="287" t="str" cm="1">
        <f t="array" ref="M1080">IF(AND(E1073="",OR(C1083:C1107="FST",C1083:C1107="REV T",C1083:C1107="DBL REV",C1083:C1107="TPL REV", C1083:C1107="QD REV")),"Non-FlexNap cables cannot have tethers","---")</f>
        <v>---</v>
      </c>
      <c r="N1080" s="288"/>
      <c r="O1080" s="288"/>
      <c r="P1080" s="288"/>
      <c r="Q1080" s="288"/>
      <c r="R1080" s="288"/>
      <c r="S1080" s="288"/>
      <c r="T1080" s="288"/>
      <c r="U1080" s="289"/>
      <c r="V1080" s="25"/>
      <c r="W1080" s="58"/>
      <c r="X1080" s="58"/>
      <c r="Y1080" s="25"/>
      <c r="Z1080" s="45">
        <v>6</v>
      </c>
      <c r="AA1080" s="65">
        <v>61</v>
      </c>
      <c r="AB1080" s="65">
        <v>72</v>
      </c>
      <c r="AC1080" s="25"/>
      <c r="AD1080" s="25"/>
      <c r="BA1080" s="226"/>
    </row>
    <row r="1081" spans="1:53" ht="15.75" customHeight="1" thickBot="1" x14ac:dyDescent="0.3">
      <c r="A1081" s="88"/>
      <c r="B1081" s="322" t="s">
        <v>260</v>
      </c>
      <c r="C1081" s="294" t="s">
        <v>261</v>
      </c>
      <c r="D1081" s="294" t="s">
        <v>262</v>
      </c>
      <c r="E1081" s="307" t="s">
        <v>263</v>
      </c>
      <c r="F1081" s="294" t="s">
        <v>264</v>
      </c>
      <c r="G1081" s="309" t="s">
        <v>265</v>
      </c>
      <c r="H1081" s="309" t="s">
        <v>266</v>
      </c>
      <c r="I1081" s="309" t="s">
        <v>267</v>
      </c>
      <c r="J1081" s="311" t="s">
        <v>268</v>
      </c>
      <c r="K1081" s="294" t="s">
        <v>269</v>
      </c>
      <c r="L1081" s="281" t="s">
        <v>270</v>
      </c>
      <c r="M1081" s="283" t="s">
        <v>271</v>
      </c>
      <c r="N1081" s="283"/>
      <c r="O1081" s="283"/>
      <c r="P1081" s="283"/>
      <c r="Q1081" s="283"/>
      <c r="R1081" s="283"/>
      <c r="S1081" s="283"/>
      <c r="T1081" s="283"/>
      <c r="U1081" s="284"/>
      <c r="V1081" s="107"/>
      <c r="W1081" s="72"/>
      <c r="X1081" s="72"/>
      <c r="Y1081" s="72"/>
      <c r="Z1081" s="45">
        <v>7</v>
      </c>
      <c r="AA1081" s="65">
        <v>73</v>
      </c>
      <c r="AB1081" s="65">
        <v>84</v>
      </c>
      <c r="AC1081" s="25"/>
      <c r="AD1081" s="25"/>
      <c r="BA1081" s="228"/>
    </row>
    <row r="1082" spans="1:53" ht="15.75" thickBot="1" x14ac:dyDescent="0.3">
      <c r="A1082" s="88"/>
      <c r="B1082" s="323"/>
      <c r="C1082" s="295"/>
      <c r="D1082" s="295"/>
      <c r="E1082" s="308"/>
      <c r="F1082" s="295"/>
      <c r="G1082" s="310"/>
      <c r="H1082" s="310"/>
      <c r="I1082" s="310"/>
      <c r="J1082" s="312"/>
      <c r="K1082" s="295"/>
      <c r="L1082" s="282"/>
      <c r="M1082" s="285"/>
      <c r="N1082" s="285"/>
      <c r="O1082" s="285"/>
      <c r="P1082" s="285"/>
      <c r="Q1082" s="285"/>
      <c r="R1082" s="285"/>
      <c r="S1082" s="285"/>
      <c r="T1082" s="285"/>
      <c r="U1082" s="28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9"/>
      <c r="N1083" s="279"/>
      <c r="O1083" s="279"/>
      <c r="P1083" s="279"/>
      <c r="Q1083" s="279"/>
      <c r="R1083" s="279"/>
      <c r="S1083" s="279"/>
      <c r="T1083" s="279"/>
      <c r="U1083" s="280"/>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9"/>
      <c r="N1084" s="279"/>
      <c r="O1084" s="279"/>
      <c r="P1084" s="279"/>
      <c r="Q1084" s="279"/>
      <c r="R1084" s="279"/>
      <c r="S1084" s="279"/>
      <c r="T1084" s="279"/>
      <c r="U1084" s="280"/>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9"/>
      <c r="N1085" s="279"/>
      <c r="O1085" s="279"/>
      <c r="P1085" s="279"/>
      <c r="Q1085" s="279"/>
      <c r="R1085" s="279"/>
      <c r="S1085" s="279"/>
      <c r="T1085" s="279"/>
      <c r="U1085" s="280"/>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9"/>
      <c r="N1086" s="279"/>
      <c r="O1086" s="279"/>
      <c r="P1086" s="279"/>
      <c r="Q1086" s="279"/>
      <c r="R1086" s="279"/>
      <c r="S1086" s="279"/>
      <c r="T1086" s="279"/>
      <c r="U1086" s="280"/>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9"/>
      <c r="N1087" s="279"/>
      <c r="O1087" s="279"/>
      <c r="P1087" s="279"/>
      <c r="Q1087" s="279"/>
      <c r="R1087" s="279"/>
      <c r="S1087" s="279"/>
      <c r="T1087" s="279"/>
      <c r="U1087" s="280"/>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9"/>
      <c r="N1088" s="279"/>
      <c r="O1088" s="279"/>
      <c r="P1088" s="279"/>
      <c r="Q1088" s="279"/>
      <c r="R1088" s="279"/>
      <c r="S1088" s="279"/>
      <c r="T1088" s="279"/>
      <c r="U1088" s="280"/>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9"/>
      <c r="N1089" s="279"/>
      <c r="O1089" s="279"/>
      <c r="P1089" s="279"/>
      <c r="Q1089" s="279"/>
      <c r="R1089" s="279"/>
      <c r="S1089" s="279"/>
      <c r="T1089" s="279"/>
      <c r="U1089" s="280"/>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9"/>
      <c r="N1090" s="279"/>
      <c r="O1090" s="279"/>
      <c r="P1090" s="279"/>
      <c r="Q1090" s="279"/>
      <c r="R1090" s="279"/>
      <c r="S1090" s="279"/>
      <c r="T1090" s="279"/>
      <c r="U1090" s="280"/>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9"/>
      <c r="N1091" s="279"/>
      <c r="O1091" s="279"/>
      <c r="P1091" s="279"/>
      <c r="Q1091" s="279"/>
      <c r="R1091" s="279"/>
      <c r="S1091" s="279"/>
      <c r="T1091" s="279"/>
      <c r="U1091" s="280"/>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9"/>
      <c r="N1092" s="279"/>
      <c r="O1092" s="279"/>
      <c r="P1092" s="279"/>
      <c r="Q1092" s="279"/>
      <c r="R1092" s="279"/>
      <c r="S1092" s="279"/>
      <c r="T1092" s="279"/>
      <c r="U1092" s="280"/>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9"/>
      <c r="N1093" s="279"/>
      <c r="O1093" s="279"/>
      <c r="P1093" s="279"/>
      <c r="Q1093" s="279"/>
      <c r="R1093" s="279"/>
      <c r="S1093" s="279"/>
      <c r="T1093" s="279"/>
      <c r="U1093" s="280"/>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9"/>
      <c r="N1094" s="279"/>
      <c r="O1094" s="279"/>
      <c r="P1094" s="279"/>
      <c r="Q1094" s="279"/>
      <c r="R1094" s="279"/>
      <c r="S1094" s="279"/>
      <c r="T1094" s="279"/>
      <c r="U1094" s="280"/>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9"/>
      <c r="N1095" s="279"/>
      <c r="O1095" s="279"/>
      <c r="P1095" s="279"/>
      <c r="Q1095" s="279"/>
      <c r="R1095" s="279"/>
      <c r="S1095" s="279"/>
      <c r="T1095" s="279"/>
      <c r="U1095" s="280"/>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9"/>
      <c r="N1096" s="279"/>
      <c r="O1096" s="279"/>
      <c r="P1096" s="279"/>
      <c r="Q1096" s="279"/>
      <c r="R1096" s="279"/>
      <c r="S1096" s="279"/>
      <c r="T1096" s="279"/>
      <c r="U1096" s="280"/>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9"/>
      <c r="N1097" s="279"/>
      <c r="O1097" s="279"/>
      <c r="P1097" s="279"/>
      <c r="Q1097" s="279"/>
      <c r="R1097" s="279"/>
      <c r="S1097" s="279"/>
      <c r="T1097" s="279"/>
      <c r="U1097" s="280"/>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9"/>
      <c r="N1098" s="279"/>
      <c r="O1098" s="279"/>
      <c r="P1098" s="279"/>
      <c r="Q1098" s="279"/>
      <c r="R1098" s="279"/>
      <c r="S1098" s="279"/>
      <c r="T1098" s="279"/>
      <c r="U1098" s="280"/>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9"/>
      <c r="N1099" s="279"/>
      <c r="O1099" s="279"/>
      <c r="P1099" s="279"/>
      <c r="Q1099" s="279"/>
      <c r="R1099" s="279"/>
      <c r="S1099" s="279"/>
      <c r="T1099" s="279"/>
      <c r="U1099" s="280"/>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9"/>
      <c r="N1100" s="279"/>
      <c r="O1100" s="279"/>
      <c r="P1100" s="279"/>
      <c r="Q1100" s="279"/>
      <c r="R1100" s="279"/>
      <c r="S1100" s="279"/>
      <c r="T1100" s="279"/>
      <c r="U1100" s="280"/>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9"/>
      <c r="N1101" s="279"/>
      <c r="O1101" s="279"/>
      <c r="P1101" s="279"/>
      <c r="Q1101" s="279"/>
      <c r="R1101" s="279"/>
      <c r="S1101" s="279"/>
      <c r="T1101" s="279"/>
      <c r="U1101" s="280"/>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9"/>
      <c r="N1102" s="279"/>
      <c r="O1102" s="279"/>
      <c r="P1102" s="279"/>
      <c r="Q1102" s="279"/>
      <c r="R1102" s="279"/>
      <c r="S1102" s="279"/>
      <c r="T1102" s="279"/>
      <c r="U1102" s="280"/>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9"/>
      <c r="N1103" s="279"/>
      <c r="O1103" s="279"/>
      <c r="P1103" s="279"/>
      <c r="Q1103" s="279"/>
      <c r="R1103" s="279"/>
      <c r="S1103" s="279"/>
      <c r="T1103" s="279"/>
      <c r="U1103" s="280"/>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9"/>
      <c r="N1104" s="279"/>
      <c r="O1104" s="279"/>
      <c r="P1104" s="279"/>
      <c r="Q1104" s="279"/>
      <c r="R1104" s="279"/>
      <c r="S1104" s="279"/>
      <c r="T1104" s="279"/>
      <c r="U1104" s="280"/>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9"/>
      <c r="N1105" s="279"/>
      <c r="O1105" s="279"/>
      <c r="P1105" s="279"/>
      <c r="Q1105" s="279"/>
      <c r="R1105" s="279"/>
      <c r="S1105" s="279"/>
      <c r="T1105" s="279"/>
      <c r="U1105" s="280"/>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9"/>
      <c r="N1106" s="279"/>
      <c r="O1106" s="279"/>
      <c r="P1106" s="279"/>
      <c r="Q1106" s="279"/>
      <c r="R1106" s="279"/>
      <c r="S1106" s="279"/>
      <c r="T1106" s="279"/>
      <c r="U1106" s="280"/>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9"/>
      <c r="N1107" s="279"/>
      <c r="O1107" s="279"/>
      <c r="P1107" s="279"/>
      <c r="Q1107" s="279"/>
      <c r="R1107" s="279"/>
      <c r="S1107" s="279"/>
      <c r="T1107" s="279"/>
      <c r="U1107" s="280"/>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0" t="s">
        <v>357</v>
      </c>
      <c r="C1108" s="321"/>
      <c r="D1108" s="79"/>
      <c r="E1108" s="80"/>
      <c r="F1108" s="80"/>
      <c r="G1108" s="81"/>
      <c r="H1108" s="192"/>
      <c r="I1108" s="192"/>
      <c r="J1108" s="192"/>
      <c r="K1108" s="82"/>
      <c r="L1108" s="320" t="s">
        <v>306</v>
      </c>
      <c r="M1108" s="331"/>
      <c r="N1108" s="331"/>
      <c r="O1108" s="331"/>
      <c r="P1108" s="331"/>
      <c r="Q1108" s="331"/>
      <c r="R1108" s="331"/>
      <c r="S1108" s="331"/>
      <c r="T1108" s="331"/>
      <c r="U1108" s="321"/>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0" t="s">
        <v>307</v>
      </c>
      <c r="C1109" s="321"/>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3" t="s">
        <v>222</v>
      </c>
      <c r="C1113" s="314"/>
      <c r="D1113" s="315" t="s">
        <v>223</v>
      </c>
      <c r="E1113" s="306"/>
      <c r="F1113" s="88"/>
      <c r="G1113" s="316" t="s">
        <v>224</v>
      </c>
      <c r="H1113" s="317"/>
      <c r="I1113" s="28">
        <f>SUM(E1124:E1148)</f>
        <v>0</v>
      </c>
      <c r="J1113" s="318" t="s">
        <v>225</v>
      </c>
      <c r="K1113" s="319"/>
      <c r="L1113" s="306"/>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6" t="s">
        <v>226</v>
      </c>
      <c r="AA1113" s="297"/>
      <c r="AB1113" s="298"/>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5" t="s">
        <v>230</v>
      </c>
      <c r="H1114" s="306"/>
      <c r="I1114" s="33">
        <f>E1115-I1113</f>
        <v>0</v>
      </c>
      <c r="J1114" s="290" t="s">
        <v>231</v>
      </c>
      <c r="K1114" s="291"/>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9" t="s">
        <v>232</v>
      </c>
      <c r="AA1114" s="301" t="s">
        <v>233</v>
      </c>
      <c r="AB1114" s="30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2" t="s">
        <v>237</v>
      </c>
      <c r="H1115" s="293"/>
      <c r="I1115" s="35">
        <f>IF(E1115=0,0,12-(MOD(I1113,12)))</f>
        <v>0</v>
      </c>
      <c r="J1115" s="290" t="s">
        <v>238</v>
      </c>
      <c r="K1115" s="291"/>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0"/>
      <c r="AA1115" s="303"/>
      <c r="AB1115" s="30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2" t="s">
        <v>242</v>
      </c>
      <c r="H1116" s="43" t="s">
        <v>243</v>
      </c>
      <c r="I1116" s="35">
        <f>IF(E1116&lt;&gt;0,1,0)</f>
        <v>0</v>
      </c>
      <c r="J1116" s="292" t="s">
        <v>244</v>
      </c>
      <c r="K1116" s="293"/>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3"/>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2" t="s">
        <v>251</v>
      </c>
      <c r="H1118" s="51" t="s">
        <v>252</v>
      </c>
      <c r="I1118" s="112">
        <f>E1117</f>
        <v>0</v>
      </c>
      <c r="J1118" s="324" t="s">
        <v>253</v>
      </c>
      <c r="K1118" s="325"/>
      <c r="L1118" s="32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3"/>
      <c r="H1119" s="47" t="s">
        <v>257</v>
      </c>
      <c r="I1119" s="35" t="str">
        <f>IF(E1117="","0",IF(AND(E1114="EUC",E1115=432), I1118+(203-E1116),IF(E1117=0,0,(E1117+(E1115-E1116)-1))))</f>
        <v>0</v>
      </c>
      <c r="J1119" s="287" t="str">
        <f>IFERROR(IF(OR(E1114="EUC",E1114="SS"),"---",IF(OR(P1113,S1113),"NO 2F Tethers for RPX!",IF(OR(P1115,S1115),"NO 6F Tethers for RPX!","---"))),"---")</f>
        <v>---</v>
      </c>
      <c r="K1119" s="288"/>
      <c r="L1119" s="289"/>
      <c r="M1119" s="287" t="str">
        <f>IF(E1116&gt;60,"Dead Count &gt;60: Consider Downsize","---")</f>
        <v>---</v>
      </c>
      <c r="N1119" s="288"/>
      <c r="O1119" s="288"/>
      <c r="P1119" s="288"/>
      <c r="Q1119" s="288"/>
      <c r="R1119" s="288"/>
      <c r="S1119" s="288"/>
      <c r="T1119" s="288"/>
      <c r="U1119" s="289"/>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7"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8"/>
      <c r="L1120" s="289"/>
      <c r="M1120" s="287" t="str">
        <f>IF(AND(OR(E1114="SS",E1114="RPX",E1114="EUC",E1114="RPX-T"),(OR(C1124="",C1124="Field SPL"))),"Cannot have FlexNap cables without tethers","---")</f>
        <v>---</v>
      </c>
      <c r="N1120" s="288"/>
      <c r="O1120" s="288"/>
      <c r="P1120" s="288"/>
      <c r="Q1120" s="288"/>
      <c r="R1120" s="288"/>
      <c r="S1120" s="288"/>
      <c r="T1120" s="288"/>
      <c r="U1120" s="289"/>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7" t="str">
        <f>IF(AND(OR(E1114="RPX", E1114="RPX-T", E1114="SS"),E1115=216),"NO 216 For RPX, RPX-T, OR SS CABLE","---")</f>
        <v>---</v>
      </c>
      <c r="K1121" s="288"/>
      <c r="L1121" s="289"/>
      <c r="M1121" s="287" t="str" cm="1">
        <f t="array" ref="M1121">IF(AND(E1114="",OR(C1124:C1148="FST",C1124:C1148="REV T",C1124:C1148="DBL REV",C1124:C1148="TPL REV", C1124:C1148="QD REV")),"Non-FlexNap cables cannot have tethers","---")</f>
        <v>---</v>
      </c>
      <c r="N1121" s="288"/>
      <c r="O1121" s="288"/>
      <c r="P1121" s="288"/>
      <c r="Q1121" s="288"/>
      <c r="R1121" s="288"/>
      <c r="S1121" s="288"/>
      <c r="T1121" s="288"/>
      <c r="U1121" s="289"/>
      <c r="V1121" s="25"/>
      <c r="W1121" s="58"/>
      <c r="X1121" s="58"/>
      <c r="Y1121" s="25"/>
      <c r="Z1121" s="45">
        <v>6</v>
      </c>
      <c r="AA1121" s="65">
        <v>61</v>
      </c>
      <c r="AB1121" s="65">
        <v>72</v>
      </c>
      <c r="AC1121" s="25"/>
      <c r="AD1121" s="25"/>
      <c r="BA1121" s="226"/>
    </row>
    <row r="1122" spans="1:53" ht="15.75" customHeight="1" thickBot="1" x14ac:dyDescent="0.3">
      <c r="A1122" s="88"/>
      <c r="B1122" s="322" t="s">
        <v>260</v>
      </c>
      <c r="C1122" s="294" t="s">
        <v>261</v>
      </c>
      <c r="D1122" s="294" t="s">
        <v>262</v>
      </c>
      <c r="E1122" s="307" t="s">
        <v>263</v>
      </c>
      <c r="F1122" s="294" t="s">
        <v>264</v>
      </c>
      <c r="G1122" s="309" t="s">
        <v>265</v>
      </c>
      <c r="H1122" s="309" t="s">
        <v>266</v>
      </c>
      <c r="I1122" s="309" t="s">
        <v>267</v>
      </c>
      <c r="J1122" s="311" t="s">
        <v>268</v>
      </c>
      <c r="K1122" s="294" t="s">
        <v>269</v>
      </c>
      <c r="L1122" s="281" t="s">
        <v>270</v>
      </c>
      <c r="M1122" s="283" t="s">
        <v>271</v>
      </c>
      <c r="N1122" s="283"/>
      <c r="O1122" s="283"/>
      <c r="P1122" s="283"/>
      <c r="Q1122" s="283"/>
      <c r="R1122" s="283"/>
      <c r="S1122" s="283"/>
      <c r="T1122" s="283"/>
      <c r="U1122" s="284"/>
      <c r="V1122" s="107"/>
      <c r="W1122" s="72"/>
      <c r="X1122" s="72"/>
      <c r="Y1122" s="72"/>
      <c r="Z1122" s="45">
        <v>7</v>
      </c>
      <c r="AA1122" s="65">
        <v>73</v>
      </c>
      <c r="AB1122" s="65">
        <v>84</v>
      </c>
      <c r="AC1122" s="25"/>
      <c r="AD1122" s="25"/>
      <c r="BA1122" s="228"/>
    </row>
    <row r="1123" spans="1:53" ht="15.75" thickBot="1" x14ac:dyDescent="0.3">
      <c r="A1123" s="88"/>
      <c r="B1123" s="323"/>
      <c r="C1123" s="295"/>
      <c r="D1123" s="295"/>
      <c r="E1123" s="308"/>
      <c r="F1123" s="295"/>
      <c r="G1123" s="310"/>
      <c r="H1123" s="310"/>
      <c r="I1123" s="310"/>
      <c r="J1123" s="312"/>
      <c r="K1123" s="295"/>
      <c r="L1123" s="282"/>
      <c r="M1123" s="285"/>
      <c r="N1123" s="285"/>
      <c r="O1123" s="285"/>
      <c r="P1123" s="285"/>
      <c r="Q1123" s="285"/>
      <c r="R1123" s="285"/>
      <c r="S1123" s="285"/>
      <c r="T1123" s="285"/>
      <c r="U1123" s="28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9"/>
      <c r="N1124" s="279"/>
      <c r="O1124" s="279"/>
      <c r="P1124" s="279"/>
      <c r="Q1124" s="279"/>
      <c r="R1124" s="279"/>
      <c r="S1124" s="279"/>
      <c r="T1124" s="279"/>
      <c r="U1124" s="280"/>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9"/>
      <c r="N1125" s="279"/>
      <c r="O1125" s="279"/>
      <c r="P1125" s="279"/>
      <c r="Q1125" s="279"/>
      <c r="R1125" s="279"/>
      <c r="S1125" s="279"/>
      <c r="T1125" s="279"/>
      <c r="U1125" s="280"/>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9"/>
      <c r="N1126" s="279"/>
      <c r="O1126" s="279"/>
      <c r="P1126" s="279"/>
      <c r="Q1126" s="279"/>
      <c r="R1126" s="279"/>
      <c r="S1126" s="279"/>
      <c r="T1126" s="279"/>
      <c r="U1126" s="280"/>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9"/>
      <c r="N1127" s="279"/>
      <c r="O1127" s="279"/>
      <c r="P1127" s="279"/>
      <c r="Q1127" s="279"/>
      <c r="R1127" s="279"/>
      <c r="S1127" s="279"/>
      <c r="T1127" s="279"/>
      <c r="U1127" s="280"/>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9"/>
      <c r="N1128" s="279"/>
      <c r="O1128" s="279"/>
      <c r="P1128" s="279"/>
      <c r="Q1128" s="279"/>
      <c r="R1128" s="279"/>
      <c r="S1128" s="279"/>
      <c r="T1128" s="279"/>
      <c r="U1128" s="280"/>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9"/>
      <c r="N1129" s="279"/>
      <c r="O1129" s="279"/>
      <c r="P1129" s="279"/>
      <c r="Q1129" s="279"/>
      <c r="R1129" s="279"/>
      <c r="S1129" s="279"/>
      <c r="T1129" s="279"/>
      <c r="U1129" s="280"/>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9"/>
      <c r="N1130" s="279"/>
      <c r="O1130" s="279"/>
      <c r="P1130" s="279"/>
      <c r="Q1130" s="279"/>
      <c r="R1130" s="279"/>
      <c r="S1130" s="279"/>
      <c r="T1130" s="279"/>
      <c r="U1130" s="280"/>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9"/>
      <c r="N1131" s="279"/>
      <c r="O1131" s="279"/>
      <c r="P1131" s="279"/>
      <c r="Q1131" s="279"/>
      <c r="R1131" s="279"/>
      <c r="S1131" s="279"/>
      <c r="T1131" s="279"/>
      <c r="U1131" s="280"/>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9"/>
      <c r="N1132" s="279"/>
      <c r="O1132" s="279"/>
      <c r="P1132" s="279"/>
      <c r="Q1132" s="279"/>
      <c r="R1132" s="279"/>
      <c r="S1132" s="279"/>
      <c r="T1132" s="279"/>
      <c r="U1132" s="280"/>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9"/>
      <c r="N1133" s="279"/>
      <c r="O1133" s="279"/>
      <c r="P1133" s="279"/>
      <c r="Q1133" s="279"/>
      <c r="R1133" s="279"/>
      <c r="S1133" s="279"/>
      <c r="T1133" s="279"/>
      <c r="U1133" s="280"/>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9"/>
      <c r="N1134" s="279"/>
      <c r="O1134" s="279"/>
      <c r="P1134" s="279"/>
      <c r="Q1134" s="279"/>
      <c r="R1134" s="279"/>
      <c r="S1134" s="279"/>
      <c r="T1134" s="279"/>
      <c r="U1134" s="280"/>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9"/>
      <c r="N1135" s="279"/>
      <c r="O1135" s="279"/>
      <c r="P1135" s="279"/>
      <c r="Q1135" s="279"/>
      <c r="R1135" s="279"/>
      <c r="S1135" s="279"/>
      <c r="T1135" s="279"/>
      <c r="U1135" s="280"/>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9"/>
      <c r="N1136" s="279"/>
      <c r="O1136" s="279"/>
      <c r="P1136" s="279"/>
      <c r="Q1136" s="279"/>
      <c r="R1136" s="279"/>
      <c r="S1136" s="279"/>
      <c r="T1136" s="279"/>
      <c r="U1136" s="280"/>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9"/>
      <c r="N1137" s="279"/>
      <c r="O1137" s="279"/>
      <c r="P1137" s="279"/>
      <c r="Q1137" s="279"/>
      <c r="R1137" s="279"/>
      <c r="S1137" s="279"/>
      <c r="T1137" s="279"/>
      <c r="U1137" s="280"/>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9"/>
      <c r="N1138" s="279"/>
      <c r="O1138" s="279"/>
      <c r="P1138" s="279"/>
      <c r="Q1138" s="279"/>
      <c r="R1138" s="279"/>
      <c r="S1138" s="279"/>
      <c r="T1138" s="279"/>
      <c r="U1138" s="280"/>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9"/>
      <c r="N1139" s="279"/>
      <c r="O1139" s="279"/>
      <c r="P1139" s="279"/>
      <c r="Q1139" s="279"/>
      <c r="R1139" s="279"/>
      <c r="S1139" s="279"/>
      <c r="T1139" s="279"/>
      <c r="U1139" s="280"/>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9"/>
      <c r="N1140" s="279"/>
      <c r="O1140" s="279"/>
      <c r="P1140" s="279"/>
      <c r="Q1140" s="279"/>
      <c r="R1140" s="279"/>
      <c r="S1140" s="279"/>
      <c r="T1140" s="279"/>
      <c r="U1140" s="280"/>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9"/>
      <c r="N1141" s="279"/>
      <c r="O1141" s="279"/>
      <c r="P1141" s="279"/>
      <c r="Q1141" s="279"/>
      <c r="R1141" s="279"/>
      <c r="S1141" s="279"/>
      <c r="T1141" s="279"/>
      <c r="U1141" s="280"/>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9"/>
      <c r="N1142" s="279"/>
      <c r="O1142" s="279"/>
      <c r="P1142" s="279"/>
      <c r="Q1142" s="279"/>
      <c r="R1142" s="279"/>
      <c r="S1142" s="279"/>
      <c r="T1142" s="279"/>
      <c r="U1142" s="280"/>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9"/>
      <c r="N1143" s="279"/>
      <c r="O1143" s="279"/>
      <c r="P1143" s="279"/>
      <c r="Q1143" s="279"/>
      <c r="R1143" s="279"/>
      <c r="S1143" s="279"/>
      <c r="T1143" s="279"/>
      <c r="U1143" s="280"/>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9"/>
      <c r="N1144" s="279"/>
      <c r="O1144" s="279"/>
      <c r="P1144" s="279"/>
      <c r="Q1144" s="279"/>
      <c r="R1144" s="279"/>
      <c r="S1144" s="279"/>
      <c r="T1144" s="279"/>
      <c r="U1144" s="280"/>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9"/>
      <c r="N1145" s="279"/>
      <c r="O1145" s="279"/>
      <c r="P1145" s="279"/>
      <c r="Q1145" s="279"/>
      <c r="R1145" s="279"/>
      <c r="S1145" s="279"/>
      <c r="T1145" s="279"/>
      <c r="U1145" s="280"/>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9"/>
      <c r="N1146" s="279"/>
      <c r="O1146" s="279"/>
      <c r="P1146" s="279"/>
      <c r="Q1146" s="279"/>
      <c r="R1146" s="279"/>
      <c r="S1146" s="279"/>
      <c r="T1146" s="279"/>
      <c r="U1146" s="280"/>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9"/>
      <c r="N1147" s="279"/>
      <c r="O1147" s="279"/>
      <c r="P1147" s="279"/>
      <c r="Q1147" s="279"/>
      <c r="R1147" s="279"/>
      <c r="S1147" s="279"/>
      <c r="T1147" s="279"/>
      <c r="U1147" s="280"/>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9"/>
      <c r="N1148" s="279"/>
      <c r="O1148" s="279"/>
      <c r="P1148" s="279"/>
      <c r="Q1148" s="279"/>
      <c r="R1148" s="279"/>
      <c r="S1148" s="279"/>
      <c r="T1148" s="279"/>
      <c r="U1148" s="280"/>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0" t="s">
        <v>359</v>
      </c>
      <c r="C1149" s="321"/>
      <c r="D1149" s="79"/>
      <c r="E1149" s="80"/>
      <c r="F1149" s="80"/>
      <c r="G1149" s="81"/>
      <c r="H1149" s="192"/>
      <c r="I1149" s="192"/>
      <c r="J1149" s="192"/>
      <c r="K1149" s="82"/>
      <c r="L1149" s="320" t="s">
        <v>306</v>
      </c>
      <c r="M1149" s="331"/>
      <c r="N1149" s="331"/>
      <c r="O1149" s="331"/>
      <c r="P1149" s="331"/>
      <c r="Q1149" s="331"/>
      <c r="R1149" s="331"/>
      <c r="S1149" s="331"/>
      <c r="T1149" s="331"/>
      <c r="U1149" s="321"/>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0" t="s">
        <v>307</v>
      </c>
      <c r="C1150" s="321"/>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3" t="s">
        <v>222</v>
      </c>
      <c r="C1154" s="314"/>
      <c r="D1154" s="315" t="s">
        <v>223</v>
      </c>
      <c r="E1154" s="306"/>
      <c r="F1154" s="88"/>
      <c r="G1154" s="316" t="s">
        <v>224</v>
      </c>
      <c r="H1154" s="317"/>
      <c r="I1154" s="28">
        <f>SUM(E1165:E1189)</f>
        <v>0</v>
      </c>
      <c r="J1154" s="318" t="s">
        <v>225</v>
      </c>
      <c r="K1154" s="319"/>
      <c r="L1154" s="306"/>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6" t="s">
        <v>226</v>
      </c>
      <c r="AA1154" s="297"/>
      <c r="AB1154" s="298"/>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5" t="s">
        <v>230</v>
      </c>
      <c r="H1155" s="306"/>
      <c r="I1155" s="33">
        <f>E1156-I1154</f>
        <v>0</v>
      </c>
      <c r="J1155" s="290" t="s">
        <v>231</v>
      </c>
      <c r="K1155" s="291"/>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9" t="s">
        <v>232</v>
      </c>
      <c r="AA1155" s="301" t="s">
        <v>233</v>
      </c>
      <c r="AB1155" s="30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2" t="s">
        <v>237</v>
      </c>
      <c r="H1156" s="293"/>
      <c r="I1156" s="35">
        <f>IF(E1156=0,0,12-(MOD(I1154,12)))</f>
        <v>0</v>
      </c>
      <c r="J1156" s="290" t="s">
        <v>238</v>
      </c>
      <c r="K1156" s="291"/>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0"/>
      <c r="AA1156" s="303"/>
      <c r="AB1156" s="30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2" t="s">
        <v>242</v>
      </c>
      <c r="H1157" s="43" t="s">
        <v>243</v>
      </c>
      <c r="I1157" s="35">
        <f>IF(E1157&lt;&gt;0,1,0)</f>
        <v>0</v>
      </c>
      <c r="J1157" s="292" t="s">
        <v>244</v>
      </c>
      <c r="K1157" s="293"/>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3"/>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2" t="s">
        <v>251</v>
      </c>
      <c r="H1159" s="51" t="s">
        <v>252</v>
      </c>
      <c r="I1159" s="112">
        <f>E1158</f>
        <v>0</v>
      </c>
      <c r="J1159" s="324" t="s">
        <v>253</v>
      </c>
      <c r="K1159" s="325"/>
      <c r="L1159" s="32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3"/>
      <c r="H1160" s="47" t="s">
        <v>257</v>
      </c>
      <c r="I1160" s="35" t="str">
        <f>IF(E1158="","0",IF(AND(E1155="EUC",E1156=432), I1159+(203-E1157),IF(E1158=0,0,(E1158+(E1156-E1157)-1))))</f>
        <v>0</v>
      </c>
      <c r="J1160" s="287" t="str">
        <f>IFERROR(IF(OR(E1155="EUC",E1155="SS"),"---",IF(OR(P1154,S1154),"NO 2F Tethers for RPX!",IF(OR(P1156,S1156),"NO 6F Tethers for RPX!","---"))),"---")</f>
        <v>---</v>
      </c>
      <c r="K1160" s="288"/>
      <c r="L1160" s="289"/>
      <c r="M1160" s="287" t="str">
        <f>IF(E1157&gt;60,"Dead Count &gt;60: Consider Downsize","---")</f>
        <v>---</v>
      </c>
      <c r="N1160" s="288"/>
      <c r="O1160" s="288"/>
      <c r="P1160" s="288"/>
      <c r="Q1160" s="288"/>
      <c r="R1160" s="288"/>
      <c r="S1160" s="288"/>
      <c r="T1160" s="288"/>
      <c r="U1160" s="289"/>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7"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8"/>
      <c r="L1161" s="289"/>
      <c r="M1161" s="287" t="str">
        <f>IF(AND(OR(E1155="SS",E1155="RPX",E1155="EUC",E1155="RPX-T"),(OR(C1165="",C1165="Field SPL"))),"Cannot have FlexNap cables without tethers","---")</f>
        <v>---</v>
      </c>
      <c r="N1161" s="288"/>
      <c r="O1161" s="288"/>
      <c r="P1161" s="288"/>
      <c r="Q1161" s="288"/>
      <c r="R1161" s="288"/>
      <c r="S1161" s="288"/>
      <c r="T1161" s="288"/>
      <c r="U1161" s="289"/>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7" t="str">
        <f>IF(AND(OR(E1155="RPX", E1155="RPX-T", E1155="SS"),E1156=216),"NO 216 For RPX, RPX-T, OR SS CABLE","---")</f>
        <v>---</v>
      </c>
      <c r="K1162" s="288"/>
      <c r="L1162" s="289"/>
      <c r="M1162" s="287" t="str" cm="1">
        <f t="array" ref="M1162">IF(AND(E1155="",OR(C1165:C1189="FST",C1165:C1189="REV T",C1165:C1189="DBL REV",C1165:C1189="TPL REV", C1165:C1189="QD REV")),"Non-FlexNap cables cannot have tethers","---")</f>
        <v>---</v>
      </c>
      <c r="N1162" s="288"/>
      <c r="O1162" s="288"/>
      <c r="P1162" s="288"/>
      <c r="Q1162" s="288"/>
      <c r="R1162" s="288"/>
      <c r="S1162" s="288"/>
      <c r="T1162" s="288"/>
      <c r="U1162" s="289"/>
      <c r="V1162" s="25"/>
      <c r="W1162" s="58"/>
      <c r="X1162" s="58"/>
      <c r="Y1162" s="25"/>
      <c r="Z1162" s="45">
        <v>6</v>
      </c>
      <c r="AA1162" s="65">
        <v>61</v>
      </c>
      <c r="AB1162" s="65">
        <v>72</v>
      </c>
      <c r="AC1162" s="25"/>
      <c r="AD1162" s="25"/>
      <c r="BA1162" s="226"/>
    </row>
    <row r="1163" spans="1:53" ht="15.75" customHeight="1" thickBot="1" x14ac:dyDescent="0.3">
      <c r="A1163" s="88"/>
      <c r="B1163" s="322" t="s">
        <v>260</v>
      </c>
      <c r="C1163" s="294" t="s">
        <v>261</v>
      </c>
      <c r="D1163" s="294" t="s">
        <v>262</v>
      </c>
      <c r="E1163" s="307" t="s">
        <v>263</v>
      </c>
      <c r="F1163" s="294" t="s">
        <v>264</v>
      </c>
      <c r="G1163" s="309" t="s">
        <v>265</v>
      </c>
      <c r="H1163" s="309" t="s">
        <v>266</v>
      </c>
      <c r="I1163" s="309" t="s">
        <v>267</v>
      </c>
      <c r="J1163" s="311" t="s">
        <v>268</v>
      </c>
      <c r="K1163" s="294" t="s">
        <v>269</v>
      </c>
      <c r="L1163" s="281" t="s">
        <v>270</v>
      </c>
      <c r="M1163" s="283" t="s">
        <v>271</v>
      </c>
      <c r="N1163" s="283"/>
      <c r="O1163" s="283"/>
      <c r="P1163" s="283"/>
      <c r="Q1163" s="283"/>
      <c r="R1163" s="283"/>
      <c r="S1163" s="283"/>
      <c r="T1163" s="283"/>
      <c r="U1163" s="284"/>
      <c r="V1163" s="107"/>
      <c r="W1163" s="72"/>
      <c r="X1163" s="72"/>
      <c r="Y1163" s="72"/>
      <c r="Z1163" s="45">
        <v>7</v>
      </c>
      <c r="AA1163" s="65">
        <v>73</v>
      </c>
      <c r="AB1163" s="65">
        <v>84</v>
      </c>
      <c r="AC1163" s="25"/>
      <c r="AD1163" s="25"/>
      <c r="BA1163" s="228"/>
    </row>
    <row r="1164" spans="1:53" ht="15.75" thickBot="1" x14ac:dyDescent="0.3">
      <c r="A1164" s="88"/>
      <c r="B1164" s="323"/>
      <c r="C1164" s="295"/>
      <c r="D1164" s="295"/>
      <c r="E1164" s="308"/>
      <c r="F1164" s="295"/>
      <c r="G1164" s="310"/>
      <c r="H1164" s="310"/>
      <c r="I1164" s="310"/>
      <c r="J1164" s="312"/>
      <c r="K1164" s="295"/>
      <c r="L1164" s="282"/>
      <c r="M1164" s="285"/>
      <c r="N1164" s="285"/>
      <c r="O1164" s="285"/>
      <c r="P1164" s="285"/>
      <c r="Q1164" s="285"/>
      <c r="R1164" s="285"/>
      <c r="S1164" s="285"/>
      <c r="T1164" s="285"/>
      <c r="U1164" s="28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9"/>
      <c r="N1165" s="279"/>
      <c r="O1165" s="279"/>
      <c r="P1165" s="279"/>
      <c r="Q1165" s="279"/>
      <c r="R1165" s="279"/>
      <c r="S1165" s="279"/>
      <c r="T1165" s="279"/>
      <c r="U1165" s="280"/>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9"/>
      <c r="N1166" s="279"/>
      <c r="O1166" s="279"/>
      <c r="P1166" s="279"/>
      <c r="Q1166" s="279"/>
      <c r="R1166" s="279"/>
      <c r="S1166" s="279"/>
      <c r="T1166" s="279"/>
      <c r="U1166" s="280"/>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9"/>
      <c r="N1167" s="279"/>
      <c r="O1167" s="279"/>
      <c r="P1167" s="279"/>
      <c r="Q1167" s="279"/>
      <c r="R1167" s="279"/>
      <c r="S1167" s="279"/>
      <c r="T1167" s="279"/>
      <c r="U1167" s="280"/>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9"/>
      <c r="N1168" s="279"/>
      <c r="O1168" s="279"/>
      <c r="P1168" s="279"/>
      <c r="Q1168" s="279"/>
      <c r="R1168" s="279"/>
      <c r="S1168" s="279"/>
      <c r="T1168" s="279"/>
      <c r="U1168" s="280"/>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9"/>
      <c r="N1169" s="279"/>
      <c r="O1169" s="279"/>
      <c r="P1169" s="279"/>
      <c r="Q1169" s="279"/>
      <c r="R1169" s="279"/>
      <c r="S1169" s="279"/>
      <c r="T1169" s="279"/>
      <c r="U1169" s="280"/>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9"/>
      <c r="N1170" s="279"/>
      <c r="O1170" s="279"/>
      <c r="P1170" s="279"/>
      <c r="Q1170" s="279"/>
      <c r="R1170" s="279"/>
      <c r="S1170" s="279"/>
      <c r="T1170" s="279"/>
      <c r="U1170" s="280"/>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9"/>
      <c r="N1171" s="279"/>
      <c r="O1171" s="279"/>
      <c r="P1171" s="279"/>
      <c r="Q1171" s="279"/>
      <c r="R1171" s="279"/>
      <c r="S1171" s="279"/>
      <c r="T1171" s="279"/>
      <c r="U1171" s="280"/>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9"/>
      <c r="N1172" s="279"/>
      <c r="O1172" s="279"/>
      <c r="P1172" s="279"/>
      <c r="Q1172" s="279"/>
      <c r="R1172" s="279"/>
      <c r="S1172" s="279"/>
      <c r="T1172" s="279"/>
      <c r="U1172" s="280"/>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9"/>
      <c r="N1173" s="279"/>
      <c r="O1173" s="279"/>
      <c r="P1173" s="279"/>
      <c r="Q1173" s="279"/>
      <c r="R1173" s="279"/>
      <c r="S1173" s="279"/>
      <c r="T1173" s="279"/>
      <c r="U1173" s="280"/>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9"/>
      <c r="N1174" s="279"/>
      <c r="O1174" s="279"/>
      <c r="P1174" s="279"/>
      <c r="Q1174" s="279"/>
      <c r="R1174" s="279"/>
      <c r="S1174" s="279"/>
      <c r="T1174" s="279"/>
      <c r="U1174" s="280"/>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9"/>
      <c r="N1175" s="279"/>
      <c r="O1175" s="279"/>
      <c r="P1175" s="279"/>
      <c r="Q1175" s="279"/>
      <c r="R1175" s="279"/>
      <c r="S1175" s="279"/>
      <c r="T1175" s="279"/>
      <c r="U1175" s="280"/>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9"/>
      <c r="N1176" s="279"/>
      <c r="O1176" s="279"/>
      <c r="P1176" s="279"/>
      <c r="Q1176" s="279"/>
      <c r="R1176" s="279"/>
      <c r="S1176" s="279"/>
      <c r="T1176" s="279"/>
      <c r="U1176" s="280"/>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9"/>
      <c r="N1177" s="279"/>
      <c r="O1177" s="279"/>
      <c r="P1177" s="279"/>
      <c r="Q1177" s="279"/>
      <c r="R1177" s="279"/>
      <c r="S1177" s="279"/>
      <c r="T1177" s="279"/>
      <c r="U1177" s="280"/>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9"/>
      <c r="N1178" s="279"/>
      <c r="O1178" s="279"/>
      <c r="P1178" s="279"/>
      <c r="Q1178" s="279"/>
      <c r="R1178" s="279"/>
      <c r="S1178" s="279"/>
      <c r="T1178" s="279"/>
      <c r="U1178" s="280"/>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9"/>
      <c r="N1179" s="279"/>
      <c r="O1179" s="279"/>
      <c r="P1179" s="279"/>
      <c r="Q1179" s="279"/>
      <c r="R1179" s="279"/>
      <c r="S1179" s="279"/>
      <c r="T1179" s="279"/>
      <c r="U1179" s="280"/>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9"/>
      <c r="N1180" s="279"/>
      <c r="O1180" s="279"/>
      <c r="P1180" s="279"/>
      <c r="Q1180" s="279"/>
      <c r="R1180" s="279"/>
      <c r="S1180" s="279"/>
      <c r="T1180" s="279"/>
      <c r="U1180" s="280"/>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9"/>
      <c r="N1181" s="279"/>
      <c r="O1181" s="279"/>
      <c r="P1181" s="279"/>
      <c r="Q1181" s="279"/>
      <c r="R1181" s="279"/>
      <c r="S1181" s="279"/>
      <c r="T1181" s="279"/>
      <c r="U1181" s="280"/>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9"/>
      <c r="N1182" s="279"/>
      <c r="O1182" s="279"/>
      <c r="P1182" s="279"/>
      <c r="Q1182" s="279"/>
      <c r="R1182" s="279"/>
      <c r="S1182" s="279"/>
      <c r="T1182" s="279"/>
      <c r="U1182" s="280"/>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9"/>
      <c r="N1183" s="279"/>
      <c r="O1183" s="279"/>
      <c r="P1183" s="279"/>
      <c r="Q1183" s="279"/>
      <c r="R1183" s="279"/>
      <c r="S1183" s="279"/>
      <c r="T1183" s="279"/>
      <c r="U1183" s="280"/>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9"/>
      <c r="N1184" s="279"/>
      <c r="O1184" s="279"/>
      <c r="P1184" s="279"/>
      <c r="Q1184" s="279"/>
      <c r="R1184" s="279"/>
      <c r="S1184" s="279"/>
      <c r="T1184" s="279"/>
      <c r="U1184" s="280"/>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9"/>
      <c r="N1185" s="279"/>
      <c r="O1185" s="279"/>
      <c r="P1185" s="279"/>
      <c r="Q1185" s="279"/>
      <c r="R1185" s="279"/>
      <c r="S1185" s="279"/>
      <c r="T1185" s="279"/>
      <c r="U1185" s="280"/>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9"/>
      <c r="N1186" s="279"/>
      <c r="O1186" s="279"/>
      <c r="P1186" s="279"/>
      <c r="Q1186" s="279"/>
      <c r="R1186" s="279"/>
      <c r="S1186" s="279"/>
      <c r="T1186" s="279"/>
      <c r="U1186" s="280"/>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9"/>
      <c r="N1187" s="279"/>
      <c r="O1187" s="279"/>
      <c r="P1187" s="279"/>
      <c r="Q1187" s="279"/>
      <c r="R1187" s="279"/>
      <c r="S1187" s="279"/>
      <c r="T1187" s="279"/>
      <c r="U1187" s="280"/>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9"/>
      <c r="N1188" s="279"/>
      <c r="O1188" s="279"/>
      <c r="P1188" s="279"/>
      <c r="Q1188" s="279"/>
      <c r="R1188" s="279"/>
      <c r="S1188" s="279"/>
      <c r="T1188" s="279"/>
      <c r="U1188" s="280"/>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9"/>
      <c r="N1189" s="279"/>
      <c r="O1189" s="279"/>
      <c r="P1189" s="279"/>
      <c r="Q1189" s="279"/>
      <c r="R1189" s="279"/>
      <c r="S1189" s="279"/>
      <c r="T1189" s="279"/>
      <c r="U1189" s="280"/>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0" t="s">
        <v>361</v>
      </c>
      <c r="C1190" s="321"/>
      <c r="D1190" s="79"/>
      <c r="E1190" s="80"/>
      <c r="F1190" s="80"/>
      <c r="G1190" s="81"/>
      <c r="H1190" s="192"/>
      <c r="I1190" s="192"/>
      <c r="J1190" s="192"/>
      <c r="K1190" s="82"/>
      <c r="L1190" s="320" t="s">
        <v>306</v>
      </c>
      <c r="M1190" s="331"/>
      <c r="N1190" s="331"/>
      <c r="O1190" s="331"/>
      <c r="P1190" s="331"/>
      <c r="Q1190" s="331"/>
      <c r="R1190" s="331"/>
      <c r="S1190" s="331"/>
      <c r="T1190" s="331"/>
      <c r="U1190" s="321"/>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0" t="s">
        <v>307</v>
      </c>
      <c r="C1191" s="321"/>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3" t="s">
        <v>222</v>
      </c>
      <c r="C1195" s="314"/>
      <c r="D1195" s="315" t="s">
        <v>223</v>
      </c>
      <c r="E1195" s="306"/>
      <c r="F1195" s="88"/>
      <c r="G1195" s="316" t="s">
        <v>224</v>
      </c>
      <c r="H1195" s="317"/>
      <c r="I1195" s="28">
        <f>SUM(E1206:E1230)</f>
        <v>0</v>
      </c>
      <c r="J1195" s="318" t="s">
        <v>225</v>
      </c>
      <c r="K1195" s="319"/>
      <c r="L1195" s="306"/>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6" t="s">
        <v>226</v>
      </c>
      <c r="AA1195" s="297"/>
      <c r="AB1195" s="298"/>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5" t="s">
        <v>230</v>
      </c>
      <c r="H1196" s="306"/>
      <c r="I1196" s="33">
        <f>E1197-I1195</f>
        <v>0</v>
      </c>
      <c r="J1196" s="290" t="s">
        <v>231</v>
      </c>
      <c r="K1196" s="291"/>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9" t="s">
        <v>232</v>
      </c>
      <c r="AA1196" s="301" t="s">
        <v>233</v>
      </c>
      <c r="AB1196" s="30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2" t="s">
        <v>237</v>
      </c>
      <c r="H1197" s="293"/>
      <c r="I1197" s="35">
        <f>IF(E1197=0,0,12-(MOD(I1195,12)))</f>
        <v>0</v>
      </c>
      <c r="J1197" s="290" t="s">
        <v>238</v>
      </c>
      <c r="K1197" s="291"/>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0"/>
      <c r="AA1197" s="303"/>
      <c r="AB1197" s="30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2" t="s">
        <v>242</v>
      </c>
      <c r="H1198" s="43" t="s">
        <v>243</v>
      </c>
      <c r="I1198" s="35">
        <f>IF(E1198&lt;&gt;0,1,0)</f>
        <v>0</v>
      </c>
      <c r="J1198" s="292" t="s">
        <v>244</v>
      </c>
      <c r="K1198" s="29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3"/>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2" t="s">
        <v>251</v>
      </c>
      <c r="H1200" s="51" t="s">
        <v>252</v>
      </c>
      <c r="I1200" s="112">
        <f>E1199</f>
        <v>0</v>
      </c>
      <c r="J1200" s="324" t="s">
        <v>253</v>
      </c>
      <c r="K1200" s="325"/>
      <c r="L1200" s="32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3"/>
      <c r="H1201" s="47" t="s">
        <v>257</v>
      </c>
      <c r="I1201" s="35" t="str">
        <f>IF(E1199="","0",IF(AND(E1196="EUC",E1197=432), I1200+(203-E1198),IF(E1199=0,0,(E1199+(E1197-E1198)-1))))</f>
        <v>0</v>
      </c>
      <c r="J1201" s="287" t="str">
        <f>IFERROR(IF(OR(E1196="EUC",E1196="SS"),"---",IF(OR(P1195,S1195),"NO 2F Tethers for RPX!",IF(OR(P1197,S1197),"NO 6F Tethers for RPX!","---"))),"---")</f>
        <v>---</v>
      </c>
      <c r="K1201" s="288"/>
      <c r="L1201" s="289"/>
      <c r="M1201" s="287" t="str">
        <f>IF(E1198&gt;60,"Dead Count &gt;60: Consider Downsize","---")</f>
        <v>---</v>
      </c>
      <c r="N1201" s="288"/>
      <c r="O1201" s="288"/>
      <c r="P1201" s="288"/>
      <c r="Q1201" s="288"/>
      <c r="R1201" s="288"/>
      <c r="S1201" s="288"/>
      <c r="T1201" s="288"/>
      <c r="U1201" s="289"/>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7"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8"/>
      <c r="L1202" s="289"/>
      <c r="M1202" s="287" t="str">
        <f>IF(AND(OR(E1196="SS",E1196="RPX",E1196="EUC",E1196="RPX-T"),(OR(C1206="",C1206="Field SPL"))),"Cannot have FlexNap cables without tethers","---")</f>
        <v>---</v>
      </c>
      <c r="N1202" s="288"/>
      <c r="O1202" s="288"/>
      <c r="P1202" s="288"/>
      <c r="Q1202" s="288"/>
      <c r="R1202" s="288"/>
      <c r="S1202" s="288"/>
      <c r="T1202" s="288"/>
      <c r="U1202" s="289"/>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7" t="str">
        <f>IF(AND(OR(E1196="RPX", E1196="RPX-T", E1196="SS"),E1197=216),"NO 216 For RPX, RPX-T, OR SS CABLE","---")</f>
        <v>---</v>
      </c>
      <c r="K1203" s="288"/>
      <c r="L1203" s="289"/>
      <c r="M1203" s="287" t="str" cm="1">
        <f t="array" ref="M1203">IF(AND(E1196="",OR(C1206:C1230="FST",C1206:C1230="REV T",C1206:C1230="DBL REV",C1206:C1230="TPL REV", C1206:C1230="QD REV")),"Non-FlexNap cables cannot have tethers","---")</f>
        <v>---</v>
      </c>
      <c r="N1203" s="288"/>
      <c r="O1203" s="288"/>
      <c r="P1203" s="288"/>
      <c r="Q1203" s="288"/>
      <c r="R1203" s="288"/>
      <c r="S1203" s="288"/>
      <c r="T1203" s="288"/>
      <c r="U1203" s="289"/>
      <c r="V1203" s="25"/>
      <c r="W1203" s="58"/>
      <c r="X1203" s="58"/>
      <c r="Y1203" s="25"/>
      <c r="Z1203" s="45">
        <v>6</v>
      </c>
      <c r="AA1203" s="65">
        <v>61</v>
      </c>
      <c r="AB1203" s="65">
        <v>72</v>
      </c>
      <c r="AC1203" s="25"/>
      <c r="AD1203" s="25"/>
      <c r="BA1203" s="226"/>
    </row>
    <row r="1204" spans="1:53" ht="15.75" customHeight="1" thickBot="1" x14ac:dyDescent="0.3">
      <c r="A1204" s="88"/>
      <c r="B1204" s="322" t="s">
        <v>260</v>
      </c>
      <c r="C1204" s="294" t="s">
        <v>261</v>
      </c>
      <c r="D1204" s="294" t="s">
        <v>262</v>
      </c>
      <c r="E1204" s="307" t="s">
        <v>263</v>
      </c>
      <c r="F1204" s="294" t="s">
        <v>264</v>
      </c>
      <c r="G1204" s="309" t="s">
        <v>265</v>
      </c>
      <c r="H1204" s="309" t="s">
        <v>266</v>
      </c>
      <c r="I1204" s="309" t="s">
        <v>267</v>
      </c>
      <c r="J1204" s="311" t="s">
        <v>268</v>
      </c>
      <c r="K1204" s="294" t="s">
        <v>269</v>
      </c>
      <c r="L1204" s="281" t="s">
        <v>270</v>
      </c>
      <c r="M1204" s="283" t="s">
        <v>271</v>
      </c>
      <c r="N1204" s="283"/>
      <c r="O1204" s="283"/>
      <c r="P1204" s="283"/>
      <c r="Q1204" s="283"/>
      <c r="R1204" s="283"/>
      <c r="S1204" s="283"/>
      <c r="T1204" s="283"/>
      <c r="U1204" s="284"/>
      <c r="V1204" s="107"/>
      <c r="W1204" s="72"/>
      <c r="X1204" s="72"/>
      <c r="Y1204" s="72"/>
      <c r="Z1204" s="45">
        <v>7</v>
      </c>
      <c r="AA1204" s="65">
        <v>73</v>
      </c>
      <c r="AB1204" s="65">
        <v>84</v>
      </c>
      <c r="AC1204" s="25"/>
      <c r="AD1204" s="25"/>
      <c r="BA1204" s="228"/>
    </row>
    <row r="1205" spans="1:53" ht="15.75" thickBot="1" x14ac:dyDescent="0.3">
      <c r="A1205" s="88"/>
      <c r="B1205" s="323"/>
      <c r="C1205" s="295"/>
      <c r="D1205" s="295"/>
      <c r="E1205" s="308"/>
      <c r="F1205" s="295"/>
      <c r="G1205" s="310"/>
      <c r="H1205" s="310"/>
      <c r="I1205" s="310"/>
      <c r="J1205" s="312"/>
      <c r="K1205" s="295"/>
      <c r="L1205" s="282"/>
      <c r="M1205" s="285"/>
      <c r="N1205" s="285"/>
      <c r="O1205" s="285"/>
      <c r="P1205" s="285"/>
      <c r="Q1205" s="285"/>
      <c r="R1205" s="285"/>
      <c r="S1205" s="285"/>
      <c r="T1205" s="285"/>
      <c r="U1205" s="28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9"/>
      <c r="N1206" s="279"/>
      <c r="O1206" s="279"/>
      <c r="P1206" s="279"/>
      <c r="Q1206" s="279"/>
      <c r="R1206" s="279"/>
      <c r="S1206" s="279"/>
      <c r="T1206" s="279"/>
      <c r="U1206" s="280"/>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9"/>
      <c r="N1207" s="279"/>
      <c r="O1207" s="279"/>
      <c r="P1207" s="279"/>
      <c r="Q1207" s="279"/>
      <c r="R1207" s="279"/>
      <c r="S1207" s="279"/>
      <c r="T1207" s="279"/>
      <c r="U1207" s="280"/>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9"/>
      <c r="N1208" s="279"/>
      <c r="O1208" s="279"/>
      <c r="P1208" s="279"/>
      <c r="Q1208" s="279"/>
      <c r="R1208" s="279"/>
      <c r="S1208" s="279"/>
      <c r="T1208" s="279"/>
      <c r="U1208" s="280"/>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9"/>
      <c r="N1209" s="279"/>
      <c r="O1209" s="279"/>
      <c r="P1209" s="279"/>
      <c r="Q1209" s="279"/>
      <c r="R1209" s="279"/>
      <c r="S1209" s="279"/>
      <c r="T1209" s="279"/>
      <c r="U1209" s="280"/>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9"/>
      <c r="N1210" s="279"/>
      <c r="O1210" s="279"/>
      <c r="P1210" s="279"/>
      <c r="Q1210" s="279"/>
      <c r="R1210" s="279"/>
      <c r="S1210" s="279"/>
      <c r="T1210" s="279"/>
      <c r="U1210" s="280"/>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9"/>
      <c r="N1211" s="279"/>
      <c r="O1211" s="279"/>
      <c r="P1211" s="279"/>
      <c r="Q1211" s="279"/>
      <c r="R1211" s="279"/>
      <c r="S1211" s="279"/>
      <c r="T1211" s="279"/>
      <c r="U1211" s="280"/>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9"/>
      <c r="N1212" s="279"/>
      <c r="O1212" s="279"/>
      <c r="P1212" s="279"/>
      <c r="Q1212" s="279"/>
      <c r="R1212" s="279"/>
      <c r="S1212" s="279"/>
      <c r="T1212" s="279"/>
      <c r="U1212" s="280"/>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9"/>
      <c r="N1213" s="279"/>
      <c r="O1213" s="279"/>
      <c r="P1213" s="279"/>
      <c r="Q1213" s="279"/>
      <c r="R1213" s="279"/>
      <c r="S1213" s="279"/>
      <c r="T1213" s="279"/>
      <c r="U1213" s="280"/>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9"/>
      <c r="N1214" s="279"/>
      <c r="O1214" s="279"/>
      <c r="P1214" s="279"/>
      <c r="Q1214" s="279"/>
      <c r="R1214" s="279"/>
      <c r="S1214" s="279"/>
      <c r="T1214" s="279"/>
      <c r="U1214" s="280"/>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9"/>
      <c r="N1215" s="279"/>
      <c r="O1215" s="279"/>
      <c r="P1215" s="279"/>
      <c r="Q1215" s="279"/>
      <c r="R1215" s="279"/>
      <c r="S1215" s="279"/>
      <c r="T1215" s="279"/>
      <c r="U1215" s="280"/>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9"/>
      <c r="N1216" s="279"/>
      <c r="O1216" s="279"/>
      <c r="P1216" s="279"/>
      <c r="Q1216" s="279"/>
      <c r="R1216" s="279"/>
      <c r="S1216" s="279"/>
      <c r="T1216" s="279"/>
      <c r="U1216" s="280"/>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9"/>
      <c r="N1217" s="279"/>
      <c r="O1217" s="279"/>
      <c r="P1217" s="279"/>
      <c r="Q1217" s="279"/>
      <c r="R1217" s="279"/>
      <c r="S1217" s="279"/>
      <c r="T1217" s="279"/>
      <c r="U1217" s="280"/>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9"/>
      <c r="N1218" s="279"/>
      <c r="O1218" s="279"/>
      <c r="P1218" s="279"/>
      <c r="Q1218" s="279"/>
      <c r="R1218" s="279"/>
      <c r="S1218" s="279"/>
      <c r="T1218" s="279"/>
      <c r="U1218" s="280"/>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9"/>
      <c r="N1219" s="279"/>
      <c r="O1219" s="279"/>
      <c r="P1219" s="279"/>
      <c r="Q1219" s="279"/>
      <c r="R1219" s="279"/>
      <c r="S1219" s="279"/>
      <c r="T1219" s="279"/>
      <c r="U1219" s="280"/>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9"/>
      <c r="N1220" s="279"/>
      <c r="O1220" s="279"/>
      <c r="P1220" s="279"/>
      <c r="Q1220" s="279"/>
      <c r="R1220" s="279"/>
      <c r="S1220" s="279"/>
      <c r="T1220" s="279"/>
      <c r="U1220" s="280"/>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9"/>
      <c r="N1221" s="279"/>
      <c r="O1221" s="279"/>
      <c r="P1221" s="279"/>
      <c r="Q1221" s="279"/>
      <c r="R1221" s="279"/>
      <c r="S1221" s="279"/>
      <c r="T1221" s="279"/>
      <c r="U1221" s="280"/>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9"/>
      <c r="N1222" s="279"/>
      <c r="O1222" s="279"/>
      <c r="P1222" s="279"/>
      <c r="Q1222" s="279"/>
      <c r="R1222" s="279"/>
      <c r="S1222" s="279"/>
      <c r="T1222" s="279"/>
      <c r="U1222" s="280"/>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9"/>
      <c r="N1223" s="279"/>
      <c r="O1223" s="279"/>
      <c r="P1223" s="279"/>
      <c r="Q1223" s="279"/>
      <c r="R1223" s="279"/>
      <c r="S1223" s="279"/>
      <c r="T1223" s="279"/>
      <c r="U1223" s="280"/>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9"/>
      <c r="N1224" s="279"/>
      <c r="O1224" s="279"/>
      <c r="P1224" s="279"/>
      <c r="Q1224" s="279"/>
      <c r="R1224" s="279"/>
      <c r="S1224" s="279"/>
      <c r="T1224" s="279"/>
      <c r="U1224" s="280"/>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9"/>
      <c r="N1225" s="279"/>
      <c r="O1225" s="279"/>
      <c r="P1225" s="279"/>
      <c r="Q1225" s="279"/>
      <c r="R1225" s="279"/>
      <c r="S1225" s="279"/>
      <c r="T1225" s="279"/>
      <c r="U1225" s="280"/>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9"/>
      <c r="N1226" s="279"/>
      <c r="O1226" s="279"/>
      <c r="P1226" s="279"/>
      <c r="Q1226" s="279"/>
      <c r="R1226" s="279"/>
      <c r="S1226" s="279"/>
      <c r="T1226" s="279"/>
      <c r="U1226" s="280"/>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9"/>
      <c r="N1227" s="279"/>
      <c r="O1227" s="279"/>
      <c r="P1227" s="279"/>
      <c r="Q1227" s="279"/>
      <c r="R1227" s="279"/>
      <c r="S1227" s="279"/>
      <c r="T1227" s="279"/>
      <c r="U1227" s="280"/>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9"/>
      <c r="N1228" s="279"/>
      <c r="O1228" s="279"/>
      <c r="P1228" s="279"/>
      <c r="Q1228" s="279"/>
      <c r="R1228" s="279"/>
      <c r="S1228" s="279"/>
      <c r="T1228" s="279"/>
      <c r="U1228" s="280"/>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9"/>
      <c r="N1229" s="279"/>
      <c r="O1229" s="279"/>
      <c r="P1229" s="279"/>
      <c r="Q1229" s="279"/>
      <c r="R1229" s="279"/>
      <c r="S1229" s="279"/>
      <c r="T1229" s="279"/>
      <c r="U1229" s="280"/>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9"/>
      <c r="N1230" s="279"/>
      <c r="O1230" s="279"/>
      <c r="P1230" s="279"/>
      <c r="Q1230" s="279"/>
      <c r="R1230" s="279"/>
      <c r="S1230" s="279"/>
      <c r="T1230" s="279"/>
      <c r="U1230" s="280"/>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0" t="s">
        <v>363</v>
      </c>
      <c r="C1231" s="321"/>
      <c r="D1231" s="79"/>
      <c r="E1231" s="80"/>
      <c r="F1231" s="80"/>
      <c r="G1231" s="81"/>
      <c r="H1231" s="192"/>
      <c r="I1231" s="192"/>
      <c r="J1231" s="192"/>
      <c r="K1231" s="82"/>
      <c r="L1231" s="320" t="s">
        <v>306</v>
      </c>
      <c r="M1231" s="331"/>
      <c r="N1231" s="331"/>
      <c r="O1231" s="331"/>
      <c r="P1231" s="331"/>
      <c r="Q1231" s="331"/>
      <c r="R1231" s="331"/>
      <c r="S1231" s="331"/>
      <c r="T1231" s="331"/>
      <c r="U1231" s="321"/>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0" t="s">
        <v>307</v>
      </c>
      <c r="C1232" s="321"/>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3" t="s">
        <v>222</v>
      </c>
      <c r="C1236" s="314"/>
      <c r="D1236" s="315" t="s">
        <v>223</v>
      </c>
      <c r="E1236" s="306"/>
      <c r="F1236" s="88"/>
      <c r="G1236" s="316" t="s">
        <v>224</v>
      </c>
      <c r="H1236" s="317"/>
      <c r="I1236" s="28">
        <f>SUM(E1247:E1271)</f>
        <v>0</v>
      </c>
      <c r="J1236" s="318" t="s">
        <v>225</v>
      </c>
      <c r="K1236" s="319"/>
      <c r="L1236" s="306"/>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6" t="s">
        <v>226</v>
      </c>
      <c r="AA1236" s="297"/>
      <c r="AB1236" s="298"/>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5" t="s">
        <v>230</v>
      </c>
      <c r="H1237" s="306"/>
      <c r="I1237" s="33">
        <f>E1238-I1236</f>
        <v>0</v>
      </c>
      <c r="J1237" s="290" t="s">
        <v>231</v>
      </c>
      <c r="K1237" s="291"/>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9" t="s">
        <v>232</v>
      </c>
      <c r="AA1237" s="301" t="s">
        <v>233</v>
      </c>
      <c r="AB1237" s="30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2" t="s">
        <v>237</v>
      </c>
      <c r="H1238" s="293"/>
      <c r="I1238" s="35">
        <f>IF(E1238=0,0,12-(MOD(I1236,12)))</f>
        <v>0</v>
      </c>
      <c r="J1238" s="290" t="s">
        <v>238</v>
      </c>
      <c r="K1238" s="291"/>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0"/>
      <c r="AA1238" s="303"/>
      <c r="AB1238" s="30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2" t="s">
        <v>242</v>
      </c>
      <c r="H1239" s="43" t="s">
        <v>243</v>
      </c>
      <c r="I1239" s="35">
        <f>IF(E1239&lt;&gt;0,1,0)</f>
        <v>0</v>
      </c>
      <c r="J1239" s="292" t="s">
        <v>244</v>
      </c>
      <c r="K1239" s="29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3"/>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2" t="s">
        <v>251</v>
      </c>
      <c r="H1241" s="51" t="s">
        <v>252</v>
      </c>
      <c r="I1241" s="112">
        <f>E1240</f>
        <v>0</v>
      </c>
      <c r="J1241" s="324" t="s">
        <v>253</v>
      </c>
      <c r="K1241" s="325"/>
      <c r="L1241" s="32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3"/>
      <c r="H1242" s="47" t="s">
        <v>257</v>
      </c>
      <c r="I1242" s="35" t="str">
        <f>IF(E1240="","0",IF(AND(E1237="EUC",E1238=432), I1241+(203-E1239),IF(E1240=0,0,(E1240+(E1238-E1239)-1))))</f>
        <v>0</v>
      </c>
      <c r="J1242" s="287" t="str">
        <f>IFERROR(IF(OR(E1237="EUC",E1237="SS"),"---",IF(OR(P1236,S1236),"NO 2F Tethers for RPX!",IF(OR(P1238,S1238),"NO 6F Tethers for RPX!","---"))),"---")</f>
        <v>---</v>
      </c>
      <c r="K1242" s="288"/>
      <c r="L1242" s="289"/>
      <c r="M1242" s="287" t="str">
        <f>IF(E1239&gt;60,"Dead Count &gt;60: Consider Downsize","---")</f>
        <v>---</v>
      </c>
      <c r="N1242" s="288"/>
      <c r="O1242" s="288"/>
      <c r="P1242" s="288"/>
      <c r="Q1242" s="288"/>
      <c r="R1242" s="288"/>
      <c r="S1242" s="288"/>
      <c r="T1242" s="288"/>
      <c r="U1242" s="289"/>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7"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8"/>
      <c r="L1243" s="289"/>
      <c r="M1243" s="287" t="str">
        <f>IF(AND(OR(E1237="SS",E1237="RPX",E1237="EUC",E1237="RPX-T"),(OR(C1247="",C1247="Field SPL"))),"Cannot have FlexNap cables without tethers","---")</f>
        <v>---</v>
      </c>
      <c r="N1243" s="288"/>
      <c r="O1243" s="288"/>
      <c r="P1243" s="288"/>
      <c r="Q1243" s="288"/>
      <c r="R1243" s="288"/>
      <c r="S1243" s="288"/>
      <c r="T1243" s="288"/>
      <c r="U1243" s="289"/>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7" t="str">
        <f>IF(AND(OR(E1237="RPX", E1237="RPX-T", E1237="SS"),E1238=216),"NO 216 For RPX, RPX-T, OR SS CABLE","---")</f>
        <v>---</v>
      </c>
      <c r="K1244" s="288"/>
      <c r="L1244" s="289"/>
      <c r="M1244" s="287" t="str" cm="1">
        <f t="array" ref="M1244">IF(AND(E1237="",OR(C1247:C1271="FST",C1247:C1271="REV T",C1247:C1271="DBL REV",C1247:C1271="TPL REV", C1247:C1271="QD REV")),"Non-FlexNap cables cannot have tethers","---")</f>
        <v>---</v>
      </c>
      <c r="N1244" s="288"/>
      <c r="O1244" s="288"/>
      <c r="P1244" s="288"/>
      <c r="Q1244" s="288"/>
      <c r="R1244" s="288"/>
      <c r="S1244" s="288"/>
      <c r="T1244" s="288"/>
      <c r="U1244" s="289"/>
      <c r="V1244" s="25"/>
      <c r="W1244" s="58"/>
      <c r="X1244" s="58"/>
      <c r="Y1244" s="25"/>
      <c r="Z1244" s="45">
        <v>6</v>
      </c>
      <c r="AA1244" s="65">
        <v>61</v>
      </c>
      <c r="AB1244" s="65">
        <v>72</v>
      </c>
      <c r="AC1244" s="25"/>
      <c r="AD1244" s="25"/>
      <c r="BA1244" s="226"/>
    </row>
    <row r="1245" spans="1:53" ht="15.75" customHeight="1" thickBot="1" x14ac:dyDescent="0.3">
      <c r="A1245" s="88"/>
      <c r="B1245" s="322" t="s">
        <v>260</v>
      </c>
      <c r="C1245" s="294" t="s">
        <v>261</v>
      </c>
      <c r="D1245" s="294" t="s">
        <v>262</v>
      </c>
      <c r="E1245" s="307" t="s">
        <v>263</v>
      </c>
      <c r="F1245" s="294" t="s">
        <v>264</v>
      </c>
      <c r="G1245" s="309" t="s">
        <v>265</v>
      </c>
      <c r="H1245" s="309" t="s">
        <v>266</v>
      </c>
      <c r="I1245" s="309" t="s">
        <v>267</v>
      </c>
      <c r="J1245" s="311" t="s">
        <v>268</v>
      </c>
      <c r="K1245" s="294" t="s">
        <v>269</v>
      </c>
      <c r="L1245" s="281" t="s">
        <v>270</v>
      </c>
      <c r="M1245" s="283" t="s">
        <v>271</v>
      </c>
      <c r="N1245" s="283"/>
      <c r="O1245" s="283"/>
      <c r="P1245" s="283"/>
      <c r="Q1245" s="283"/>
      <c r="R1245" s="283"/>
      <c r="S1245" s="283"/>
      <c r="T1245" s="283"/>
      <c r="U1245" s="284"/>
      <c r="V1245" s="107"/>
      <c r="W1245" s="72"/>
      <c r="X1245" s="72"/>
      <c r="Y1245" s="72"/>
      <c r="Z1245" s="45">
        <v>7</v>
      </c>
      <c r="AA1245" s="65">
        <v>73</v>
      </c>
      <c r="AB1245" s="65">
        <v>84</v>
      </c>
      <c r="AC1245" s="25"/>
      <c r="AD1245" s="25"/>
      <c r="BA1245" s="228"/>
    </row>
    <row r="1246" spans="1:53" ht="15.75" thickBot="1" x14ac:dyDescent="0.3">
      <c r="A1246" s="88"/>
      <c r="B1246" s="323"/>
      <c r="C1246" s="295"/>
      <c r="D1246" s="295"/>
      <c r="E1246" s="308"/>
      <c r="F1246" s="295"/>
      <c r="G1246" s="310"/>
      <c r="H1246" s="310"/>
      <c r="I1246" s="310"/>
      <c r="J1246" s="312"/>
      <c r="K1246" s="295"/>
      <c r="L1246" s="282"/>
      <c r="M1246" s="285"/>
      <c r="N1246" s="285"/>
      <c r="O1246" s="285"/>
      <c r="P1246" s="285"/>
      <c r="Q1246" s="285"/>
      <c r="R1246" s="285"/>
      <c r="S1246" s="285"/>
      <c r="T1246" s="285"/>
      <c r="U1246" s="28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9"/>
      <c r="N1247" s="279"/>
      <c r="O1247" s="279"/>
      <c r="P1247" s="279"/>
      <c r="Q1247" s="279"/>
      <c r="R1247" s="279"/>
      <c r="S1247" s="279"/>
      <c r="T1247" s="279"/>
      <c r="U1247" s="280"/>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9"/>
      <c r="N1248" s="279"/>
      <c r="O1248" s="279"/>
      <c r="P1248" s="279"/>
      <c r="Q1248" s="279"/>
      <c r="R1248" s="279"/>
      <c r="S1248" s="279"/>
      <c r="T1248" s="279"/>
      <c r="U1248" s="280"/>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9"/>
      <c r="N1249" s="279"/>
      <c r="O1249" s="279"/>
      <c r="P1249" s="279"/>
      <c r="Q1249" s="279"/>
      <c r="R1249" s="279"/>
      <c r="S1249" s="279"/>
      <c r="T1249" s="279"/>
      <c r="U1249" s="280"/>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9"/>
      <c r="N1250" s="279"/>
      <c r="O1250" s="279"/>
      <c r="P1250" s="279"/>
      <c r="Q1250" s="279"/>
      <c r="R1250" s="279"/>
      <c r="S1250" s="279"/>
      <c r="T1250" s="279"/>
      <c r="U1250" s="280"/>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9"/>
      <c r="N1251" s="279"/>
      <c r="O1251" s="279"/>
      <c r="P1251" s="279"/>
      <c r="Q1251" s="279"/>
      <c r="R1251" s="279"/>
      <c r="S1251" s="279"/>
      <c r="T1251" s="279"/>
      <c r="U1251" s="280"/>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9"/>
      <c r="N1252" s="279"/>
      <c r="O1252" s="279"/>
      <c r="P1252" s="279"/>
      <c r="Q1252" s="279"/>
      <c r="R1252" s="279"/>
      <c r="S1252" s="279"/>
      <c r="T1252" s="279"/>
      <c r="U1252" s="280"/>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9"/>
      <c r="N1253" s="279"/>
      <c r="O1253" s="279"/>
      <c r="P1253" s="279"/>
      <c r="Q1253" s="279"/>
      <c r="R1253" s="279"/>
      <c r="S1253" s="279"/>
      <c r="T1253" s="279"/>
      <c r="U1253" s="280"/>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9"/>
      <c r="N1254" s="279"/>
      <c r="O1254" s="279"/>
      <c r="P1254" s="279"/>
      <c r="Q1254" s="279"/>
      <c r="R1254" s="279"/>
      <c r="S1254" s="279"/>
      <c r="T1254" s="279"/>
      <c r="U1254" s="280"/>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9"/>
      <c r="N1255" s="279"/>
      <c r="O1255" s="279"/>
      <c r="P1255" s="279"/>
      <c r="Q1255" s="279"/>
      <c r="R1255" s="279"/>
      <c r="S1255" s="279"/>
      <c r="T1255" s="279"/>
      <c r="U1255" s="280"/>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9"/>
      <c r="N1256" s="279"/>
      <c r="O1256" s="279"/>
      <c r="P1256" s="279"/>
      <c r="Q1256" s="279"/>
      <c r="R1256" s="279"/>
      <c r="S1256" s="279"/>
      <c r="T1256" s="279"/>
      <c r="U1256" s="280"/>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9"/>
      <c r="N1257" s="279"/>
      <c r="O1257" s="279"/>
      <c r="P1257" s="279"/>
      <c r="Q1257" s="279"/>
      <c r="R1257" s="279"/>
      <c r="S1257" s="279"/>
      <c r="T1257" s="279"/>
      <c r="U1257" s="280"/>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9"/>
      <c r="N1258" s="279"/>
      <c r="O1258" s="279"/>
      <c r="P1258" s="279"/>
      <c r="Q1258" s="279"/>
      <c r="R1258" s="279"/>
      <c r="S1258" s="279"/>
      <c r="T1258" s="279"/>
      <c r="U1258" s="280"/>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9"/>
      <c r="N1259" s="279"/>
      <c r="O1259" s="279"/>
      <c r="P1259" s="279"/>
      <c r="Q1259" s="279"/>
      <c r="R1259" s="279"/>
      <c r="S1259" s="279"/>
      <c r="T1259" s="279"/>
      <c r="U1259" s="280"/>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9"/>
      <c r="N1260" s="279"/>
      <c r="O1260" s="279"/>
      <c r="P1260" s="279"/>
      <c r="Q1260" s="279"/>
      <c r="R1260" s="279"/>
      <c r="S1260" s="279"/>
      <c r="T1260" s="279"/>
      <c r="U1260" s="280"/>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9"/>
      <c r="N1261" s="279"/>
      <c r="O1261" s="279"/>
      <c r="P1261" s="279"/>
      <c r="Q1261" s="279"/>
      <c r="R1261" s="279"/>
      <c r="S1261" s="279"/>
      <c r="T1261" s="279"/>
      <c r="U1261" s="280"/>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9"/>
      <c r="N1262" s="279"/>
      <c r="O1262" s="279"/>
      <c r="P1262" s="279"/>
      <c r="Q1262" s="279"/>
      <c r="R1262" s="279"/>
      <c r="S1262" s="279"/>
      <c r="T1262" s="279"/>
      <c r="U1262" s="280"/>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9"/>
      <c r="N1263" s="279"/>
      <c r="O1263" s="279"/>
      <c r="P1263" s="279"/>
      <c r="Q1263" s="279"/>
      <c r="R1263" s="279"/>
      <c r="S1263" s="279"/>
      <c r="T1263" s="279"/>
      <c r="U1263" s="280"/>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9"/>
      <c r="N1264" s="279"/>
      <c r="O1264" s="279"/>
      <c r="P1264" s="279"/>
      <c r="Q1264" s="279"/>
      <c r="R1264" s="279"/>
      <c r="S1264" s="279"/>
      <c r="T1264" s="279"/>
      <c r="U1264" s="280"/>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9"/>
      <c r="N1265" s="279"/>
      <c r="O1265" s="279"/>
      <c r="P1265" s="279"/>
      <c r="Q1265" s="279"/>
      <c r="R1265" s="279"/>
      <c r="S1265" s="279"/>
      <c r="T1265" s="279"/>
      <c r="U1265" s="280"/>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9"/>
      <c r="N1266" s="279"/>
      <c r="O1266" s="279"/>
      <c r="P1266" s="279"/>
      <c r="Q1266" s="279"/>
      <c r="R1266" s="279"/>
      <c r="S1266" s="279"/>
      <c r="T1266" s="279"/>
      <c r="U1266" s="280"/>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9"/>
      <c r="N1267" s="279"/>
      <c r="O1267" s="279"/>
      <c r="P1267" s="279"/>
      <c r="Q1267" s="279"/>
      <c r="R1267" s="279"/>
      <c r="S1267" s="279"/>
      <c r="T1267" s="279"/>
      <c r="U1267" s="280"/>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9"/>
      <c r="N1268" s="279"/>
      <c r="O1268" s="279"/>
      <c r="P1268" s="279"/>
      <c r="Q1268" s="279"/>
      <c r="R1268" s="279"/>
      <c r="S1268" s="279"/>
      <c r="T1268" s="279"/>
      <c r="U1268" s="280"/>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9"/>
      <c r="N1269" s="279"/>
      <c r="O1269" s="279"/>
      <c r="P1269" s="279"/>
      <c r="Q1269" s="279"/>
      <c r="R1269" s="279"/>
      <c r="S1269" s="279"/>
      <c r="T1269" s="279"/>
      <c r="U1269" s="280"/>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9"/>
      <c r="N1270" s="279"/>
      <c r="O1270" s="279"/>
      <c r="P1270" s="279"/>
      <c r="Q1270" s="279"/>
      <c r="R1270" s="279"/>
      <c r="S1270" s="279"/>
      <c r="T1270" s="279"/>
      <c r="U1270" s="280"/>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9"/>
      <c r="N1271" s="279"/>
      <c r="O1271" s="279"/>
      <c r="P1271" s="279"/>
      <c r="Q1271" s="279"/>
      <c r="R1271" s="279"/>
      <c r="S1271" s="279"/>
      <c r="T1271" s="279"/>
      <c r="U1271" s="280"/>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0" t="s">
        <v>365</v>
      </c>
      <c r="C1272" s="321"/>
      <c r="D1272" s="79"/>
      <c r="E1272" s="80"/>
      <c r="F1272" s="80"/>
      <c r="G1272" s="81"/>
      <c r="H1272" s="192"/>
      <c r="I1272" s="192"/>
      <c r="J1272" s="192"/>
      <c r="K1272" s="82"/>
      <c r="L1272" s="320" t="s">
        <v>306</v>
      </c>
      <c r="M1272" s="331"/>
      <c r="N1272" s="331"/>
      <c r="O1272" s="331"/>
      <c r="P1272" s="331"/>
      <c r="Q1272" s="331"/>
      <c r="R1272" s="331"/>
      <c r="S1272" s="331"/>
      <c r="T1272" s="331"/>
      <c r="U1272" s="321"/>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0" t="s">
        <v>307</v>
      </c>
      <c r="C1273" s="321"/>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3" t="s">
        <v>222</v>
      </c>
      <c r="C1277" s="314"/>
      <c r="D1277" s="315" t="s">
        <v>223</v>
      </c>
      <c r="E1277" s="306"/>
      <c r="F1277" s="88"/>
      <c r="G1277" s="316" t="s">
        <v>224</v>
      </c>
      <c r="H1277" s="317"/>
      <c r="I1277" s="28">
        <f>SUM(E1288:E1312)</f>
        <v>0</v>
      </c>
      <c r="J1277" s="318" t="s">
        <v>225</v>
      </c>
      <c r="K1277" s="319"/>
      <c r="L1277" s="306"/>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6" t="s">
        <v>226</v>
      </c>
      <c r="AA1277" s="297"/>
      <c r="AB1277" s="298"/>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5" t="s">
        <v>230</v>
      </c>
      <c r="H1278" s="306"/>
      <c r="I1278" s="33">
        <f>E1279-I1277</f>
        <v>0</v>
      </c>
      <c r="J1278" s="290" t="s">
        <v>231</v>
      </c>
      <c r="K1278" s="291"/>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9" t="s">
        <v>232</v>
      </c>
      <c r="AA1278" s="301" t="s">
        <v>233</v>
      </c>
      <c r="AB1278" s="30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2" t="s">
        <v>237</v>
      </c>
      <c r="H1279" s="293"/>
      <c r="I1279" s="35">
        <f>IF(E1279=0,0,12-(MOD(I1277,12)))</f>
        <v>0</v>
      </c>
      <c r="J1279" s="290" t="s">
        <v>238</v>
      </c>
      <c r="K1279" s="291"/>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0"/>
      <c r="AA1279" s="303"/>
      <c r="AB1279" s="30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2" t="s">
        <v>242</v>
      </c>
      <c r="H1280" s="43" t="s">
        <v>243</v>
      </c>
      <c r="I1280" s="35">
        <f>IF(E1280&lt;&gt;0,1,0)</f>
        <v>0</v>
      </c>
      <c r="J1280" s="292" t="s">
        <v>244</v>
      </c>
      <c r="K1280" s="29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3"/>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2" t="s">
        <v>251</v>
      </c>
      <c r="H1282" s="51" t="s">
        <v>252</v>
      </c>
      <c r="I1282" s="112">
        <f>E1281</f>
        <v>0</v>
      </c>
      <c r="J1282" s="324" t="s">
        <v>253</v>
      </c>
      <c r="K1282" s="325"/>
      <c r="L1282" s="32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3"/>
      <c r="H1283" s="47" t="s">
        <v>257</v>
      </c>
      <c r="I1283" s="35" t="str">
        <f>IF(E1281="","0",IF(AND(E1278="EUC",E1279=432), I1282+(203-E1280),IF(E1281=0,0,(E1281+(E1279-E1280)-1))))</f>
        <v>0</v>
      </c>
      <c r="J1283" s="287" t="str">
        <f>IFERROR(IF(OR(E1278="EUC",E1278="SS"),"---",IF(OR(P1277,S1277),"NO 2F Tethers for RPX!",IF(OR(P1279,S1279),"NO 6F Tethers for RPX!","---"))),"---")</f>
        <v>---</v>
      </c>
      <c r="K1283" s="288"/>
      <c r="L1283" s="289"/>
      <c r="M1283" s="287" t="str">
        <f>IF(E1280&gt;60,"Dead Count &gt;60: Consider Downsize","---")</f>
        <v>---</v>
      </c>
      <c r="N1283" s="288"/>
      <c r="O1283" s="288"/>
      <c r="P1283" s="288"/>
      <c r="Q1283" s="288"/>
      <c r="R1283" s="288"/>
      <c r="S1283" s="288"/>
      <c r="T1283" s="288"/>
      <c r="U1283" s="289"/>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7"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8"/>
      <c r="L1284" s="289"/>
      <c r="M1284" s="287" t="str">
        <f>IF(AND(OR(E1278="SS",E1278="RPX",E1278="EUC",E1278="RPX-T"),(OR(C1288="",C1288="Field SPL"))),"Cannot have FlexNap cables without tethers","---")</f>
        <v>---</v>
      </c>
      <c r="N1284" s="288"/>
      <c r="O1284" s="288"/>
      <c r="P1284" s="288"/>
      <c r="Q1284" s="288"/>
      <c r="R1284" s="288"/>
      <c r="S1284" s="288"/>
      <c r="T1284" s="288"/>
      <c r="U1284" s="289"/>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7" t="str">
        <f>IF(AND(OR(E1278="RPX", E1278="RPX-T", E1278="SS"),E1279=216),"NO 216 For RPX, RPX-T, OR SS CABLE","---")</f>
        <v>---</v>
      </c>
      <c r="K1285" s="288"/>
      <c r="L1285" s="289"/>
      <c r="M1285" s="287" t="str" cm="1">
        <f t="array" ref="M1285">IF(AND(E1278="",OR(C1288:C1312="FST",C1288:C1312="REV T",C1288:C1312="DBL REV",C1288:C1312="TPL REV", C1288:C1312="QD REV")),"Non-FlexNap cables cannot have tethers","---")</f>
        <v>---</v>
      </c>
      <c r="N1285" s="288"/>
      <c r="O1285" s="288"/>
      <c r="P1285" s="288"/>
      <c r="Q1285" s="288"/>
      <c r="R1285" s="288"/>
      <c r="S1285" s="288"/>
      <c r="T1285" s="288"/>
      <c r="U1285" s="289"/>
      <c r="V1285" s="25"/>
      <c r="W1285" s="58"/>
      <c r="X1285" s="58"/>
      <c r="Y1285" s="25"/>
      <c r="Z1285" s="45">
        <v>6</v>
      </c>
      <c r="AA1285" s="65">
        <v>61</v>
      </c>
      <c r="AB1285" s="65">
        <v>72</v>
      </c>
      <c r="AC1285" s="25"/>
      <c r="AD1285" s="25"/>
      <c r="BA1285" s="226"/>
    </row>
    <row r="1286" spans="1:53" ht="15.75" customHeight="1" thickBot="1" x14ac:dyDescent="0.3">
      <c r="A1286" s="88"/>
      <c r="B1286" s="322" t="s">
        <v>260</v>
      </c>
      <c r="C1286" s="294" t="s">
        <v>261</v>
      </c>
      <c r="D1286" s="294" t="s">
        <v>262</v>
      </c>
      <c r="E1286" s="307" t="s">
        <v>263</v>
      </c>
      <c r="F1286" s="294" t="s">
        <v>264</v>
      </c>
      <c r="G1286" s="309" t="s">
        <v>265</v>
      </c>
      <c r="H1286" s="309" t="s">
        <v>266</v>
      </c>
      <c r="I1286" s="309" t="s">
        <v>267</v>
      </c>
      <c r="J1286" s="311" t="s">
        <v>268</v>
      </c>
      <c r="K1286" s="294" t="s">
        <v>269</v>
      </c>
      <c r="L1286" s="281" t="s">
        <v>270</v>
      </c>
      <c r="M1286" s="283" t="s">
        <v>271</v>
      </c>
      <c r="N1286" s="283"/>
      <c r="O1286" s="283"/>
      <c r="P1286" s="283"/>
      <c r="Q1286" s="283"/>
      <c r="R1286" s="283"/>
      <c r="S1286" s="283"/>
      <c r="T1286" s="283"/>
      <c r="U1286" s="284"/>
      <c r="V1286" s="107"/>
      <c r="W1286" s="72"/>
      <c r="X1286" s="72"/>
      <c r="Y1286" s="72"/>
      <c r="Z1286" s="45">
        <v>7</v>
      </c>
      <c r="AA1286" s="65">
        <v>73</v>
      </c>
      <c r="AB1286" s="65">
        <v>84</v>
      </c>
      <c r="AC1286" s="25"/>
      <c r="AD1286" s="25"/>
      <c r="BA1286" s="228"/>
    </row>
    <row r="1287" spans="1:53" ht="15.75" thickBot="1" x14ac:dyDescent="0.3">
      <c r="A1287" s="88"/>
      <c r="B1287" s="323"/>
      <c r="C1287" s="295"/>
      <c r="D1287" s="295"/>
      <c r="E1287" s="308"/>
      <c r="F1287" s="295"/>
      <c r="G1287" s="310"/>
      <c r="H1287" s="310"/>
      <c r="I1287" s="310"/>
      <c r="J1287" s="312"/>
      <c r="K1287" s="295"/>
      <c r="L1287" s="282"/>
      <c r="M1287" s="285"/>
      <c r="N1287" s="285"/>
      <c r="O1287" s="285"/>
      <c r="P1287" s="285"/>
      <c r="Q1287" s="285"/>
      <c r="R1287" s="285"/>
      <c r="S1287" s="285"/>
      <c r="T1287" s="285"/>
      <c r="U1287" s="28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9"/>
      <c r="N1288" s="279"/>
      <c r="O1288" s="279"/>
      <c r="P1288" s="279"/>
      <c r="Q1288" s="279"/>
      <c r="R1288" s="279"/>
      <c r="S1288" s="279"/>
      <c r="T1288" s="279"/>
      <c r="U1288" s="280"/>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9"/>
      <c r="N1289" s="279"/>
      <c r="O1289" s="279"/>
      <c r="P1289" s="279"/>
      <c r="Q1289" s="279"/>
      <c r="R1289" s="279"/>
      <c r="S1289" s="279"/>
      <c r="T1289" s="279"/>
      <c r="U1289" s="280"/>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9"/>
      <c r="N1290" s="279"/>
      <c r="O1290" s="279"/>
      <c r="P1290" s="279"/>
      <c r="Q1290" s="279"/>
      <c r="R1290" s="279"/>
      <c r="S1290" s="279"/>
      <c r="T1290" s="279"/>
      <c r="U1290" s="280"/>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9"/>
      <c r="N1291" s="279"/>
      <c r="O1291" s="279"/>
      <c r="P1291" s="279"/>
      <c r="Q1291" s="279"/>
      <c r="R1291" s="279"/>
      <c r="S1291" s="279"/>
      <c r="T1291" s="279"/>
      <c r="U1291" s="280"/>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9"/>
      <c r="N1292" s="279"/>
      <c r="O1292" s="279"/>
      <c r="P1292" s="279"/>
      <c r="Q1292" s="279"/>
      <c r="R1292" s="279"/>
      <c r="S1292" s="279"/>
      <c r="T1292" s="279"/>
      <c r="U1292" s="280"/>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9"/>
      <c r="N1293" s="279"/>
      <c r="O1293" s="279"/>
      <c r="P1293" s="279"/>
      <c r="Q1293" s="279"/>
      <c r="R1293" s="279"/>
      <c r="S1293" s="279"/>
      <c r="T1293" s="279"/>
      <c r="U1293" s="280"/>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9"/>
      <c r="N1294" s="279"/>
      <c r="O1294" s="279"/>
      <c r="P1294" s="279"/>
      <c r="Q1294" s="279"/>
      <c r="R1294" s="279"/>
      <c r="S1294" s="279"/>
      <c r="T1294" s="279"/>
      <c r="U1294" s="280"/>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9"/>
      <c r="N1295" s="279"/>
      <c r="O1295" s="279"/>
      <c r="P1295" s="279"/>
      <c r="Q1295" s="279"/>
      <c r="R1295" s="279"/>
      <c r="S1295" s="279"/>
      <c r="T1295" s="279"/>
      <c r="U1295" s="280"/>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9"/>
      <c r="N1296" s="279"/>
      <c r="O1296" s="279"/>
      <c r="P1296" s="279"/>
      <c r="Q1296" s="279"/>
      <c r="R1296" s="279"/>
      <c r="S1296" s="279"/>
      <c r="T1296" s="279"/>
      <c r="U1296" s="280"/>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9"/>
      <c r="N1297" s="279"/>
      <c r="O1297" s="279"/>
      <c r="P1297" s="279"/>
      <c r="Q1297" s="279"/>
      <c r="R1297" s="279"/>
      <c r="S1297" s="279"/>
      <c r="T1297" s="279"/>
      <c r="U1297" s="280"/>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9"/>
      <c r="N1298" s="279"/>
      <c r="O1298" s="279"/>
      <c r="P1298" s="279"/>
      <c r="Q1298" s="279"/>
      <c r="R1298" s="279"/>
      <c r="S1298" s="279"/>
      <c r="T1298" s="279"/>
      <c r="U1298" s="280"/>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9"/>
      <c r="N1299" s="279"/>
      <c r="O1299" s="279"/>
      <c r="P1299" s="279"/>
      <c r="Q1299" s="279"/>
      <c r="R1299" s="279"/>
      <c r="S1299" s="279"/>
      <c r="T1299" s="279"/>
      <c r="U1299" s="280"/>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9"/>
      <c r="N1300" s="279"/>
      <c r="O1300" s="279"/>
      <c r="P1300" s="279"/>
      <c r="Q1300" s="279"/>
      <c r="R1300" s="279"/>
      <c r="S1300" s="279"/>
      <c r="T1300" s="279"/>
      <c r="U1300" s="280"/>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9"/>
      <c r="N1301" s="279"/>
      <c r="O1301" s="279"/>
      <c r="P1301" s="279"/>
      <c r="Q1301" s="279"/>
      <c r="R1301" s="279"/>
      <c r="S1301" s="279"/>
      <c r="T1301" s="279"/>
      <c r="U1301" s="280"/>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9"/>
      <c r="N1302" s="279"/>
      <c r="O1302" s="279"/>
      <c r="P1302" s="279"/>
      <c r="Q1302" s="279"/>
      <c r="R1302" s="279"/>
      <c r="S1302" s="279"/>
      <c r="T1302" s="279"/>
      <c r="U1302" s="280"/>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9"/>
      <c r="N1303" s="279"/>
      <c r="O1303" s="279"/>
      <c r="P1303" s="279"/>
      <c r="Q1303" s="279"/>
      <c r="R1303" s="279"/>
      <c r="S1303" s="279"/>
      <c r="T1303" s="279"/>
      <c r="U1303" s="280"/>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9"/>
      <c r="N1304" s="279"/>
      <c r="O1304" s="279"/>
      <c r="P1304" s="279"/>
      <c r="Q1304" s="279"/>
      <c r="R1304" s="279"/>
      <c r="S1304" s="279"/>
      <c r="T1304" s="279"/>
      <c r="U1304" s="280"/>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9"/>
      <c r="N1305" s="279"/>
      <c r="O1305" s="279"/>
      <c r="P1305" s="279"/>
      <c r="Q1305" s="279"/>
      <c r="R1305" s="279"/>
      <c r="S1305" s="279"/>
      <c r="T1305" s="279"/>
      <c r="U1305" s="280"/>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9"/>
      <c r="N1306" s="279"/>
      <c r="O1306" s="279"/>
      <c r="P1306" s="279"/>
      <c r="Q1306" s="279"/>
      <c r="R1306" s="279"/>
      <c r="S1306" s="279"/>
      <c r="T1306" s="279"/>
      <c r="U1306" s="280"/>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9"/>
      <c r="N1307" s="279"/>
      <c r="O1307" s="279"/>
      <c r="P1307" s="279"/>
      <c r="Q1307" s="279"/>
      <c r="R1307" s="279"/>
      <c r="S1307" s="279"/>
      <c r="T1307" s="279"/>
      <c r="U1307" s="280"/>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9"/>
      <c r="N1308" s="279"/>
      <c r="O1308" s="279"/>
      <c r="P1308" s="279"/>
      <c r="Q1308" s="279"/>
      <c r="R1308" s="279"/>
      <c r="S1308" s="279"/>
      <c r="T1308" s="279"/>
      <c r="U1308" s="280"/>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9"/>
      <c r="N1309" s="279"/>
      <c r="O1309" s="279"/>
      <c r="P1309" s="279"/>
      <c r="Q1309" s="279"/>
      <c r="R1309" s="279"/>
      <c r="S1309" s="279"/>
      <c r="T1309" s="279"/>
      <c r="U1309" s="280"/>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9"/>
      <c r="N1310" s="279"/>
      <c r="O1310" s="279"/>
      <c r="P1310" s="279"/>
      <c r="Q1310" s="279"/>
      <c r="R1310" s="279"/>
      <c r="S1310" s="279"/>
      <c r="T1310" s="279"/>
      <c r="U1310" s="280"/>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9"/>
      <c r="N1311" s="279"/>
      <c r="O1311" s="279"/>
      <c r="P1311" s="279"/>
      <c r="Q1311" s="279"/>
      <c r="R1311" s="279"/>
      <c r="S1311" s="279"/>
      <c r="T1311" s="279"/>
      <c r="U1311" s="280"/>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9"/>
      <c r="N1312" s="279"/>
      <c r="O1312" s="279"/>
      <c r="P1312" s="279"/>
      <c r="Q1312" s="279"/>
      <c r="R1312" s="279"/>
      <c r="S1312" s="279"/>
      <c r="T1312" s="279"/>
      <c r="U1312" s="280"/>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0" t="s">
        <v>367</v>
      </c>
      <c r="C1313" s="321"/>
      <c r="D1313" s="79"/>
      <c r="E1313" s="80"/>
      <c r="F1313" s="80"/>
      <c r="G1313" s="81"/>
      <c r="H1313" s="192"/>
      <c r="I1313" s="192"/>
      <c r="J1313" s="192"/>
      <c r="K1313" s="82"/>
      <c r="L1313" s="320" t="s">
        <v>306</v>
      </c>
      <c r="M1313" s="331"/>
      <c r="N1313" s="331"/>
      <c r="O1313" s="331"/>
      <c r="P1313" s="331"/>
      <c r="Q1313" s="331"/>
      <c r="R1313" s="331"/>
      <c r="S1313" s="331"/>
      <c r="T1313" s="331"/>
      <c r="U1313" s="321"/>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0" t="s">
        <v>307</v>
      </c>
      <c r="C1314" s="321"/>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3" t="s">
        <v>222</v>
      </c>
      <c r="C1318" s="314"/>
      <c r="D1318" s="315" t="s">
        <v>223</v>
      </c>
      <c r="E1318" s="306"/>
      <c r="F1318" s="88"/>
      <c r="G1318" s="316" t="s">
        <v>224</v>
      </c>
      <c r="H1318" s="317"/>
      <c r="I1318" s="28">
        <f>SUM(E1329:E1353)</f>
        <v>0</v>
      </c>
      <c r="J1318" s="318" t="s">
        <v>225</v>
      </c>
      <c r="K1318" s="319"/>
      <c r="L1318" s="306"/>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6" t="s">
        <v>226</v>
      </c>
      <c r="AA1318" s="297"/>
      <c r="AB1318" s="298"/>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5" t="s">
        <v>230</v>
      </c>
      <c r="H1319" s="306"/>
      <c r="I1319" s="33">
        <f>E1320-I1318</f>
        <v>0</v>
      </c>
      <c r="J1319" s="290" t="s">
        <v>231</v>
      </c>
      <c r="K1319" s="291"/>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9" t="s">
        <v>232</v>
      </c>
      <c r="AA1319" s="301" t="s">
        <v>233</v>
      </c>
      <c r="AB1319" s="30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2" t="s">
        <v>237</v>
      </c>
      <c r="H1320" s="293"/>
      <c r="I1320" s="35">
        <f>IF(E1320=0,0,12-(MOD(I1318,12)))</f>
        <v>0</v>
      </c>
      <c r="J1320" s="290" t="s">
        <v>238</v>
      </c>
      <c r="K1320" s="291"/>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0"/>
      <c r="AA1320" s="303"/>
      <c r="AB1320" s="30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2" t="s">
        <v>242</v>
      </c>
      <c r="H1321" s="43" t="s">
        <v>243</v>
      </c>
      <c r="I1321" s="35">
        <f>IF(E1321&lt;&gt;0,1,0)</f>
        <v>0</v>
      </c>
      <c r="J1321" s="292" t="s">
        <v>244</v>
      </c>
      <c r="K1321" s="29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3"/>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2" t="s">
        <v>251</v>
      </c>
      <c r="H1323" s="51" t="s">
        <v>252</v>
      </c>
      <c r="I1323" s="112">
        <f>E1322</f>
        <v>0</v>
      </c>
      <c r="J1323" s="324" t="s">
        <v>253</v>
      </c>
      <c r="K1323" s="325"/>
      <c r="L1323" s="32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3"/>
      <c r="H1324" s="47" t="s">
        <v>257</v>
      </c>
      <c r="I1324" s="35" t="str">
        <f>IF(E1322="","0",IF(AND(E1319="EUC",E1320=432), I1323+(203-E1321),IF(E1322=0,0,(E1322+(E1320-E1321)-1))))</f>
        <v>0</v>
      </c>
      <c r="J1324" s="287" t="str">
        <f>IFERROR(IF(OR(E1319="EUC",E1319="SS"),"---",IF(OR(P1318,S1318),"NO 2F Tethers for RPX!",IF(OR(P1320,S1320),"NO 6F Tethers for RPX!","---"))),"---")</f>
        <v>---</v>
      </c>
      <c r="K1324" s="288"/>
      <c r="L1324" s="289"/>
      <c r="M1324" s="287" t="str">
        <f>IF(E1321&gt;60,"Dead Count &gt;60: Consider Downsize","---")</f>
        <v>---</v>
      </c>
      <c r="N1324" s="288"/>
      <c r="O1324" s="288"/>
      <c r="P1324" s="288"/>
      <c r="Q1324" s="288"/>
      <c r="R1324" s="288"/>
      <c r="S1324" s="288"/>
      <c r="T1324" s="288"/>
      <c r="U1324" s="289"/>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7"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8"/>
      <c r="L1325" s="289"/>
      <c r="M1325" s="287" t="str">
        <f>IF(AND(OR(E1319="SS",E1319="RPX",E1319="EUC",E1319="RPX-T"),(OR(C1329="",C1329="Field SPL"))),"Cannot have FlexNap cables without tethers","---")</f>
        <v>---</v>
      </c>
      <c r="N1325" s="288"/>
      <c r="O1325" s="288"/>
      <c r="P1325" s="288"/>
      <c r="Q1325" s="288"/>
      <c r="R1325" s="288"/>
      <c r="S1325" s="288"/>
      <c r="T1325" s="288"/>
      <c r="U1325" s="289"/>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7" t="str">
        <f>IF(AND(OR(E1319="RPX", E1319="RPX-T", E1319="SS"),E1320=216),"NO 216 For RPX, RPX-T, OR SS CABLE","---")</f>
        <v>---</v>
      </c>
      <c r="K1326" s="288"/>
      <c r="L1326" s="289"/>
      <c r="M1326" s="287" t="str" cm="1">
        <f t="array" ref="M1326">IF(AND(E1319="",OR(C1329:C1353="FST",C1329:C1353="REV T",C1329:C1353="DBL REV",C1329:C1353="TPL REV", C1329:C1353="QD REV")),"Non-FlexNap cables cannot have tethers","---")</f>
        <v>---</v>
      </c>
      <c r="N1326" s="288"/>
      <c r="O1326" s="288"/>
      <c r="P1326" s="288"/>
      <c r="Q1326" s="288"/>
      <c r="R1326" s="288"/>
      <c r="S1326" s="288"/>
      <c r="T1326" s="288"/>
      <c r="U1326" s="289"/>
      <c r="V1326" s="25"/>
      <c r="W1326" s="58"/>
      <c r="X1326" s="58"/>
      <c r="Y1326" s="25"/>
      <c r="Z1326" s="45">
        <v>6</v>
      </c>
      <c r="AA1326" s="65">
        <v>61</v>
      </c>
      <c r="AB1326" s="65">
        <v>72</v>
      </c>
      <c r="AC1326" s="25"/>
      <c r="AD1326" s="25"/>
      <c r="BA1326" s="226"/>
    </row>
    <row r="1327" spans="1:53" ht="15.75" customHeight="1" thickBot="1" x14ac:dyDescent="0.3">
      <c r="A1327" s="88"/>
      <c r="B1327" s="322" t="s">
        <v>260</v>
      </c>
      <c r="C1327" s="294" t="s">
        <v>261</v>
      </c>
      <c r="D1327" s="294" t="s">
        <v>262</v>
      </c>
      <c r="E1327" s="307" t="s">
        <v>263</v>
      </c>
      <c r="F1327" s="294" t="s">
        <v>264</v>
      </c>
      <c r="G1327" s="309" t="s">
        <v>265</v>
      </c>
      <c r="H1327" s="309" t="s">
        <v>266</v>
      </c>
      <c r="I1327" s="309" t="s">
        <v>267</v>
      </c>
      <c r="J1327" s="311" t="s">
        <v>268</v>
      </c>
      <c r="K1327" s="294" t="s">
        <v>269</v>
      </c>
      <c r="L1327" s="281" t="s">
        <v>270</v>
      </c>
      <c r="M1327" s="283" t="s">
        <v>271</v>
      </c>
      <c r="N1327" s="283"/>
      <c r="O1327" s="283"/>
      <c r="P1327" s="283"/>
      <c r="Q1327" s="283"/>
      <c r="R1327" s="283"/>
      <c r="S1327" s="283"/>
      <c r="T1327" s="283"/>
      <c r="U1327" s="284"/>
      <c r="V1327" s="107"/>
      <c r="W1327" s="72"/>
      <c r="X1327" s="72"/>
      <c r="Y1327" s="72"/>
      <c r="Z1327" s="45">
        <v>7</v>
      </c>
      <c r="AA1327" s="65">
        <v>73</v>
      </c>
      <c r="AB1327" s="65">
        <v>84</v>
      </c>
      <c r="AC1327" s="25"/>
      <c r="AD1327" s="25"/>
      <c r="BA1327" s="228"/>
    </row>
    <row r="1328" spans="1:53" ht="15.75" thickBot="1" x14ac:dyDescent="0.3">
      <c r="A1328" s="88"/>
      <c r="B1328" s="323"/>
      <c r="C1328" s="295"/>
      <c r="D1328" s="295"/>
      <c r="E1328" s="308"/>
      <c r="F1328" s="295"/>
      <c r="G1328" s="310"/>
      <c r="H1328" s="310"/>
      <c r="I1328" s="310"/>
      <c r="J1328" s="312"/>
      <c r="K1328" s="295"/>
      <c r="L1328" s="282"/>
      <c r="M1328" s="285"/>
      <c r="N1328" s="285"/>
      <c r="O1328" s="285"/>
      <c r="P1328" s="285"/>
      <c r="Q1328" s="285"/>
      <c r="R1328" s="285"/>
      <c r="S1328" s="285"/>
      <c r="T1328" s="285"/>
      <c r="U1328" s="28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9"/>
      <c r="N1329" s="279"/>
      <c r="O1329" s="279"/>
      <c r="P1329" s="279"/>
      <c r="Q1329" s="279"/>
      <c r="R1329" s="279"/>
      <c r="S1329" s="279"/>
      <c r="T1329" s="279"/>
      <c r="U1329" s="280"/>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9"/>
      <c r="N1330" s="279"/>
      <c r="O1330" s="279"/>
      <c r="P1330" s="279"/>
      <c r="Q1330" s="279"/>
      <c r="R1330" s="279"/>
      <c r="S1330" s="279"/>
      <c r="T1330" s="279"/>
      <c r="U1330" s="280"/>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9"/>
      <c r="N1331" s="279"/>
      <c r="O1331" s="279"/>
      <c r="P1331" s="279"/>
      <c r="Q1331" s="279"/>
      <c r="R1331" s="279"/>
      <c r="S1331" s="279"/>
      <c r="T1331" s="279"/>
      <c r="U1331" s="280"/>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9"/>
      <c r="N1332" s="279"/>
      <c r="O1332" s="279"/>
      <c r="P1332" s="279"/>
      <c r="Q1332" s="279"/>
      <c r="R1332" s="279"/>
      <c r="S1332" s="279"/>
      <c r="T1332" s="279"/>
      <c r="U1332" s="280"/>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9"/>
      <c r="N1333" s="279"/>
      <c r="O1333" s="279"/>
      <c r="P1333" s="279"/>
      <c r="Q1333" s="279"/>
      <c r="R1333" s="279"/>
      <c r="S1333" s="279"/>
      <c r="T1333" s="279"/>
      <c r="U1333" s="280"/>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9"/>
      <c r="N1334" s="279"/>
      <c r="O1334" s="279"/>
      <c r="P1334" s="279"/>
      <c r="Q1334" s="279"/>
      <c r="R1334" s="279"/>
      <c r="S1334" s="279"/>
      <c r="T1334" s="279"/>
      <c r="U1334" s="280"/>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9"/>
      <c r="N1335" s="279"/>
      <c r="O1335" s="279"/>
      <c r="P1335" s="279"/>
      <c r="Q1335" s="279"/>
      <c r="R1335" s="279"/>
      <c r="S1335" s="279"/>
      <c r="T1335" s="279"/>
      <c r="U1335" s="280"/>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9"/>
      <c r="N1336" s="279"/>
      <c r="O1336" s="279"/>
      <c r="P1336" s="279"/>
      <c r="Q1336" s="279"/>
      <c r="R1336" s="279"/>
      <c r="S1336" s="279"/>
      <c r="T1336" s="279"/>
      <c r="U1336" s="280"/>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9"/>
      <c r="N1337" s="279"/>
      <c r="O1337" s="279"/>
      <c r="P1337" s="279"/>
      <c r="Q1337" s="279"/>
      <c r="R1337" s="279"/>
      <c r="S1337" s="279"/>
      <c r="T1337" s="279"/>
      <c r="U1337" s="280"/>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9"/>
      <c r="N1338" s="279"/>
      <c r="O1338" s="279"/>
      <c r="P1338" s="279"/>
      <c r="Q1338" s="279"/>
      <c r="R1338" s="279"/>
      <c r="S1338" s="279"/>
      <c r="T1338" s="279"/>
      <c r="U1338" s="280"/>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9"/>
      <c r="N1339" s="279"/>
      <c r="O1339" s="279"/>
      <c r="P1339" s="279"/>
      <c r="Q1339" s="279"/>
      <c r="R1339" s="279"/>
      <c r="S1339" s="279"/>
      <c r="T1339" s="279"/>
      <c r="U1339" s="280"/>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9"/>
      <c r="N1340" s="279"/>
      <c r="O1340" s="279"/>
      <c r="P1340" s="279"/>
      <c r="Q1340" s="279"/>
      <c r="R1340" s="279"/>
      <c r="S1340" s="279"/>
      <c r="T1340" s="279"/>
      <c r="U1340" s="280"/>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9"/>
      <c r="N1341" s="279"/>
      <c r="O1341" s="279"/>
      <c r="P1341" s="279"/>
      <c r="Q1341" s="279"/>
      <c r="R1341" s="279"/>
      <c r="S1341" s="279"/>
      <c r="T1341" s="279"/>
      <c r="U1341" s="280"/>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9"/>
      <c r="N1342" s="279"/>
      <c r="O1342" s="279"/>
      <c r="P1342" s="279"/>
      <c r="Q1342" s="279"/>
      <c r="R1342" s="279"/>
      <c r="S1342" s="279"/>
      <c r="T1342" s="279"/>
      <c r="U1342" s="280"/>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9"/>
      <c r="N1343" s="279"/>
      <c r="O1343" s="279"/>
      <c r="P1343" s="279"/>
      <c r="Q1343" s="279"/>
      <c r="R1343" s="279"/>
      <c r="S1343" s="279"/>
      <c r="T1343" s="279"/>
      <c r="U1343" s="280"/>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9"/>
      <c r="N1344" s="279"/>
      <c r="O1344" s="279"/>
      <c r="P1344" s="279"/>
      <c r="Q1344" s="279"/>
      <c r="R1344" s="279"/>
      <c r="S1344" s="279"/>
      <c r="T1344" s="279"/>
      <c r="U1344" s="280"/>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9"/>
      <c r="N1345" s="279"/>
      <c r="O1345" s="279"/>
      <c r="P1345" s="279"/>
      <c r="Q1345" s="279"/>
      <c r="R1345" s="279"/>
      <c r="S1345" s="279"/>
      <c r="T1345" s="279"/>
      <c r="U1345" s="280"/>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9"/>
      <c r="N1346" s="279"/>
      <c r="O1346" s="279"/>
      <c r="P1346" s="279"/>
      <c r="Q1346" s="279"/>
      <c r="R1346" s="279"/>
      <c r="S1346" s="279"/>
      <c r="T1346" s="279"/>
      <c r="U1346" s="280"/>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9"/>
      <c r="N1347" s="279"/>
      <c r="O1347" s="279"/>
      <c r="P1347" s="279"/>
      <c r="Q1347" s="279"/>
      <c r="R1347" s="279"/>
      <c r="S1347" s="279"/>
      <c r="T1347" s="279"/>
      <c r="U1347" s="280"/>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9"/>
      <c r="N1348" s="279"/>
      <c r="O1348" s="279"/>
      <c r="P1348" s="279"/>
      <c r="Q1348" s="279"/>
      <c r="R1348" s="279"/>
      <c r="S1348" s="279"/>
      <c r="T1348" s="279"/>
      <c r="U1348" s="280"/>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9"/>
      <c r="N1349" s="279"/>
      <c r="O1349" s="279"/>
      <c r="P1349" s="279"/>
      <c r="Q1349" s="279"/>
      <c r="R1349" s="279"/>
      <c r="S1349" s="279"/>
      <c r="T1349" s="279"/>
      <c r="U1349" s="280"/>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9"/>
      <c r="N1350" s="279"/>
      <c r="O1350" s="279"/>
      <c r="P1350" s="279"/>
      <c r="Q1350" s="279"/>
      <c r="R1350" s="279"/>
      <c r="S1350" s="279"/>
      <c r="T1350" s="279"/>
      <c r="U1350" s="280"/>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9"/>
      <c r="N1351" s="279"/>
      <c r="O1351" s="279"/>
      <c r="P1351" s="279"/>
      <c r="Q1351" s="279"/>
      <c r="R1351" s="279"/>
      <c r="S1351" s="279"/>
      <c r="T1351" s="279"/>
      <c r="U1351" s="280"/>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9"/>
      <c r="N1352" s="279"/>
      <c r="O1352" s="279"/>
      <c r="P1352" s="279"/>
      <c r="Q1352" s="279"/>
      <c r="R1352" s="279"/>
      <c r="S1352" s="279"/>
      <c r="T1352" s="279"/>
      <c r="U1352" s="280"/>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9"/>
      <c r="N1353" s="279"/>
      <c r="O1353" s="279"/>
      <c r="P1353" s="279"/>
      <c r="Q1353" s="279"/>
      <c r="R1353" s="279"/>
      <c r="S1353" s="279"/>
      <c r="T1353" s="279"/>
      <c r="U1353" s="280"/>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0" t="s">
        <v>369</v>
      </c>
      <c r="C1354" s="321"/>
      <c r="D1354" s="79"/>
      <c r="E1354" s="80"/>
      <c r="F1354" s="80"/>
      <c r="G1354" s="81"/>
      <c r="H1354" s="192"/>
      <c r="I1354" s="192"/>
      <c r="J1354" s="192"/>
      <c r="K1354" s="82"/>
      <c r="L1354" s="320" t="s">
        <v>306</v>
      </c>
      <c r="M1354" s="331"/>
      <c r="N1354" s="331"/>
      <c r="O1354" s="331"/>
      <c r="P1354" s="331"/>
      <c r="Q1354" s="331"/>
      <c r="R1354" s="331"/>
      <c r="S1354" s="331"/>
      <c r="T1354" s="331"/>
      <c r="U1354" s="321"/>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0" t="s">
        <v>307</v>
      </c>
      <c r="C1355" s="321"/>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3" t="s">
        <v>222</v>
      </c>
      <c r="C1359" s="314"/>
      <c r="D1359" s="315" t="s">
        <v>223</v>
      </c>
      <c r="E1359" s="306"/>
      <c r="F1359" s="88"/>
      <c r="G1359" s="316" t="s">
        <v>224</v>
      </c>
      <c r="H1359" s="317"/>
      <c r="I1359" s="28">
        <f>SUM(E1370:E1394)</f>
        <v>0</v>
      </c>
      <c r="J1359" s="318" t="s">
        <v>225</v>
      </c>
      <c r="K1359" s="319"/>
      <c r="L1359" s="306"/>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6" t="s">
        <v>226</v>
      </c>
      <c r="AA1359" s="297"/>
      <c r="AB1359" s="298"/>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5" t="s">
        <v>230</v>
      </c>
      <c r="H1360" s="306"/>
      <c r="I1360" s="33">
        <f>E1361-I1359</f>
        <v>0</v>
      </c>
      <c r="J1360" s="290" t="s">
        <v>231</v>
      </c>
      <c r="K1360" s="291"/>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9" t="s">
        <v>232</v>
      </c>
      <c r="AA1360" s="301" t="s">
        <v>233</v>
      </c>
      <c r="AB1360" s="30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2" t="s">
        <v>237</v>
      </c>
      <c r="H1361" s="293"/>
      <c r="I1361" s="35">
        <f>IF(E1361=0,0,12-(MOD(I1359,12)))</f>
        <v>0</v>
      </c>
      <c r="J1361" s="290" t="s">
        <v>238</v>
      </c>
      <c r="K1361" s="291"/>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0"/>
      <c r="AA1361" s="303"/>
      <c r="AB1361" s="30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2" t="s">
        <v>242</v>
      </c>
      <c r="H1362" s="43" t="s">
        <v>243</v>
      </c>
      <c r="I1362" s="35">
        <f>IF(E1362&lt;&gt;0,1,0)</f>
        <v>0</v>
      </c>
      <c r="J1362" s="292" t="s">
        <v>244</v>
      </c>
      <c r="K1362" s="29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3"/>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2" t="s">
        <v>251</v>
      </c>
      <c r="H1364" s="51" t="s">
        <v>252</v>
      </c>
      <c r="I1364" s="112">
        <f>E1363</f>
        <v>0</v>
      </c>
      <c r="J1364" s="324" t="s">
        <v>253</v>
      </c>
      <c r="K1364" s="325"/>
      <c r="L1364" s="32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3"/>
      <c r="H1365" s="47" t="s">
        <v>257</v>
      </c>
      <c r="I1365" s="35" t="str">
        <f>IF(E1363="","0",IF(AND(E1360="EUC",E1361=432), I1364+(203-E1362),IF(E1363=0,0,(E1363+(E1361-E1362)-1))))</f>
        <v>0</v>
      </c>
      <c r="J1365" s="287" t="str">
        <f>IFERROR(IF(OR(E1360="EUC",E1360="SS"),"---",IF(OR(P1359,S1359),"NO 2F Tethers for RPX!",IF(OR(P1361,S1361),"NO 6F Tethers for RPX!","---"))),"---")</f>
        <v>---</v>
      </c>
      <c r="K1365" s="288"/>
      <c r="L1365" s="289"/>
      <c r="M1365" s="287" t="str">
        <f>IF(E1362&gt;60,"Dead Count &gt;60: Consider Downsize","---")</f>
        <v>---</v>
      </c>
      <c r="N1365" s="288"/>
      <c r="O1365" s="288"/>
      <c r="P1365" s="288"/>
      <c r="Q1365" s="288"/>
      <c r="R1365" s="288"/>
      <c r="S1365" s="288"/>
      <c r="T1365" s="288"/>
      <c r="U1365" s="289"/>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7"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8"/>
      <c r="L1366" s="289"/>
      <c r="M1366" s="287" t="str">
        <f>IF(AND(OR(E1360="SS",E1360="RPX",E1360="EUC",E1360="RPX-T"),(OR(C1370="",C1370="Field SPL"))),"Cannot have FlexNap cables without tethers","---")</f>
        <v>---</v>
      </c>
      <c r="N1366" s="288"/>
      <c r="O1366" s="288"/>
      <c r="P1366" s="288"/>
      <c r="Q1366" s="288"/>
      <c r="R1366" s="288"/>
      <c r="S1366" s="288"/>
      <c r="T1366" s="288"/>
      <c r="U1366" s="289"/>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7" t="str">
        <f>IF(AND(OR(E1360="RPX", E1360="RPX-T", E1360="SS"),E1361=216),"NO 216 For RPX, RPX-T, OR SS CABLE","---")</f>
        <v>---</v>
      </c>
      <c r="K1367" s="288"/>
      <c r="L1367" s="289"/>
      <c r="M1367" s="287" t="str" cm="1">
        <f t="array" ref="M1367">IF(AND(E1360="",OR(C1370:C1394="FST",C1370:C1394="REV T",C1370:C1394="DBL REV",C1370:C1394="TPL REV", C1370:C1394="QD REV")),"Non-FlexNap cables cannot have tethers","---")</f>
        <v>---</v>
      </c>
      <c r="N1367" s="288"/>
      <c r="O1367" s="288"/>
      <c r="P1367" s="288"/>
      <c r="Q1367" s="288"/>
      <c r="R1367" s="288"/>
      <c r="S1367" s="288"/>
      <c r="T1367" s="288"/>
      <c r="U1367" s="289"/>
      <c r="V1367" s="25"/>
      <c r="W1367" s="58"/>
      <c r="X1367" s="58"/>
      <c r="Y1367" s="25"/>
      <c r="Z1367" s="45">
        <v>6</v>
      </c>
      <c r="AA1367" s="65">
        <v>61</v>
      </c>
      <c r="AB1367" s="65">
        <v>72</v>
      </c>
      <c r="AC1367" s="25"/>
      <c r="AD1367" s="25"/>
      <c r="BA1367" s="226"/>
    </row>
    <row r="1368" spans="1:53" ht="15.75" customHeight="1" thickBot="1" x14ac:dyDescent="0.3">
      <c r="A1368" s="88"/>
      <c r="B1368" s="322" t="s">
        <v>260</v>
      </c>
      <c r="C1368" s="294" t="s">
        <v>261</v>
      </c>
      <c r="D1368" s="294" t="s">
        <v>262</v>
      </c>
      <c r="E1368" s="307" t="s">
        <v>263</v>
      </c>
      <c r="F1368" s="294" t="s">
        <v>264</v>
      </c>
      <c r="G1368" s="309" t="s">
        <v>265</v>
      </c>
      <c r="H1368" s="309" t="s">
        <v>266</v>
      </c>
      <c r="I1368" s="309" t="s">
        <v>267</v>
      </c>
      <c r="J1368" s="311" t="s">
        <v>268</v>
      </c>
      <c r="K1368" s="294" t="s">
        <v>269</v>
      </c>
      <c r="L1368" s="281" t="s">
        <v>270</v>
      </c>
      <c r="M1368" s="283" t="s">
        <v>271</v>
      </c>
      <c r="N1368" s="283"/>
      <c r="O1368" s="283"/>
      <c r="P1368" s="283"/>
      <c r="Q1368" s="283"/>
      <c r="R1368" s="283"/>
      <c r="S1368" s="283"/>
      <c r="T1368" s="283"/>
      <c r="U1368" s="284"/>
      <c r="V1368" s="107"/>
      <c r="W1368" s="72"/>
      <c r="X1368" s="72"/>
      <c r="Y1368" s="72"/>
      <c r="Z1368" s="45">
        <v>7</v>
      </c>
      <c r="AA1368" s="65">
        <v>73</v>
      </c>
      <c r="AB1368" s="65">
        <v>84</v>
      </c>
      <c r="AC1368" s="25"/>
      <c r="AD1368" s="25"/>
      <c r="BA1368" s="228"/>
    </row>
    <row r="1369" spans="1:53" ht="15.75" thickBot="1" x14ac:dyDescent="0.3">
      <c r="A1369" s="88"/>
      <c r="B1369" s="323"/>
      <c r="C1369" s="295"/>
      <c r="D1369" s="295"/>
      <c r="E1369" s="308"/>
      <c r="F1369" s="295"/>
      <c r="G1369" s="310"/>
      <c r="H1369" s="310"/>
      <c r="I1369" s="310"/>
      <c r="J1369" s="312"/>
      <c r="K1369" s="295"/>
      <c r="L1369" s="282"/>
      <c r="M1369" s="285"/>
      <c r="N1369" s="285"/>
      <c r="O1369" s="285"/>
      <c r="P1369" s="285"/>
      <c r="Q1369" s="285"/>
      <c r="R1369" s="285"/>
      <c r="S1369" s="285"/>
      <c r="T1369" s="285"/>
      <c r="U1369" s="28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9"/>
      <c r="N1370" s="279"/>
      <c r="O1370" s="279"/>
      <c r="P1370" s="279"/>
      <c r="Q1370" s="279"/>
      <c r="R1370" s="279"/>
      <c r="S1370" s="279"/>
      <c r="T1370" s="279"/>
      <c r="U1370" s="280"/>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9"/>
      <c r="N1371" s="279"/>
      <c r="O1371" s="279"/>
      <c r="P1371" s="279"/>
      <c r="Q1371" s="279"/>
      <c r="R1371" s="279"/>
      <c r="S1371" s="279"/>
      <c r="T1371" s="279"/>
      <c r="U1371" s="280"/>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9"/>
      <c r="N1372" s="279"/>
      <c r="O1372" s="279"/>
      <c r="P1372" s="279"/>
      <c r="Q1372" s="279"/>
      <c r="R1372" s="279"/>
      <c r="S1372" s="279"/>
      <c r="T1372" s="279"/>
      <c r="U1372" s="280"/>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9"/>
      <c r="N1373" s="279"/>
      <c r="O1373" s="279"/>
      <c r="P1373" s="279"/>
      <c r="Q1373" s="279"/>
      <c r="R1373" s="279"/>
      <c r="S1373" s="279"/>
      <c r="T1373" s="279"/>
      <c r="U1373" s="280"/>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9"/>
      <c r="N1374" s="279"/>
      <c r="O1374" s="279"/>
      <c r="P1374" s="279"/>
      <c r="Q1374" s="279"/>
      <c r="R1374" s="279"/>
      <c r="S1374" s="279"/>
      <c r="T1374" s="279"/>
      <c r="U1374" s="280"/>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9"/>
      <c r="N1375" s="279"/>
      <c r="O1375" s="279"/>
      <c r="P1375" s="279"/>
      <c r="Q1375" s="279"/>
      <c r="R1375" s="279"/>
      <c r="S1375" s="279"/>
      <c r="T1375" s="279"/>
      <c r="U1375" s="280"/>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9"/>
      <c r="N1376" s="279"/>
      <c r="O1376" s="279"/>
      <c r="P1376" s="279"/>
      <c r="Q1376" s="279"/>
      <c r="R1376" s="279"/>
      <c r="S1376" s="279"/>
      <c r="T1376" s="279"/>
      <c r="U1376" s="280"/>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9"/>
      <c r="N1377" s="279"/>
      <c r="O1377" s="279"/>
      <c r="P1377" s="279"/>
      <c r="Q1377" s="279"/>
      <c r="R1377" s="279"/>
      <c r="S1377" s="279"/>
      <c r="T1377" s="279"/>
      <c r="U1377" s="280"/>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9"/>
      <c r="N1378" s="279"/>
      <c r="O1378" s="279"/>
      <c r="P1378" s="279"/>
      <c r="Q1378" s="279"/>
      <c r="R1378" s="279"/>
      <c r="S1378" s="279"/>
      <c r="T1378" s="279"/>
      <c r="U1378" s="280"/>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9"/>
      <c r="N1379" s="279"/>
      <c r="O1379" s="279"/>
      <c r="P1379" s="279"/>
      <c r="Q1379" s="279"/>
      <c r="R1379" s="279"/>
      <c r="S1379" s="279"/>
      <c r="T1379" s="279"/>
      <c r="U1379" s="280"/>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9"/>
      <c r="N1380" s="279"/>
      <c r="O1380" s="279"/>
      <c r="P1380" s="279"/>
      <c r="Q1380" s="279"/>
      <c r="R1380" s="279"/>
      <c r="S1380" s="279"/>
      <c r="T1380" s="279"/>
      <c r="U1380" s="280"/>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9"/>
      <c r="N1381" s="279"/>
      <c r="O1381" s="279"/>
      <c r="P1381" s="279"/>
      <c r="Q1381" s="279"/>
      <c r="R1381" s="279"/>
      <c r="S1381" s="279"/>
      <c r="T1381" s="279"/>
      <c r="U1381" s="280"/>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9"/>
      <c r="N1382" s="279"/>
      <c r="O1382" s="279"/>
      <c r="P1382" s="279"/>
      <c r="Q1382" s="279"/>
      <c r="R1382" s="279"/>
      <c r="S1382" s="279"/>
      <c r="T1382" s="279"/>
      <c r="U1382" s="280"/>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9"/>
      <c r="N1383" s="279"/>
      <c r="O1383" s="279"/>
      <c r="P1383" s="279"/>
      <c r="Q1383" s="279"/>
      <c r="R1383" s="279"/>
      <c r="S1383" s="279"/>
      <c r="T1383" s="279"/>
      <c r="U1383" s="280"/>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9"/>
      <c r="N1384" s="279"/>
      <c r="O1384" s="279"/>
      <c r="P1384" s="279"/>
      <c r="Q1384" s="279"/>
      <c r="R1384" s="279"/>
      <c r="S1384" s="279"/>
      <c r="T1384" s="279"/>
      <c r="U1384" s="280"/>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9"/>
      <c r="N1385" s="279"/>
      <c r="O1385" s="279"/>
      <c r="P1385" s="279"/>
      <c r="Q1385" s="279"/>
      <c r="R1385" s="279"/>
      <c r="S1385" s="279"/>
      <c r="T1385" s="279"/>
      <c r="U1385" s="280"/>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9"/>
      <c r="N1386" s="279"/>
      <c r="O1386" s="279"/>
      <c r="P1386" s="279"/>
      <c r="Q1386" s="279"/>
      <c r="R1386" s="279"/>
      <c r="S1386" s="279"/>
      <c r="T1386" s="279"/>
      <c r="U1386" s="280"/>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9"/>
      <c r="N1387" s="279"/>
      <c r="O1387" s="279"/>
      <c r="P1387" s="279"/>
      <c r="Q1387" s="279"/>
      <c r="R1387" s="279"/>
      <c r="S1387" s="279"/>
      <c r="T1387" s="279"/>
      <c r="U1387" s="280"/>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9"/>
      <c r="N1388" s="279"/>
      <c r="O1388" s="279"/>
      <c r="P1388" s="279"/>
      <c r="Q1388" s="279"/>
      <c r="R1388" s="279"/>
      <c r="S1388" s="279"/>
      <c r="T1388" s="279"/>
      <c r="U1388" s="280"/>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9"/>
      <c r="N1389" s="279"/>
      <c r="O1389" s="279"/>
      <c r="P1389" s="279"/>
      <c r="Q1389" s="279"/>
      <c r="R1389" s="279"/>
      <c r="S1389" s="279"/>
      <c r="T1389" s="279"/>
      <c r="U1389" s="280"/>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9"/>
      <c r="N1390" s="279"/>
      <c r="O1390" s="279"/>
      <c r="P1390" s="279"/>
      <c r="Q1390" s="279"/>
      <c r="R1390" s="279"/>
      <c r="S1390" s="279"/>
      <c r="T1390" s="279"/>
      <c r="U1390" s="280"/>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9"/>
      <c r="N1391" s="279"/>
      <c r="O1391" s="279"/>
      <c r="P1391" s="279"/>
      <c r="Q1391" s="279"/>
      <c r="R1391" s="279"/>
      <c r="S1391" s="279"/>
      <c r="T1391" s="279"/>
      <c r="U1391" s="280"/>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9"/>
      <c r="N1392" s="279"/>
      <c r="O1392" s="279"/>
      <c r="P1392" s="279"/>
      <c r="Q1392" s="279"/>
      <c r="R1392" s="279"/>
      <c r="S1392" s="279"/>
      <c r="T1392" s="279"/>
      <c r="U1392" s="280"/>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9"/>
      <c r="N1393" s="279"/>
      <c r="O1393" s="279"/>
      <c r="P1393" s="279"/>
      <c r="Q1393" s="279"/>
      <c r="R1393" s="279"/>
      <c r="S1393" s="279"/>
      <c r="T1393" s="279"/>
      <c r="U1393" s="280"/>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9"/>
      <c r="N1394" s="279"/>
      <c r="O1394" s="279"/>
      <c r="P1394" s="279"/>
      <c r="Q1394" s="279"/>
      <c r="R1394" s="279"/>
      <c r="S1394" s="279"/>
      <c r="T1394" s="279"/>
      <c r="U1394" s="280"/>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0" t="s">
        <v>371</v>
      </c>
      <c r="C1395" s="321"/>
      <c r="D1395" s="79"/>
      <c r="E1395" s="80"/>
      <c r="F1395" s="80"/>
      <c r="G1395" s="81"/>
      <c r="H1395" s="192"/>
      <c r="I1395" s="192"/>
      <c r="J1395" s="192"/>
      <c r="K1395" s="82"/>
      <c r="L1395" s="320" t="s">
        <v>306</v>
      </c>
      <c r="M1395" s="331"/>
      <c r="N1395" s="331"/>
      <c r="O1395" s="331"/>
      <c r="P1395" s="331"/>
      <c r="Q1395" s="331"/>
      <c r="R1395" s="331"/>
      <c r="S1395" s="331"/>
      <c r="T1395" s="331"/>
      <c r="U1395" s="321"/>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0" t="s">
        <v>307</v>
      </c>
      <c r="C1396" s="321"/>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3" t="s">
        <v>222</v>
      </c>
      <c r="C1400" s="314"/>
      <c r="D1400" s="315" t="s">
        <v>223</v>
      </c>
      <c r="E1400" s="306"/>
      <c r="F1400" s="88"/>
      <c r="G1400" s="316" t="s">
        <v>224</v>
      </c>
      <c r="H1400" s="317"/>
      <c r="I1400" s="28">
        <f>SUM(E1411:E1435)</f>
        <v>0</v>
      </c>
      <c r="J1400" s="318" t="s">
        <v>225</v>
      </c>
      <c r="K1400" s="319"/>
      <c r="L1400" s="306"/>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6" t="s">
        <v>226</v>
      </c>
      <c r="AA1400" s="297"/>
      <c r="AB1400" s="298"/>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5" t="s">
        <v>230</v>
      </c>
      <c r="H1401" s="306"/>
      <c r="I1401" s="33">
        <f>E1402-I1400</f>
        <v>0</v>
      </c>
      <c r="J1401" s="290" t="s">
        <v>231</v>
      </c>
      <c r="K1401" s="291"/>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9" t="s">
        <v>232</v>
      </c>
      <c r="AA1401" s="301" t="s">
        <v>233</v>
      </c>
      <c r="AB1401" s="30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2" t="s">
        <v>237</v>
      </c>
      <c r="H1402" s="293"/>
      <c r="I1402" s="35">
        <f>IF(E1402=0,0,12-(MOD(I1400,12)))</f>
        <v>0</v>
      </c>
      <c r="J1402" s="290" t="s">
        <v>238</v>
      </c>
      <c r="K1402" s="291"/>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0"/>
      <c r="AA1402" s="303"/>
      <c r="AB1402" s="30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2" t="s">
        <v>242</v>
      </c>
      <c r="H1403" s="43" t="s">
        <v>243</v>
      </c>
      <c r="I1403" s="35">
        <f>IF(E1403&lt;&gt;0,1,0)</f>
        <v>0</v>
      </c>
      <c r="J1403" s="292" t="s">
        <v>244</v>
      </c>
      <c r="K1403" s="29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3"/>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2" t="s">
        <v>251</v>
      </c>
      <c r="H1405" s="51" t="s">
        <v>252</v>
      </c>
      <c r="I1405" s="112">
        <f>E1404</f>
        <v>0</v>
      </c>
      <c r="J1405" s="324" t="s">
        <v>253</v>
      </c>
      <c r="K1405" s="325"/>
      <c r="L1405" s="32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3"/>
      <c r="H1406" s="47" t="s">
        <v>257</v>
      </c>
      <c r="I1406" s="35" t="str">
        <f>IF(E1404="","0",IF(AND(E1401="EUC",E1402=432), I1405+(203-E1403),IF(E1404=0,0,(E1404+(E1402-E1403)-1))))</f>
        <v>0</v>
      </c>
      <c r="J1406" s="287" t="str">
        <f>IFERROR(IF(OR(E1401="EUC",E1401="SS"),"---",IF(OR(P1400,S1400),"NO 2F Tethers for RPX!",IF(OR(P1402,S1402),"NO 6F Tethers for RPX!","---"))),"---")</f>
        <v>---</v>
      </c>
      <c r="K1406" s="288"/>
      <c r="L1406" s="289"/>
      <c r="M1406" s="287" t="str">
        <f>IF(E1403&gt;60,"Dead Count &gt;60: Consider Downsize","---")</f>
        <v>---</v>
      </c>
      <c r="N1406" s="288"/>
      <c r="O1406" s="288"/>
      <c r="P1406" s="288"/>
      <c r="Q1406" s="288"/>
      <c r="R1406" s="288"/>
      <c r="S1406" s="288"/>
      <c r="T1406" s="288"/>
      <c r="U1406" s="289"/>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7"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8"/>
      <c r="L1407" s="289"/>
      <c r="M1407" s="287" t="str">
        <f>IF(AND(OR(E1401="SS",E1401="RPX",E1401="EUC",E1401="RPX-T"),(OR(C1411="",C1411="Field SPL"))),"Cannot have FlexNap cables without tethers","---")</f>
        <v>---</v>
      </c>
      <c r="N1407" s="288"/>
      <c r="O1407" s="288"/>
      <c r="P1407" s="288"/>
      <c r="Q1407" s="288"/>
      <c r="R1407" s="288"/>
      <c r="S1407" s="288"/>
      <c r="T1407" s="288"/>
      <c r="U1407" s="289"/>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7" t="str">
        <f>IF(AND(OR(E1401="RPX", E1401="RPX-T", E1401="SS"),E1402=216),"NO 216 For RPX, RPX-T, OR SS CABLE","---")</f>
        <v>---</v>
      </c>
      <c r="K1408" s="288"/>
      <c r="L1408" s="289"/>
      <c r="M1408" s="287" t="str" cm="1">
        <f t="array" ref="M1408">IF(AND(E1401="",OR(C1411:C1435="FST",C1411:C1435="REV T",C1411:C1435="DBL REV",C1411:C1435="TPL REV", C1411:C1435="QD REV")),"Non-FlexNap cables cannot have tethers","---")</f>
        <v>---</v>
      </c>
      <c r="N1408" s="288"/>
      <c r="O1408" s="288"/>
      <c r="P1408" s="288"/>
      <c r="Q1408" s="288"/>
      <c r="R1408" s="288"/>
      <c r="S1408" s="288"/>
      <c r="T1408" s="288"/>
      <c r="U1408" s="289"/>
      <c r="V1408" s="25"/>
      <c r="W1408" s="58"/>
      <c r="X1408" s="58"/>
      <c r="Y1408" s="25"/>
      <c r="Z1408" s="45">
        <v>6</v>
      </c>
      <c r="AA1408" s="65">
        <v>61</v>
      </c>
      <c r="AB1408" s="65">
        <v>72</v>
      </c>
      <c r="AC1408" s="25"/>
      <c r="AD1408" s="25"/>
      <c r="BA1408" s="226"/>
    </row>
    <row r="1409" spans="1:53" ht="15.75" customHeight="1" thickBot="1" x14ac:dyDescent="0.3">
      <c r="A1409" s="88"/>
      <c r="B1409" s="322" t="s">
        <v>260</v>
      </c>
      <c r="C1409" s="294" t="s">
        <v>261</v>
      </c>
      <c r="D1409" s="294" t="s">
        <v>262</v>
      </c>
      <c r="E1409" s="307" t="s">
        <v>263</v>
      </c>
      <c r="F1409" s="294" t="s">
        <v>264</v>
      </c>
      <c r="G1409" s="309" t="s">
        <v>265</v>
      </c>
      <c r="H1409" s="309" t="s">
        <v>266</v>
      </c>
      <c r="I1409" s="309" t="s">
        <v>267</v>
      </c>
      <c r="J1409" s="311" t="s">
        <v>268</v>
      </c>
      <c r="K1409" s="294" t="s">
        <v>269</v>
      </c>
      <c r="L1409" s="281" t="s">
        <v>270</v>
      </c>
      <c r="M1409" s="283" t="s">
        <v>271</v>
      </c>
      <c r="N1409" s="283"/>
      <c r="O1409" s="283"/>
      <c r="P1409" s="283"/>
      <c r="Q1409" s="283"/>
      <c r="R1409" s="283"/>
      <c r="S1409" s="283"/>
      <c r="T1409" s="283"/>
      <c r="U1409" s="284"/>
      <c r="V1409" s="107"/>
      <c r="W1409" s="72"/>
      <c r="X1409" s="72"/>
      <c r="Y1409" s="72"/>
      <c r="Z1409" s="45">
        <v>7</v>
      </c>
      <c r="AA1409" s="65">
        <v>73</v>
      </c>
      <c r="AB1409" s="65">
        <v>84</v>
      </c>
      <c r="AC1409" s="25"/>
      <c r="AD1409" s="25"/>
      <c r="BA1409" s="228"/>
    </row>
    <row r="1410" spans="1:53" ht="15.75" thickBot="1" x14ac:dyDescent="0.3">
      <c r="A1410" s="88"/>
      <c r="B1410" s="323"/>
      <c r="C1410" s="295"/>
      <c r="D1410" s="295"/>
      <c r="E1410" s="308"/>
      <c r="F1410" s="295"/>
      <c r="G1410" s="310"/>
      <c r="H1410" s="310"/>
      <c r="I1410" s="310"/>
      <c r="J1410" s="312"/>
      <c r="K1410" s="295"/>
      <c r="L1410" s="282"/>
      <c r="M1410" s="285"/>
      <c r="N1410" s="285"/>
      <c r="O1410" s="285"/>
      <c r="P1410" s="285"/>
      <c r="Q1410" s="285"/>
      <c r="R1410" s="285"/>
      <c r="S1410" s="285"/>
      <c r="T1410" s="285"/>
      <c r="U1410" s="28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9"/>
      <c r="N1411" s="279"/>
      <c r="O1411" s="279"/>
      <c r="P1411" s="279"/>
      <c r="Q1411" s="279"/>
      <c r="R1411" s="279"/>
      <c r="S1411" s="279"/>
      <c r="T1411" s="279"/>
      <c r="U1411" s="280"/>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9"/>
      <c r="N1412" s="279"/>
      <c r="O1412" s="279"/>
      <c r="P1412" s="279"/>
      <c r="Q1412" s="279"/>
      <c r="R1412" s="279"/>
      <c r="S1412" s="279"/>
      <c r="T1412" s="279"/>
      <c r="U1412" s="280"/>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9"/>
      <c r="N1413" s="279"/>
      <c r="O1413" s="279"/>
      <c r="P1413" s="279"/>
      <c r="Q1413" s="279"/>
      <c r="R1413" s="279"/>
      <c r="S1413" s="279"/>
      <c r="T1413" s="279"/>
      <c r="U1413" s="280"/>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9"/>
      <c r="N1414" s="279"/>
      <c r="O1414" s="279"/>
      <c r="P1414" s="279"/>
      <c r="Q1414" s="279"/>
      <c r="R1414" s="279"/>
      <c r="S1414" s="279"/>
      <c r="T1414" s="279"/>
      <c r="U1414" s="280"/>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9"/>
      <c r="N1415" s="279"/>
      <c r="O1415" s="279"/>
      <c r="P1415" s="279"/>
      <c r="Q1415" s="279"/>
      <c r="R1415" s="279"/>
      <c r="S1415" s="279"/>
      <c r="T1415" s="279"/>
      <c r="U1415" s="280"/>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9"/>
      <c r="N1416" s="279"/>
      <c r="O1416" s="279"/>
      <c r="P1416" s="279"/>
      <c r="Q1416" s="279"/>
      <c r="R1416" s="279"/>
      <c r="S1416" s="279"/>
      <c r="T1416" s="279"/>
      <c r="U1416" s="280"/>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9"/>
      <c r="N1417" s="279"/>
      <c r="O1417" s="279"/>
      <c r="P1417" s="279"/>
      <c r="Q1417" s="279"/>
      <c r="R1417" s="279"/>
      <c r="S1417" s="279"/>
      <c r="T1417" s="279"/>
      <c r="U1417" s="280"/>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9"/>
      <c r="N1418" s="279"/>
      <c r="O1418" s="279"/>
      <c r="P1418" s="279"/>
      <c r="Q1418" s="279"/>
      <c r="R1418" s="279"/>
      <c r="S1418" s="279"/>
      <c r="T1418" s="279"/>
      <c r="U1418" s="280"/>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9"/>
      <c r="N1419" s="279"/>
      <c r="O1419" s="279"/>
      <c r="P1419" s="279"/>
      <c r="Q1419" s="279"/>
      <c r="R1419" s="279"/>
      <c r="S1419" s="279"/>
      <c r="T1419" s="279"/>
      <c r="U1419" s="280"/>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9"/>
      <c r="N1420" s="279"/>
      <c r="O1420" s="279"/>
      <c r="P1420" s="279"/>
      <c r="Q1420" s="279"/>
      <c r="R1420" s="279"/>
      <c r="S1420" s="279"/>
      <c r="T1420" s="279"/>
      <c r="U1420" s="280"/>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9"/>
      <c r="N1421" s="279"/>
      <c r="O1421" s="279"/>
      <c r="P1421" s="279"/>
      <c r="Q1421" s="279"/>
      <c r="R1421" s="279"/>
      <c r="S1421" s="279"/>
      <c r="T1421" s="279"/>
      <c r="U1421" s="280"/>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9"/>
      <c r="N1422" s="279"/>
      <c r="O1422" s="279"/>
      <c r="P1422" s="279"/>
      <c r="Q1422" s="279"/>
      <c r="R1422" s="279"/>
      <c r="S1422" s="279"/>
      <c r="T1422" s="279"/>
      <c r="U1422" s="280"/>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9"/>
      <c r="N1423" s="279"/>
      <c r="O1423" s="279"/>
      <c r="P1423" s="279"/>
      <c r="Q1423" s="279"/>
      <c r="R1423" s="279"/>
      <c r="S1423" s="279"/>
      <c r="T1423" s="279"/>
      <c r="U1423" s="280"/>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9"/>
      <c r="N1424" s="279"/>
      <c r="O1424" s="279"/>
      <c r="P1424" s="279"/>
      <c r="Q1424" s="279"/>
      <c r="R1424" s="279"/>
      <c r="S1424" s="279"/>
      <c r="T1424" s="279"/>
      <c r="U1424" s="280"/>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9"/>
      <c r="N1425" s="279"/>
      <c r="O1425" s="279"/>
      <c r="P1425" s="279"/>
      <c r="Q1425" s="279"/>
      <c r="R1425" s="279"/>
      <c r="S1425" s="279"/>
      <c r="T1425" s="279"/>
      <c r="U1425" s="280"/>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9"/>
      <c r="N1426" s="279"/>
      <c r="O1426" s="279"/>
      <c r="P1426" s="279"/>
      <c r="Q1426" s="279"/>
      <c r="R1426" s="279"/>
      <c r="S1426" s="279"/>
      <c r="T1426" s="279"/>
      <c r="U1426" s="280"/>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9"/>
      <c r="N1427" s="279"/>
      <c r="O1427" s="279"/>
      <c r="P1427" s="279"/>
      <c r="Q1427" s="279"/>
      <c r="R1427" s="279"/>
      <c r="S1427" s="279"/>
      <c r="T1427" s="279"/>
      <c r="U1427" s="280"/>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9"/>
      <c r="N1428" s="279"/>
      <c r="O1428" s="279"/>
      <c r="P1428" s="279"/>
      <c r="Q1428" s="279"/>
      <c r="R1428" s="279"/>
      <c r="S1428" s="279"/>
      <c r="T1428" s="279"/>
      <c r="U1428" s="280"/>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9"/>
      <c r="N1429" s="279"/>
      <c r="O1429" s="279"/>
      <c r="P1429" s="279"/>
      <c r="Q1429" s="279"/>
      <c r="R1429" s="279"/>
      <c r="S1429" s="279"/>
      <c r="T1429" s="279"/>
      <c r="U1429" s="280"/>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9"/>
      <c r="N1430" s="279"/>
      <c r="O1430" s="279"/>
      <c r="P1430" s="279"/>
      <c r="Q1430" s="279"/>
      <c r="R1430" s="279"/>
      <c r="S1430" s="279"/>
      <c r="T1430" s="279"/>
      <c r="U1430" s="280"/>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9"/>
      <c r="N1431" s="279"/>
      <c r="O1431" s="279"/>
      <c r="P1431" s="279"/>
      <c r="Q1431" s="279"/>
      <c r="R1431" s="279"/>
      <c r="S1431" s="279"/>
      <c r="T1431" s="279"/>
      <c r="U1431" s="280"/>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9"/>
      <c r="N1432" s="279"/>
      <c r="O1432" s="279"/>
      <c r="P1432" s="279"/>
      <c r="Q1432" s="279"/>
      <c r="R1432" s="279"/>
      <c r="S1432" s="279"/>
      <c r="T1432" s="279"/>
      <c r="U1432" s="280"/>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9"/>
      <c r="N1433" s="279"/>
      <c r="O1433" s="279"/>
      <c r="P1433" s="279"/>
      <c r="Q1433" s="279"/>
      <c r="R1433" s="279"/>
      <c r="S1433" s="279"/>
      <c r="T1433" s="279"/>
      <c r="U1433" s="280"/>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9"/>
      <c r="N1434" s="279"/>
      <c r="O1434" s="279"/>
      <c r="P1434" s="279"/>
      <c r="Q1434" s="279"/>
      <c r="R1434" s="279"/>
      <c r="S1434" s="279"/>
      <c r="T1434" s="279"/>
      <c r="U1434" s="280"/>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9"/>
      <c r="N1435" s="279"/>
      <c r="O1435" s="279"/>
      <c r="P1435" s="279"/>
      <c r="Q1435" s="279"/>
      <c r="R1435" s="279"/>
      <c r="S1435" s="279"/>
      <c r="T1435" s="279"/>
      <c r="U1435" s="280"/>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0" t="s">
        <v>373</v>
      </c>
      <c r="C1436" s="321"/>
      <c r="D1436" s="79"/>
      <c r="E1436" s="80"/>
      <c r="F1436" s="80"/>
      <c r="G1436" s="81"/>
      <c r="H1436" s="192"/>
      <c r="I1436" s="192"/>
      <c r="J1436" s="192"/>
      <c r="K1436" s="82"/>
      <c r="L1436" s="320" t="s">
        <v>306</v>
      </c>
      <c r="M1436" s="331"/>
      <c r="N1436" s="331"/>
      <c r="O1436" s="331"/>
      <c r="P1436" s="331"/>
      <c r="Q1436" s="331"/>
      <c r="R1436" s="331"/>
      <c r="S1436" s="331"/>
      <c r="T1436" s="331"/>
      <c r="U1436" s="321"/>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0" t="s">
        <v>307</v>
      </c>
      <c r="C1437" s="321"/>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3" t="s">
        <v>222</v>
      </c>
      <c r="C1441" s="314"/>
      <c r="D1441" s="315" t="s">
        <v>223</v>
      </c>
      <c r="E1441" s="306"/>
      <c r="F1441" s="88"/>
      <c r="G1441" s="316" t="s">
        <v>224</v>
      </c>
      <c r="H1441" s="317"/>
      <c r="I1441" s="28">
        <f>SUM(E1452:E1476)</f>
        <v>0</v>
      </c>
      <c r="J1441" s="318" t="s">
        <v>225</v>
      </c>
      <c r="K1441" s="319"/>
      <c r="L1441" s="306"/>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6" t="s">
        <v>226</v>
      </c>
      <c r="AA1441" s="297"/>
      <c r="AB1441" s="298"/>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5" t="s">
        <v>230</v>
      </c>
      <c r="H1442" s="306"/>
      <c r="I1442" s="33">
        <f>E1443-I1441</f>
        <v>0</v>
      </c>
      <c r="J1442" s="290" t="s">
        <v>231</v>
      </c>
      <c r="K1442" s="291"/>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9" t="s">
        <v>232</v>
      </c>
      <c r="AA1442" s="301" t="s">
        <v>233</v>
      </c>
      <c r="AB1442" s="30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2" t="s">
        <v>237</v>
      </c>
      <c r="H1443" s="293"/>
      <c r="I1443" s="35">
        <f>IF(E1443=0,0,12-(MOD(I1441,12)))</f>
        <v>0</v>
      </c>
      <c r="J1443" s="290" t="s">
        <v>238</v>
      </c>
      <c r="K1443" s="291"/>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0"/>
      <c r="AA1443" s="303"/>
      <c r="AB1443" s="30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2" t="s">
        <v>242</v>
      </c>
      <c r="H1444" s="43" t="s">
        <v>243</v>
      </c>
      <c r="I1444" s="35">
        <f>IF(E1444&lt;&gt;0,1,0)</f>
        <v>0</v>
      </c>
      <c r="J1444" s="292" t="s">
        <v>244</v>
      </c>
      <c r="K1444" s="29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3"/>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2" t="s">
        <v>251</v>
      </c>
      <c r="H1446" s="51" t="s">
        <v>252</v>
      </c>
      <c r="I1446" s="112">
        <f>E1445</f>
        <v>0</v>
      </c>
      <c r="J1446" s="324" t="s">
        <v>253</v>
      </c>
      <c r="K1446" s="325"/>
      <c r="L1446" s="32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3"/>
      <c r="H1447" s="47" t="s">
        <v>257</v>
      </c>
      <c r="I1447" s="35" t="str">
        <f>IF(E1445="","0",IF(AND(E1442="EUC",E1443=432), I1446+(203-E1444),IF(E1445=0,0,(E1445+(E1443-E1444)-1))))</f>
        <v>0</v>
      </c>
      <c r="J1447" s="287" t="str">
        <f>IFERROR(IF(OR(E1442="EUC",E1442="SS"),"---",IF(OR(P1441,S1441),"NO 2F Tethers for RPX!",IF(OR(P1443,S1443),"NO 6F Tethers for RPX!","---"))),"---")</f>
        <v>---</v>
      </c>
      <c r="K1447" s="288"/>
      <c r="L1447" s="289"/>
      <c r="M1447" s="287" t="str">
        <f>IF(E1444&gt;60,"Dead Count &gt;60: Consider Downsize","---")</f>
        <v>---</v>
      </c>
      <c r="N1447" s="288"/>
      <c r="O1447" s="288"/>
      <c r="P1447" s="288"/>
      <c r="Q1447" s="288"/>
      <c r="R1447" s="288"/>
      <c r="S1447" s="288"/>
      <c r="T1447" s="288"/>
      <c r="U1447" s="289"/>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7"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8"/>
      <c r="L1448" s="289"/>
      <c r="M1448" s="287" t="str">
        <f>IF(AND(OR(E1442="SS",E1442="RPX",E1442="EUC",E1442="RPX-T"),(OR(C1452="",C1452="Field SPL"))),"Cannot have FlexNap cables without tethers","---")</f>
        <v>---</v>
      </c>
      <c r="N1448" s="288"/>
      <c r="O1448" s="288"/>
      <c r="P1448" s="288"/>
      <c r="Q1448" s="288"/>
      <c r="R1448" s="288"/>
      <c r="S1448" s="288"/>
      <c r="T1448" s="288"/>
      <c r="U1448" s="289"/>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7" t="str">
        <f>IF(AND(OR(E1442="RPX", E1442="RPX-T", E1442="SS"),E1443=216),"NO 216 For RPX, RPX-T, OR SS CABLE","---")</f>
        <v>---</v>
      </c>
      <c r="K1449" s="288"/>
      <c r="L1449" s="289"/>
      <c r="M1449" s="287" t="str" cm="1">
        <f t="array" ref="M1449">IF(AND(E1442="",OR(C1452:C1476="FST",C1452:C1476="REV T",C1452:C1476="DBL REV",C1452:C1476="TPL REV", C1452:C1476="QD REV")),"Non-FlexNap cables cannot have tethers","---")</f>
        <v>---</v>
      </c>
      <c r="N1449" s="288"/>
      <c r="O1449" s="288"/>
      <c r="P1449" s="288"/>
      <c r="Q1449" s="288"/>
      <c r="R1449" s="288"/>
      <c r="S1449" s="288"/>
      <c r="T1449" s="288"/>
      <c r="U1449" s="289"/>
      <c r="V1449" s="25"/>
      <c r="W1449" s="58"/>
      <c r="X1449" s="58"/>
      <c r="Y1449" s="25"/>
      <c r="Z1449" s="45">
        <v>6</v>
      </c>
      <c r="AA1449" s="65">
        <v>61</v>
      </c>
      <c r="AB1449" s="65">
        <v>72</v>
      </c>
      <c r="AC1449" s="25"/>
      <c r="AD1449" s="25"/>
      <c r="BA1449" s="226"/>
    </row>
    <row r="1450" spans="1:53" ht="15.75" customHeight="1" thickBot="1" x14ac:dyDescent="0.3">
      <c r="A1450" s="88"/>
      <c r="B1450" s="322" t="s">
        <v>260</v>
      </c>
      <c r="C1450" s="294" t="s">
        <v>261</v>
      </c>
      <c r="D1450" s="294" t="s">
        <v>262</v>
      </c>
      <c r="E1450" s="307" t="s">
        <v>263</v>
      </c>
      <c r="F1450" s="294" t="s">
        <v>264</v>
      </c>
      <c r="G1450" s="309" t="s">
        <v>265</v>
      </c>
      <c r="H1450" s="309" t="s">
        <v>266</v>
      </c>
      <c r="I1450" s="309" t="s">
        <v>267</v>
      </c>
      <c r="J1450" s="311" t="s">
        <v>268</v>
      </c>
      <c r="K1450" s="294" t="s">
        <v>269</v>
      </c>
      <c r="L1450" s="281" t="s">
        <v>270</v>
      </c>
      <c r="M1450" s="283" t="s">
        <v>271</v>
      </c>
      <c r="N1450" s="283"/>
      <c r="O1450" s="283"/>
      <c r="P1450" s="283"/>
      <c r="Q1450" s="283"/>
      <c r="R1450" s="283"/>
      <c r="S1450" s="283"/>
      <c r="T1450" s="283"/>
      <c r="U1450" s="284"/>
      <c r="V1450" s="107"/>
      <c r="W1450" s="72"/>
      <c r="X1450" s="72"/>
      <c r="Y1450" s="72"/>
      <c r="Z1450" s="45">
        <v>7</v>
      </c>
      <c r="AA1450" s="65">
        <v>73</v>
      </c>
      <c r="AB1450" s="65">
        <v>84</v>
      </c>
      <c r="AC1450" s="25"/>
      <c r="AD1450" s="25"/>
      <c r="BA1450" s="228"/>
    </row>
    <row r="1451" spans="1:53" ht="15.75" thickBot="1" x14ac:dyDescent="0.3">
      <c r="A1451" s="88"/>
      <c r="B1451" s="323"/>
      <c r="C1451" s="295"/>
      <c r="D1451" s="295"/>
      <c r="E1451" s="308"/>
      <c r="F1451" s="295"/>
      <c r="G1451" s="310"/>
      <c r="H1451" s="310"/>
      <c r="I1451" s="310"/>
      <c r="J1451" s="312"/>
      <c r="K1451" s="295"/>
      <c r="L1451" s="282"/>
      <c r="M1451" s="285"/>
      <c r="N1451" s="285"/>
      <c r="O1451" s="285"/>
      <c r="P1451" s="285"/>
      <c r="Q1451" s="285"/>
      <c r="R1451" s="285"/>
      <c r="S1451" s="285"/>
      <c r="T1451" s="285"/>
      <c r="U1451" s="28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9"/>
      <c r="N1452" s="279"/>
      <c r="O1452" s="279"/>
      <c r="P1452" s="279"/>
      <c r="Q1452" s="279"/>
      <c r="R1452" s="279"/>
      <c r="S1452" s="279"/>
      <c r="T1452" s="279"/>
      <c r="U1452" s="280"/>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9"/>
      <c r="N1453" s="279"/>
      <c r="O1453" s="279"/>
      <c r="P1453" s="279"/>
      <c r="Q1453" s="279"/>
      <c r="R1453" s="279"/>
      <c r="S1453" s="279"/>
      <c r="T1453" s="279"/>
      <c r="U1453" s="280"/>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9"/>
      <c r="N1454" s="279"/>
      <c r="O1454" s="279"/>
      <c r="P1454" s="279"/>
      <c r="Q1454" s="279"/>
      <c r="R1454" s="279"/>
      <c r="S1454" s="279"/>
      <c r="T1454" s="279"/>
      <c r="U1454" s="280"/>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9"/>
      <c r="N1455" s="279"/>
      <c r="O1455" s="279"/>
      <c r="P1455" s="279"/>
      <c r="Q1455" s="279"/>
      <c r="R1455" s="279"/>
      <c r="S1455" s="279"/>
      <c r="T1455" s="279"/>
      <c r="U1455" s="280"/>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9"/>
      <c r="N1456" s="279"/>
      <c r="O1456" s="279"/>
      <c r="P1456" s="279"/>
      <c r="Q1456" s="279"/>
      <c r="R1456" s="279"/>
      <c r="S1456" s="279"/>
      <c r="T1456" s="279"/>
      <c r="U1456" s="280"/>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9"/>
      <c r="N1457" s="279"/>
      <c r="O1457" s="279"/>
      <c r="P1457" s="279"/>
      <c r="Q1457" s="279"/>
      <c r="R1457" s="279"/>
      <c r="S1457" s="279"/>
      <c r="T1457" s="279"/>
      <c r="U1457" s="280"/>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9"/>
      <c r="N1458" s="279"/>
      <c r="O1458" s="279"/>
      <c r="P1458" s="279"/>
      <c r="Q1458" s="279"/>
      <c r="R1458" s="279"/>
      <c r="S1458" s="279"/>
      <c r="T1458" s="279"/>
      <c r="U1458" s="280"/>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9"/>
      <c r="N1459" s="279"/>
      <c r="O1459" s="279"/>
      <c r="P1459" s="279"/>
      <c r="Q1459" s="279"/>
      <c r="R1459" s="279"/>
      <c r="S1459" s="279"/>
      <c r="T1459" s="279"/>
      <c r="U1459" s="280"/>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9"/>
      <c r="N1460" s="279"/>
      <c r="O1460" s="279"/>
      <c r="P1460" s="279"/>
      <c r="Q1460" s="279"/>
      <c r="R1460" s="279"/>
      <c r="S1460" s="279"/>
      <c r="T1460" s="279"/>
      <c r="U1460" s="280"/>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9"/>
      <c r="N1461" s="279"/>
      <c r="O1461" s="279"/>
      <c r="P1461" s="279"/>
      <c r="Q1461" s="279"/>
      <c r="R1461" s="279"/>
      <c r="S1461" s="279"/>
      <c r="T1461" s="279"/>
      <c r="U1461" s="280"/>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9"/>
      <c r="N1462" s="279"/>
      <c r="O1462" s="279"/>
      <c r="P1462" s="279"/>
      <c r="Q1462" s="279"/>
      <c r="R1462" s="279"/>
      <c r="S1462" s="279"/>
      <c r="T1462" s="279"/>
      <c r="U1462" s="280"/>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9"/>
      <c r="N1463" s="279"/>
      <c r="O1463" s="279"/>
      <c r="P1463" s="279"/>
      <c r="Q1463" s="279"/>
      <c r="R1463" s="279"/>
      <c r="S1463" s="279"/>
      <c r="T1463" s="279"/>
      <c r="U1463" s="280"/>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9"/>
      <c r="N1464" s="279"/>
      <c r="O1464" s="279"/>
      <c r="P1464" s="279"/>
      <c r="Q1464" s="279"/>
      <c r="R1464" s="279"/>
      <c r="S1464" s="279"/>
      <c r="T1464" s="279"/>
      <c r="U1464" s="280"/>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9"/>
      <c r="N1465" s="279"/>
      <c r="O1465" s="279"/>
      <c r="P1465" s="279"/>
      <c r="Q1465" s="279"/>
      <c r="R1465" s="279"/>
      <c r="S1465" s="279"/>
      <c r="T1465" s="279"/>
      <c r="U1465" s="280"/>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9"/>
      <c r="N1466" s="279"/>
      <c r="O1466" s="279"/>
      <c r="P1466" s="279"/>
      <c r="Q1466" s="279"/>
      <c r="R1466" s="279"/>
      <c r="S1466" s="279"/>
      <c r="T1466" s="279"/>
      <c r="U1466" s="280"/>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9"/>
      <c r="N1467" s="279"/>
      <c r="O1467" s="279"/>
      <c r="P1467" s="279"/>
      <c r="Q1467" s="279"/>
      <c r="R1467" s="279"/>
      <c r="S1467" s="279"/>
      <c r="T1467" s="279"/>
      <c r="U1467" s="280"/>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9"/>
      <c r="N1468" s="279"/>
      <c r="O1468" s="279"/>
      <c r="P1468" s="279"/>
      <c r="Q1468" s="279"/>
      <c r="R1468" s="279"/>
      <c r="S1468" s="279"/>
      <c r="T1468" s="279"/>
      <c r="U1468" s="280"/>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9"/>
      <c r="N1469" s="279"/>
      <c r="O1469" s="279"/>
      <c r="P1469" s="279"/>
      <c r="Q1469" s="279"/>
      <c r="R1469" s="279"/>
      <c r="S1469" s="279"/>
      <c r="T1469" s="279"/>
      <c r="U1469" s="280"/>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9"/>
      <c r="N1470" s="279"/>
      <c r="O1470" s="279"/>
      <c r="P1470" s="279"/>
      <c r="Q1470" s="279"/>
      <c r="R1470" s="279"/>
      <c r="S1470" s="279"/>
      <c r="T1470" s="279"/>
      <c r="U1470" s="280"/>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9"/>
      <c r="N1471" s="279"/>
      <c r="O1471" s="279"/>
      <c r="P1471" s="279"/>
      <c r="Q1471" s="279"/>
      <c r="R1471" s="279"/>
      <c r="S1471" s="279"/>
      <c r="T1471" s="279"/>
      <c r="U1471" s="280"/>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9"/>
      <c r="N1472" s="279"/>
      <c r="O1472" s="279"/>
      <c r="P1472" s="279"/>
      <c r="Q1472" s="279"/>
      <c r="R1472" s="279"/>
      <c r="S1472" s="279"/>
      <c r="T1472" s="279"/>
      <c r="U1472" s="280"/>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9"/>
      <c r="N1473" s="279"/>
      <c r="O1473" s="279"/>
      <c r="P1473" s="279"/>
      <c r="Q1473" s="279"/>
      <c r="R1473" s="279"/>
      <c r="S1473" s="279"/>
      <c r="T1473" s="279"/>
      <c r="U1473" s="280"/>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9"/>
      <c r="N1474" s="279"/>
      <c r="O1474" s="279"/>
      <c r="P1474" s="279"/>
      <c r="Q1474" s="279"/>
      <c r="R1474" s="279"/>
      <c r="S1474" s="279"/>
      <c r="T1474" s="279"/>
      <c r="U1474" s="280"/>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9"/>
      <c r="N1475" s="279"/>
      <c r="O1475" s="279"/>
      <c r="P1475" s="279"/>
      <c r="Q1475" s="279"/>
      <c r="R1475" s="279"/>
      <c r="S1475" s="279"/>
      <c r="T1475" s="279"/>
      <c r="U1475" s="280"/>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9"/>
      <c r="N1476" s="279"/>
      <c r="O1476" s="279"/>
      <c r="P1476" s="279"/>
      <c r="Q1476" s="279"/>
      <c r="R1476" s="279"/>
      <c r="S1476" s="279"/>
      <c r="T1476" s="279"/>
      <c r="U1476" s="280"/>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0" t="s">
        <v>375</v>
      </c>
      <c r="C1477" s="321"/>
      <c r="D1477" s="79"/>
      <c r="E1477" s="80"/>
      <c r="F1477" s="80"/>
      <c r="G1477" s="81"/>
      <c r="H1477" s="192"/>
      <c r="I1477" s="192"/>
      <c r="J1477" s="192"/>
      <c r="K1477" s="82"/>
      <c r="L1477" s="320" t="s">
        <v>306</v>
      </c>
      <c r="M1477" s="331"/>
      <c r="N1477" s="331"/>
      <c r="O1477" s="331"/>
      <c r="P1477" s="331"/>
      <c r="Q1477" s="331"/>
      <c r="R1477" s="331"/>
      <c r="S1477" s="331"/>
      <c r="T1477" s="331"/>
      <c r="U1477" s="321"/>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0" t="s">
        <v>307</v>
      </c>
      <c r="C1478" s="321"/>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3" t="s">
        <v>222</v>
      </c>
      <c r="C1482" s="314"/>
      <c r="D1482" s="315" t="s">
        <v>223</v>
      </c>
      <c r="E1482" s="306"/>
      <c r="F1482" s="88"/>
      <c r="G1482" s="316" t="s">
        <v>224</v>
      </c>
      <c r="H1482" s="317"/>
      <c r="I1482" s="28">
        <f>SUM(E1493:E1517)</f>
        <v>0</v>
      </c>
      <c r="J1482" s="318" t="s">
        <v>225</v>
      </c>
      <c r="K1482" s="319"/>
      <c r="L1482" s="306"/>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6" t="s">
        <v>226</v>
      </c>
      <c r="AA1482" s="297"/>
      <c r="AB1482" s="298"/>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5" t="s">
        <v>230</v>
      </c>
      <c r="H1483" s="306"/>
      <c r="I1483" s="33">
        <f>E1484-I1482</f>
        <v>0</v>
      </c>
      <c r="J1483" s="290" t="s">
        <v>231</v>
      </c>
      <c r="K1483" s="291"/>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9" t="s">
        <v>232</v>
      </c>
      <c r="AA1483" s="301" t="s">
        <v>233</v>
      </c>
      <c r="AB1483" s="30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2" t="s">
        <v>237</v>
      </c>
      <c r="H1484" s="293"/>
      <c r="I1484" s="35">
        <f>IF(E1484=0,0,12-(MOD(I1482,12)))</f>
        <v>0</v>
      </c>
      <c r="J1484" s="290" t="s">
        <v>238</v>
      </c>
      <c r="K1484" s="291"/>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0"/>
      <c r="AA1484" s="303"/>
      <c r="AB1484" s="30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2" t="s">
        <v>242</v>
      </c>
      <c r="H1485" s="43" t="s">
        <v>243</v>
      </c>
      <c r="I1485" s="35">
        <f>IF(E1485&lt;&gt;0,1,0)</f>
        <v>0</v>
      </c>
      <c r="J1485" s="292" t="s">
        <v>244</v>
      </c>
      <c r="K1485" s="29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3"/>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2" t="s">
        <v>251</v>
      </c>
      <c r="H1487" s="51" t="s">
        <v>252</v>
      </c>
      <c r="I1487" s="112">
        <f>E1486</f>
        <v>0</v>
      </c>
      <c r="J1487" s="324" t="s">
        <v>253</v>
      </c>
      <c r="K1487" s="325"/>
      <c r="L1487" s="32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3"/>
      <c r="H1488" s="47" t="s">
        <v>257</v>
      </c>
      <c r="I1488" s="35" t="str">
        <f>IF(E1486="","0",IF(AND(E1483="EUC",E1484=432), I1487+(203-E1485),IF(E1486=0,0,(E1486+(E1484-E1485)-1))))</f>
        <v>0</v>
      </c>
      <c r="J1488" s="287" t="str">
        <f>IFERROR(IF(OR(E1483="EUC",E1483="SS"),"---",IF(OR(P1482,S1482),"NO 2F Tethers for RPX!",IF(OR(P1484,S1484),"NO 6F Tethers for RPX!","---"))),"---")</f>
        <v>---</v>
      </c>
      <c r="K1488" s="288"/>
      <c r="L1488" s="289"/>
      <c r="M1488" s="287" t="str">
        <f>IF(E1485&gt;60,"Dead Count &gt;60: Consider Downsize","---")</f>
        <v>---</v>
      </c>
      <c r="N1488" s="288"/>
      <c r="O1488" s="288"/>
      <c r="P1488" s="288"/>
      <c r="Q1488" s="288"/>
      <c r="R1488" s="288"/>
      <c r="S1488" s="288"/>
      <c r="T1488" s="288"/>
      <c r="U1488" s="289"/>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7"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8"/>
      <c r="L1489" s="289"/>
      <c r="M1489" s="287" t="str">
        <f>IF(AND(OR(E1483="SS",E1483="RPX",E1483="EUC",E1483="RPX-T"),(OR(C1493="",C1493="Field SPL"))),"Cannot have FlexNap cables without tethers","---")</f>
        <v>---</v>
      </c>
      <c r="N1489" s="288"/>
      <c r="O1489" s="288"/>
      <c r="P1489" s="288"/>
      <c r="Q1489" s="288"/>
      <c r="R1489" s="288"/>
      <c r="S1489" s="288"/>
      <c r="T1489" s="288"/>
      <c r="U1489" s="289"/>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7" t="str">
        <f>IF(AND(OR(E1483="RPX", E1483="RPX-T", E1483="SS"),E1484=216),"NO 216 For RPX, RPX-T, OR SS CABLE","---")</f>
        <v>---</v>
      </c>
      <c r="K1490" s="288"/>
      <c r="L1490" s="289"/>
      <c r="M1490" s="287" t="str" cm="1">
        <f t="array" ref="M1490">IF(AND(E1483="",OR(C1493:C1517="FST",C1493:C1517="REV T",C1493:C1517="DBL REV",C1493:C1517="TPL REV", C1493:C1517="QD REV")),"Non-FlexNap cables cannot have tethers","---")</f>
        <v>---</v>
      </c>
      <c r="N1490" s="288"/>
      <c r="O1490" s="288"/>
      <c r="P1490" s="288"/>
      <c r="Q1490" s="288"/>
      <c r="R1490" s="288"/>
      <c r="S1490" s="288"/>
      <c r="T1490" s="288"/>
      <c r="U1490" s="289"/>
      <c r="V1490" s="25"/>
      <c r="W1490" s="58"/>
      <c r="X1490" s="58"/>
      <c r="Y1490" s="25"/>
      <c r="Z1490" s="45">
        <v>6</v>
      </c>
      <c r="AA1490" s="65">
        <v>61</v>
      </c>
      <c r="AB1490" s="65">
        <v>72</v>
      </c>
      <c r="AC1490" s="25"/>
      <c r="AD1490" s="25"/>
      <c r="BA1490" s="226"/>
    </row>
    <row r="1491" spans="1:53" ht="15.75" customHeight="1" thickBot="1" x14ac:dyDescent="0.3">
      <c r="A1491" s="88"/>
      <c r="B1491" s="322" t="s">
        <v>260</v>
      </c>
      <c r="C1491" s="294" t="s">
        <v>261</v>
      </c>
      <c r="D1491" s="294" t="s">
        <v>262</v>
      </c>
      <c r="E1491" s="307" t="s">
        <v>263</v>
      </c>
      <c r="F1491" s="294" t="s">
        <v>264</v>
      </c>
      <c r="G1491" s="309" t="s">
        <v>265</v>
      </c>
      <c r="H1491" s="309" t="s">
        <v>266</v>
      </c>
      <c r="I1491" s="309" t="s">
        <v>267</v>
      </c>
      <c r="J1491" s="311" t="s">
        <v>268</v>
      </c>
      <c r="K1491" s="294" t="s">
        <v>269</v>
      </c>
      <c r="L1491" s="281" t="s">
        <v>270</v>
      </c>
      <c r="M1491" s="283" t="s">
        <v>271</v>
      </c>
      <c r="N1491" s="283"/>
      <c r="O1491" s="283"/>
      <c r="P1491" s="283"/>
      <c r="Q1491" s="283"/>
      <c r="R1491" s="283"/>
      <c r="S1491" s="283"/>
      <c r="T1491" s="283"/>
      <c r="U1491" s="284"/>
      <c r="V1491" s="107"/>
      <c r="W1491" s="72"/>
      <c r="X1491" s="72"/>
      <c r="Y1491" s="72"/>
      <c r="Z1491" s="45">
        <v>7</v>
      </c>
      <c r="AA1491" s="65">
        <v>73</v>
      </c>
      <c r="AB1491" s="65">
        <v>84</v>
      </c>
      <c r="AC1491" s="25"/>
      <c r="AD1491" s="25"/>
      <c r="BA1491" s="228"/>
    </row>
    <row r="1492" spans="1:53" ht="15.75" thickBot="1" x14ac:dyDescent="0.3">
      <c r="A1492" s="88"/>
      <c r="B1492" s="323"/>
      <c r="C1492" s="295"/>
      <c r="D1492" s="295"/>
      <c r="E1492" s="308"/>
      <c r="F1492" s="295"/>
      <c r="G1492" s="310"/>
      <c r="H1492" s="310"/>
      <c r="I1492" s="310"/>
      <c r="J1492" s="312"/>
      <c r="K1492" s="295"/>
      <c r="L1492" s="282"/>
      <c r="M1492" s="285"/>
      <c r="N1492" s="285"/>
      <c r="O1492" s="285"/>
      <c r="P1492" s="285"/>
      <c r="Q1492" s="285"/>
      <c r="R1492" s="285"/>
      <c r="S1492" s="285"/>
      <c r="T1492" s="285"/>
      <c r="U1492" s="28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9"/>
      <c r="N1493" s="279"/>
      <c r="O1493" s="279"/>
      <c r="P1493" s="279"/>
      <c r="Q1493" s="279"/>
      <c r="R1493" s="279"/>
      <c r="S1493" s="279"/>
      <c r="T1493" s="279"/>
      <c r="U1493" s="280"/>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9"/>
      <c r="N1494" s="279"/>
      <c r="O1494" s="279"/>
      <c r="P1494" s="279"/>
      <c r="Q1494" s="279"/>
      <c r="R1494" s="279"/>
      <c r="S1494" s="279"/>
      <c r="T1494" s="279"/>
      <c r="U1494" s="280"/>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9"/>
      <c r="N1495" s="279"/>
      <c r="O1495" s="279"/>
      <c r="P1495" s="279"/>
      <c r="Q1495" s="279"/>
      <c r="R1495" s="279"/>
      <c r="S1495" s="279"/>
      <c r="T1495" s="279"/>
      <c r="U1495" s="280"/>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9"/>
      <c r="N1496" s="279"/>
      <c r="O1496" s="279"/>
      <c r="P1496" s="279"/>
      <c r="Q1496" s="279"/>
      <c r="R1496" s="279"/>
      <c r="S1496" s="279"/>
      <c r="T1496" s="279"/>
      <c r="U1496" s="280"/>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9"/>
      <c r="N1497" s="279"/>
      <c r="O1497" s="279"/>
      <c r="P1497" s="279"/>
      <c r="Q1497" s="279"/>
      <c r="R1497" s="279"/>
      <c r="S1497" s="279"/>
      <c r="T1497" s="279"/>
      <c r="U1497" s="280"/>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9"/>
      <c r="N1498" s="279"/>
      <c r="O1498" s="279"/>
      <c r="P1498" s="279"/>
      <c r="Q1498" s="279"/>
      <c r="R1498" s="279"/>
      <c r="S1498" s="279"/>
      <c r="T1498" s="279"/>
      <c r="U1498" s="280"/>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9"/>
      <c r="N1499" s="279"/>
      <c r="O1499" s="279"/>
      <c r="P1499" s="279"/>
      <c r="Q1499" s="279"/>
      <c r="R1499" s="279"/>
      <c r="S1499" s="279"/>
      <c r="T1499" s="279"/>
      <c r="U1499" s="280"/>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9"/>
      <c r="N1500" s="279"/>
      <c r="O1500" s="279"/>
      <c r="P1500" s="279"/>
      <c r="Q1500" s="279"/>
      <c r="R1500" s="279"/>
      <c r="S1500" s="279"/>
      <c r="T1500" s="279"/>
      <c r="U1500" s="280"/>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9"/>
      <c r="N1501" s="279"/>
      <c r="O1501" s="279"/>
      <c r="P1501" s="279"/>
      <c r="Q1501" s="279"/>
      <c r="R1501" s="279"/>
      <c r="S1501" s="279"/>
      <c r="T1501" s="279"/>
      <c r="U1501" s="280"/>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9"/>
      <c r="N1502" s="279"/>
      <c r="O1502" s="279"/>
      <c r="P1502" s="279"/>
      <c r="Q1502" s="279"/>
      <c r="R1502" s="279"/>
      <c r="S1502" s="279"/>
      <c r="T1502" s="279"/>
      <c r="U1502" s="280"/>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9"/>
      <c r="N1503" s="279"/>
      <c r="O1503" s="279"/>
      <c r="P1503" s="279"/>
      <c r="Q1503" s="279"/>
      <c r="R1503" s="279"/>
      <c r="S1503" s="279"/>
      <c r="T1503" s="279"/>
      <c r="U1503" s="280"/>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9"/>
      <c r="N1504" s="279"/>
      <c r="O1504" s="279"/>
      <c r="P1504" s="279"/>
      <c r="Q1504" s="279"/>
      <c r="R1504" s="279"/>
      <c r="S1504" s="279"/>
      <c r="T1504" s="279"/>
      <c r="U1504" s="280"/>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9"/>
      <c r="N1505" s="279"/>
      <c r="O1505" s="279"/>
      <c r="P1505" s="279"/>
      <c r="Q1505" s="279"/>
      <c r="R1505" s="279"/>
      <c r="S1505" s="279"/>
      <c r="T1505" s="279"/>
      <c r="U1505" s="280"/>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9"/>
      <c r="N1506" s="279"/>
      <c r="O1506" s="279"/>
      <c r="P1506" s="279"/>
      <c r="Q1506" s="279"/>
      <c r="R1506" s="279"/>
      <c r="S1506" s="279"/>
      <c r="T1506" s="279"/>
      <c r="U1506" s="280"/>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9"/>
      <c r="N1507" s="279"/>
      <c r="O1507" s="279"/>
      <c r="P1507" s="279"/>
      <c r="Q1507" s="279"/>
      <c r="R1507" s="279"/>
      <c r="S1507" s="279"/>
      <c r="T1507" s="279"/>
      <c r="U1507" s="280"/>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9"/>
      <c r="N1508" s="279"/>
      <c r="O1508" s="279"/>
      <c r="P1508" s="279"/>
      <c r="Q1508" s="279"/>
      <c r="R1508" s="279"/>
      <c r="S1508" s="279"/>
      <c r="T1508" s="279"/>
      <c r="U1508" s="280"/>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9"/>
      <c r="N1509" s="279"/>
      <c r="O1509" s="279"/>
      <c r="P1509" s="279"/>
      <c r="Q1509" s="279"/>
      <c r="R1509" s="279"/>
      <c r="S1509" s="279"/>
      <c r="T1509" s="279"/>
      <c r="U1509" s="280"/>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9"/>
      <c r="N1510" s="279"/>
      <c r="O1510" s="279"/>
      <c r="P1510" s="279"/>
      <c r="Q1510" s="279"/>
      <c r="R1510" s="279"/>
      <c r="S1510" s="279"/>
      <c r="T1510" s="279"/>
      <c r="U1510" s="280"/>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9"/>
      <c r="N1511" s="279"/>
      <c r="O1511" s="279"/>
      <c r="P1511" s="279"/>
      <c r="Q1511" s="279"/>
      <c r="R1511" s="279"/>
      <c r="S1511" s="279"/>
      <c r="T1511" s="279"/>
      <c r="U1511" s="280"/>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9"/>
      <c r="N1512" s="279"/>
      <c r="O1512" s="279"/>
      <c r="P1512" s="279"/>
      <c r="Q1512" s="279"/>
      <c r="R1512" s="279"/>
      <c r="S1512" s="279"/>
      <c r="T1512" s="279"/>
      <c r="U1512" s="280"/>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9"/>
      <c r="N1513" s="279"/>
      <c r="O1513" s="279"/>
      <c r="P1513" s="279"/>
      <c r="Q1513" s="279"/>
      <c r="R1513" s="279"/>
      <c r="S1513" s="279"/>
      <c r="T1513" s="279"/>
      <c r="U1513" s="280"/>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9"/>
      <c r="N1514" s="279"/>
      <c r="O1514" s="279"/>
      <c r="P1514" s="279"/>
      <c r="Q1514" s="279"/>
      <c r="R1514" s="279"/>
      <c r="S1514" s="279"/>
      <c r="T1514" s="279"/>
      <c r="U1514" s="280"/>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9"/>
      <c r="N1515" s="279"/>
      <c r="O1515" s="279"/>
      <c r="P1515" s="279"/>
      <c r="Q1515" s="279"/>
      <c r="R1515" s="279"/>
      <c r="S1515" s="279"/>
      <c r="T1515" s="279"/>
      <c r="U1515" s="280"/>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9"/>
      <c r="N1516" s="279"/>
      <c r="O1516" s="279"/>
      <c r="P1516" s="279"/>
      <c r="Q1516" s="279"/>
      <c r="R1516" s="279"/>
      <c r="S1516" s="279"/>
      <c r="T1516" s="279"/>
      <c r="U1516" s="280"/>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9"/>
      <c r="N1517" s="279"/>
      <c r="O1517" s="279"/>
      <c r="P1517" s="279"/>
      <c r="Q1517" s="279"/>
      <c r="R1517" s="279"/>
      <c r="S1517" s="279"/>
      <c r="T1517" s="279"/>
      <c r="U1517" s="280"/>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0" t="s">
        <v>377</v>
      </c>
      <c r="C1518" s="321"/>
      <c r="D1518" s="79"/>
      <c r="E1518" s="80"/>
      <c r="F1518" s="80"/>
      <c r="G1518" s="81"/>
      <c r="H1518" s="192"/>
      <c r="I1518" s="192"/>
      <c r="J1518" s="192"/>
      <c r="K1518" s="82"/>
      <c r="L1518" s="320" t="s">
        <v>306</v>
      </c>
      <c r="M1518" s="331"/>
      <c r="N1518" s="331"/>
      <c r="O1518" s="331"/>
      <c r="P1518" s="331"/>
      <c r="Q1518" s="331"/>
      <c r="R1518" s="331"/>
      <c r="S1518" s="331"/>
      <c r="T1518" s="331"/>
      <c r="U1518" s="321"/>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0" t="s">
        <v>307</v>
      </c>
      <c r="C1519" s="321"/>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3" t="s">
        <v>222</v>
      </c>
      <c r="C1523" s="314"/>
      <c r="D1523" s="315" t="s">
        <v>223</v>
      </c>
      <c r="E1523" s="306"/>
      <c r="F1523" s="88"/>
      <c r="G1523" s="316" t="s">
        <v>224</v>
      </c>
      <c r="H1523" s="317"/>
      <c r="I1523" s="28">
        <f>SUM(E1534:E1558)</f>
        <v>0</v>
      </c>
      <c r="J1523" s="318" t="s">
        <v>225</v>
      </c>
      <c r="K1523" s="319"/>
      <c r="L1523" s="306"/>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6" t="s">
        <v>226</v>
      </c>
      <c r="AA1523" s="297"/>
      <c r="AB1523" s="298"/>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5" t="s">
        <v>230</v>
      </c>
      <c r="H1524" s="306"/>
      <c r="I1524" s="33">
        <f>E1525-I1523</f>
        <v>0</v>
      </c>
      <c r="J1524" s="290" t="s">
        <v>231</v>
      </c>
      <c r="K1524" s="291"/>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9" t="s">
        <v>232</v>
      </c>
      <c r="AA1524" s="301" t="s">
        <v>233</v>
      </c>
      <c r="AB1524" s="30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2" t="s">
        <v>237</v>
      </c>
      <c r="H1525" s="293"/>
      <c r="I1525" s="35">
        <f>IF(E1525=0,0,12-(MOD(I1523,12)))</f>
        <v>0</v>
      </c>
      <c r="J1525" s="290" t="s">
        <v>238</v>
      </c>
      <c r="K1525" s="291"/>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0"/>
      <c r="AA1525" s="303"/>
      <c r="AB1525" s="30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2" t="s">
        <v>242</v>
      </c>
      <c r="H1526" s="43" t="s">
        <v>243</v>
      </c>
      <c r="I1526" s="35">
        <f>IF(E1526&lt;&gt;0,1,0)</f>
        <v>0</v>
      </c>
      <c r="J1526" s="292" t="s">
        <v>244</v>
      </c>
      <c r="K1526" s="29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3"/>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2" t="s">
        <v>251</v>
      </c>
      <c r="H1528" s="51" t="s">
        <v>252</v>
      </c>
      <c r="I1528" s="112">
        <f>E1527</f>
        <v>0</v>
      </c>
      <c r="J1528" s="324" t="s">
        <v>253</v>
      </c>
      <c r="K1528" s="325"/>
      <c r="L1528" s="32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3"/>
      <c r="H1529" s="47" t="s">
        <v>257</v>
      </c>
      <c r="I1529" s="35" t="str">
        <f>IF(E1527="","0",IF(AND(E1524="EUC",E1525=432), I1528+(203-E1526),IF(E1527=0,0,(E1527+(E1525-E1526)-1))))</f>
        <v>0</v>
      </c>
      <c r="J1529" s="287" t="str">
        <f>IFERROR(IF(OR(E1524="EUC",E1524="SS"),"---",IF(OR(P1523,S1523),"NO 2F Tethers for RPX!",IF(OR(P1525,S1525),"NO 6F Tethers for RPX!","---"))),"---")</f>
        <v>---</v>
      </c>
      <c r="K1529" s="288"/>
      <c r="L1529" s="289"/>
      <c r="M1529" s="287" t="str">
        <f>IF(E1526&gt;60,"Dead Count &gt;60: Consider Downsize","---")</f>
        <v>---</v>
      </c>
      <c r="N1529" s="288"/>
      <c r="O1529" s="288"/>
      <c r="P1529" s="288"/>
      <c r="Q1529" s="288"/>
      <c r="R1529" s="288"/>
      <c r="S1529" s="288"/>
      <c r="T1529" s="288"/>
      <c r="U1529" s="289"/>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7"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8"/>
      <c r="L1530" s="289"/>
      <c r="M1530" s="287" t="str">
        <f>IF(AND(OR(E1524="SS",E1524="RPX",E1524="EUC",E1524="RPX-T"),(OR(C1534="",C1534="Field SPL"))),"Cannot have FlexNap cables without tethers","---")</f>
        <v>---</v>
      </c>
      <c r="N1530" s="288"/>
      <c r="O1530" s="288"/>
      <c r="P1530" s="288"/>
      <c r="Q1530" s="288"/>
      <c r="R1530" s="288"/>
      <c r="S1530" s="288"/>
      <c r="T1530" s="288"/>
      <c r="U1530" s="289"/>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7" t="str">
        <f>IF(AND(OR(E1524="RPX", E1524="RPX-T", E1524="SS"),E1525=216),"NO 216 For RPX, RPX-T, OR SS CABLE","---")</f>
        <v>---</v>
      </c>
      <c r="K1531" s="288"/>
      <c r="L1531" s="289"/>
      <c r="M1531" s="287" t="str" cm="1">
        <f t="array" ref="M1531">IF(AND(E1524="",OR(C1534:C1558="FST",C1534:C1558="REV T",C1534:C1558="DBL REV",C1534:C1558="TPL REV", C1534:C1558="QD REV")),"Non-FlexNap cables cannot have tethers","---")</f>
        <v>---</v>
      </c>
      <c r="N1531" s="288"/>
      <c r="O1531" s="288"/>
      <c r="P1531" s="288"/>
      <c r="Q1531" s="288"/>
      <c r="R1531" s="288"/>
      <c r="S1531" s="288"/>
      <c r="T1531" s="288"/>
      <c r="U1531" s="289"/>
      <c r="V1531" s="25"/>
      <c r="W1531" s="58"/>
      <c r="X1531" s="58"/>
      <c r="Y1531" s="25"/>
      <c r="Z1531" s="45">
        <v>6</v>
      </c>
      <c r="AA1531" s="65">
        <v>61</v>
      </c>
      <c r="AB1531" s="65">
        <v>72</v>
      </c>
      <c r="AC1531" s="25"/>
      <c r="AD1531" s="25"/>
      <c r="BA1531" s="226"/>
    </row>
    <row r="1532" spans="1:53" ht="15.75" customHeight="1" thickBot="1" x14ac:dyDescent="0.3">
      <c r="A1532" s="88"/>
      <c r="B1532" s="322" t="s">
        <v>260</v>
      </c>
      <c r="C1532" s="294" t="s">
        <v>261</v>
      </c>
      <c r="D1532" s="294" t="s">
        <v>262</v>
      </c>
      <c r="E1532" s="307" t="s">
        <v>263</v>
      </c>
      <c r="F1532" s="294" t="s">
        <v>264</v>
      </c>
      <c r="G1532" s="309" t="s">
        <v>265</v>
      </c>
      <c r="H1532" s="309" t="s">
        <v>266</v>
      </c>
      <c r="I1532" s="309" t="s">
        <v>267</v>
      </c>
      <c r="J1532" s="311" t="s">
        <v>268</v>
      </c>
      <c r="K1532" s="294" t="s">
        <v>269</v>
      </c>
      <c r="L1532" s="281" t="s">
        <v>270</v>
      </c>
      <c r="M1532" s="283" t="s">
        <v>271</v>
      </c>
      <c r="N1532" s="283"/>
      <c r="O1532" s="283"/>
      <c r="P1532" s="283"/>
      <c r="Q1532" s="283"/>
      <c r="R1532" s="283"/>
      <c r="S1532" s="283"/>
      <c r="T1532" s="283"/>
      <c r="U1532" s="284"/>
      <c r="V1532" s="107"/>
      <c r="W1532" s="72"/>
      <c r="X1532" s="72"/>
      <c r="Y1532" s="72"/>
      <c r="Z1532" s="45">
        <v>7</v>
      </c>
      <c r="AA1532" s="65">
        <v>73</v>
      </c>
      <c r="AB1532" s="65">
        <v>84</v>
      </c>
      <c r="AC1532" s="25"/>
      <c r="AD1532" s="25"/>
      <c r="BA1532" s="228"/>
    </row>
    <row r="1533" spans="1:53" ht="15.75" thickBot="1" x14ac:dyDescent="0.3">
      <c r="A1533" s="88"/>
      <c r="B1533" s="323"/>
      <c r="C1533" s="295"/>
      <c r="D1533" s="295"/>
      <c r="E1533" s="308"/>
      <c r="F1533" s="295"/>
      <c r="G1533" s="310"/>
      <c r="H1533" s="310"/>
      <c r="I1533" s="310"/>
      <c r="J1533" s="312"/>
      <c r="K1533" s="295"/>
      <c r="L1533" s="282"/>
      <c r="M1533" s="285"/>
      <c r="N1533" s="285"/>
      <c r="O1533" s="285"/>
      <c r="P1533" s="285"/>
      <c r="Q1533" s="285"/>
      <c r="R1533" s="285"/>
      <c r="S1533" s="285"/>
      <c r="T1533" s="285"/>
      <c r="U1533" s="28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9"/>
      <c r="N1534" s="279"/>
      <c r="O1534" s="279"/>
      <c r="P1534" s="279"/>
      <c r="Q1534" s="279"/>
      <c r="R1534" s="279"/>
      <c r="S1534" s="279"/>
      <c r="T1534" s="279"/>
      <c r="U1534" s="280"/>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9"/>
      <c r="N1535" s="279"/>
      <c r="O1535" s="279"/>
      <c r="P1535" s="279"/>
      <c r="Q1535" s="279"/>
      <c r="R1535" s="279"/>
      <c r="S1535" s="279"/>
      <c r="T1535" s="279"/>
      <c r="U1535" s="280"/>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9"/>
      <c r="N1536" s="279"/>
      <c r="O1536" s="279"/>
      <c r="P1536" s="279"/>
      <c r="Q1536" s="279"/>
      <c r="R1536" s="279"/>
      <c r="S1536" s="279"/>
      <c r="T1536" s="279"/>
      <c r="U1536" s="280"/>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9"/>
      <c r="N1537" s="279"/>
      <c r="O1537" s="279"/>
      <c r="P1537" s="279"/>
      <c r="Q1537" s="279"/>
      <c r="R1537" s="279"/>
      <c r="S1537" s="279"/>
      <c r="T1537" s="279"/>
      <c r="U1537" s="280"/>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9"/>
      <c r="N1538" s="279"/>
      <c r="O1538" s="279"/>
      <c r="P1538" s="279"/>
      <c r="Q1538" s="279"/>
      <c r="R1538" s="279"/>
      <c r="S1538" s="279"/>
      <c r="T1538" s="279"/>
      <c r="U1538" s="280"/>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9"/>
      <c r="N1539" s="279"/>
      <c r="O1539" s="279"/>
      <c r="P1539" s="279"/>
      <c r="Q1539" s="279"/>
      <c r="R1539" s="279"/>
      <c r="S1539" s="279"/>
      <c r="T1539" s="279"/>
      <c r="U1539" s="280"/>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9"/>
      <c r="N1540" s="279"/>
      <c r="O1540" s="279"/>
      <c r="P1540" s="279"/>
      <c r="Q1540" s="279"/>
      <c r="R1540" s="279"/>
      <c r="S1540" s="279"/>
      <c r="T1540" s="279"/>
      <c r="U1540" s="280"/>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9"/>
      <c r="N1541" s="279"/>
      <c r="O1541" s="279"/>
      <c r="P1541" s="279"/>
      <c r="Q1541" s="279"/>
      <c r="R1541" s="279"/>
      <c r="S1541" s="279"/>
      <c r="T1541" s="279"/>
      <c r="U1541" s="280"/>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9"/>
      <c r="N1542" s="279"/>
      <c r="O1542" s="279"/>
      <c r="P1542" s="279"/>
      <c r="Q1542" s="279"/>
      <c r="R1542" s="279"/>
      <c r="S1542" s="279"/>
      <c r="T1542" s="279"/>
      <c r="U1542" s="280"/>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9"/>
      <c r="N1543" s="279"/>
      <c r="O1543" s="279"/>
      <c r="P1543" s="279"/>
      <c r="Q1543" s="279"/>
      <c r="R1543" s="279"/>
      <c r="S1543" s="279"/>
      <c r="T1543" s="279"/>
      <c r="U1543" s="280"/>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9"/>
      <c r="N1544" s="279"/>
      <c r="O1544" s="279"/>
      <c r="P1544" s="279"/>
      <c r="Q1544" s="279"/>
      <c r="R1544" s="279"/>
      <c r="S1544" s="279"/>
      <c r="T1544" s="279"/>
      <c r="U1544" s="280"/>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9"/>
      <c r="N1545" s="279"/>
      <c r="O1545" s="279"/>
      <c r="P1545" s="279"/>
      <c r="Q1545" s="279"/>
      <c r="R1545" s="279"/>
      <c r="S1545" s="279"/>
      <c r="T1545" s="279"/>
      <c r="U1545" s="280"/>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9"/>
      <c r="N1546" s="279"/>
      <c r="O1546" s="279"/>
      <c r="P1546" s="279"/>
      <c r="Q1546" s="279"/>
      <c r="R1546" s="279"/>
      <c r="S1546" s="279"/>
      <c r="T1546" s="279"/>
      <c r="U1546" s="280"/>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9"/>
      <c r="N1547" s="279"/>
      <c r="O1547" s="279"/>
      <c r="P1547" s="279"/>
      <c r="Q1547" s="279"/>
      <c r="R1547" s="279"/>
      <c r="S1547" s="279"/>
      <c r="T1547" s="279"/>
      <c r="U1547" s="280"/>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9"/>
      <c r="N1548" s="279"/>
      <c r="O1548" s="279"/>
      <c r="P1548" s="279"/>
      <c r="Q1548" s="279"/>
      <c r="R1548" s="279"/>
      <c r="S1548" s="279"/>
      <c r="T1548" s="279"/>
      <c r="U1548" s="280"/>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9"/>
      <c r="N1549" s="279"/>
      <c r="O1549" s="279"/>
      <c r="P1549" s="279"/>
      <c r="Q1549" s="279"/>
      <c r="R1549" s="279"/>
      <c r="S1549" s="279"/>
      <c r="T1549" s="279"/>
      <c r="U1549" s="280"/>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9"/>
      <c r="N1550" s="279"/>
      <c r="O1550" s="279"/>
      <c r="P1550" s="279"/>
      <c r="Q1550" s="279"/>
      <c r="R1550" s="279"/>
      <c r="S1550" s="279"/>
      <c r="T1550" s="279"/>
      <c r="U1550" s="280"/>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9"/>
      <c r="N1551" s="279"/>
      <c r="O1551" s="279"/>
      <c r="P1551" s="279"/>
      <c r="Q1551" s="279"/>
      <c r="R1551" s="279"/>
      <c r="S1551" s="279"/>
      <c r="T1551" s="279"/>
      <c r="U1551" s="280"/>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9"/>
      <c r="N1552" s="279"/>
      <c r="O1552" s="279"/>
      <c r="P1552" s="279"/>
      <c r="Q1552" s="279"/>
      <c r="R1552" s="279"/>
      <c r="S1552" s="279"/>
      <c r="T1552" s="279"/>
      <c r="U1552" s="280"/>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9"/>
      <c r="N1553" s="279"/>
      <c r="O1553" s="279"/>
      <c r="P1553" s="279"/>
      <c r="Q1553" s="279"/>
      <c r="R1553" s="279"/>
      <c r="S1553" s="279"/>
      <c r="T1553" s="279"/>
      <c r="U1553" s="280"/>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9"/>
      <c r="N1554" s="279"/>
      <c r="O1554" s="279"/>
      <c r="P1554" s="279"/>
      <c r="Q1554" s="279"/>
      <c r="R1554" s="279"/>
      <c r="S1554" s="279"/>
      <c r="T1554" s="279"/>
      <c r="U1554" s="280"/>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9"/>
      <c r="N1555" s="279"/>
      <c r="O1555" s="279"/>
      <c r="P1555" s="279"/>
      <c r="Q1555" s="279"/>
      <c r="R1555" s="279"/>
      <c r="S1555" s="279"/>
      <c r="T1555" s="279"/>
      <c r="U1555" s="280"/>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9"/>
      <c r="N1556" s="279"/>
      <c r="O1556" s="279"/>
      <c r="P1556" s="279"/>
      <c r="Q1556" s="279"/>
      <c r="R1556" s="279"/>
      <c r="S1556" s="279"/>
      <c r="T1556" s="279"/>
      <c r="U1556" s="280"/>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9"/>
      <c r="N1557" s="279"/>
      <c r="O1557" s="279"/>
      <c r="P1557" s="279"/>
      <c r="Q1557" s="279"/>
      <c r="R1557" s="279"/>
      <c r="S1557" s="279"/>
      <c r="T1557" s="279"/>
      <c r="U1557" s="280"/>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9"/>
      <c r="N1558" s="279"/>
      <c r="O1558" s="279"/>
      <c r="P1558" s="279"/>
      <c r="Q1558" s="279"/>
      <c r="R1558" s="279"/>
      <c r="S1558" s="279"/>
      <c r="T1558" s="279"/>
      <c r="U1558" s="280"/>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0" t="s">
        <v>379</v>
      </c>
      <c r="C1559" s="321"/>
      <c r="D1559" s="79"/>
      <c r="E1559" s="80"/>
      <c r="F1559" s="80"/>
      <c r="G1559" s="81"/>
      <c r="H1559" s="192"/>
      <c r="I1559" s="192"/>
      <c r="J1559" s="192"/>
      <c r="K1559" s="82"/>
      <c r="L1559" s="320" t="s">
        <v>306</v>
      </c>
      <c r="M1559" s="331"/>
      <c r="N1559" s="331"/>
      <c r="O1559" s="331"/>
      <c r="P1559" s="331"/>
      <c r="Q1559" s="331"/>
      <c r="R1559" s="331"/>
      <c r="S1559" s="331"/>
      <c r="T1559" s="331"/>
      <c r="U1559" s="321"/>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0" t="s">
        <v>307</v>
      </c>
      <c r="C1560" s="321"/>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3" t="s">
        <v>222</v>
      </c>
      <c r="C1564" s="314"/>
      <c r="D1564" s="315" t="s">
        <v>223</v>
      </c>
      <c r="E1564" s="306"/>
      <c r="F1564" s="88"/>
      <c r="G1564" s="316" t="s">
        <v>224</v>
      </c>
      <c r="H1564" s="317"/>
      <c r="I1564" s="28">
        <f>SUM(E1575:E1599)</f>
        <v>0</v>
      </c>
      <c r="J1564" s="318" t="s">
        <v>225</v>
      </c>
      <c r="K1564" s="319"/>
      <c r="L1564" s="306"/>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6" t="s">
        <v>226</v>
      </c>
      <c r="AA1564" s="297"/>
      <c r="AB1564" s="298"/>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5" t="s">
        <v>230</v>
      </c>
      <c r="H1565" s="306"/>
      <c r="I1565" s="33">
        <f>E1566-I1564</f>
        <v>0</v>
      </c>
      <c r="J1565" s="290" t="s">
        <v>231</v>
      </c>
      <c r="K1565" s="291"/>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9" t="s">
        <v>232</v>
      </c>
      <c r="AA1565" s="301" t="s">
        <v>233</v>
      </c>
      <c r="AB1565" s="30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2" t="s">
        <v>237</v>
      </c>
      <c r="H1566" s="293"/>
      <c r="I1566" s="35">
        <f>IF(E1566=0,0,12-(MOD(I1564,12)))</f>
        <v>0</v>
      </c>
      <c r="J1566" s="290" t="s">
        <v>238</v>
      </c>
      <c r="K1566" s="291"/>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0"/>
      <c r="AA1566" s="303"/>
      <c r="AB1566" s="30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2" t="s">
        <v>242</v>
      </c>
      <c r="H1567" s="43" t="s">
        <v>243</v>
      </c>
      <c r="I1567" s="35">
        <f>IF(E1567&lt;&gt;0,1,0)</f>
        <v>0</v>
      </c>
      <c r="J1567" s="292" t="s">
        <v>244</v>
      </c>
      <c r="K1567" s="29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3"/>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2" t="s">
        <v>251</v>
      </c>
      <c r="H1569" s="51" t="s">
        <v>252</v>
      </c>
      <c r="I1569" s="112">
        <f>E1568</f>
        <v>0</v>
      </c>
      <c r="J1569" s="324" t="s">
        <v>253</v>
      </c>
      <c r="K1569" s="325"/>
      <c r="L1569" s="32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3"/>
      <c r="H1570" s="47" t="s">
        <v>257</v>
      </c>
      <c r="I1570" s="35" t="str">
        <f>IF(E1568="","0",IF(AND(E1565="EUC",E1566=432), I1569+(203-E1567),IF(E1568=0,0,(E1568+(E1566-E1567)-1))))</f>
        <v>0</v>
      </c>
      <c r="J1570" s="287" t="str">
        <f>IFERROR(IF(OR(E1565="EUC",E1565="SS"),"---",IF(OR(P1564,S1564),"NO 2F Tethers for RPX!",IF(OR(P1566,S1566),"NO 6F Tethers for RPX!","---"))),"---")</f>
        <v>---</v>
      </c>
      <c r="K1570" s="288"/>
      <c r="L1570" s="289"/>
      <c r="M1570" s="287" t="str">
        <f>IF(E1567&gt;60,"Dead Count &gt;60: Consider Downsize","---")</f>
        <v>---</v>
      </c>
      <c r="N1570" s="288"/>
      <c r="O1570" s="288"/>
      <c r="P1570" s="288"/>
      <c r="Q1570" s="288"/>
      <c r="R1570" s="288"/>
      <c r="S1570" s="288"/>
      <c r="T1570" s="288"/>
      <c r="U1570" s="289"/>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7"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8"/>
      <c r="L1571" s="289"/>
      <c r="M1571" s="287" t="str">
        <f>IF(AND(OR(E1565="SS",E1565="RPX",E1565="EUC",E1565="RPX-T"),(OR(C1575="",C1575="Field SPL"))),"Cannot have FlexNap cables without tethers","---")</f>
        <v>---</v>
      </c>
      <c r="N1571" s="288"/>
      <c r="O1571" s="288"/>
      <c r="P1571" s="288"/>
      <c r="Q1571" s="288"/>
      <c r="R1571" s="288"/>
      <c r="S1571" s="288"/>
      <c r="T1571" s="288"/>
      <c r="U1571" s="289"/>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7" t="str">
        <f>IF(AND(OR(E1565="RPX", E1565="RPX-T", E1565="SS"),E1566=216),"NO 216 For RPX, RPX-T, OR SS CABLE","---")</f>
        <v>---</v>
      </c>
      <c r="K1572" s="288"/>
      <c r="L1572" s="289"/>
      <c r="M1572" s="287" t="str" cm="1">
        <f t="array" ref="M1572">IF(AND(E1565="",OR(C1575:C1599="FST",C1575:C1599="REV T",C1575:C1599="DBL REV",C1575:C1599="TPL REV", C1575:C1599="QD REV")),"Non-FlexNap cables cannot have tethers","---")</f>
        <v>---</v>
      </c>
      <c r="N1572" s="288"/>
      <c r="O1572" s="288"/>
      <c r="P1572" s="288"/>
      <c r="Q1572" s="288"/>
      <c r="R1572" s="288"/>
      <c r="S1572" s="288"/>
      <c r="T1572" s="288"/>
      <c r="U1572" s="289"/>
      <c r="V1572" s="25"/>
      <c r="W1572" s="58"/>
      <c r="X1572" s="58"/>
      <c r="Y1572" s="25"/>
      <c r="Z1572" s="45">
        <v>6</v>
      </c>
      <c r="AA1572" s="65">
        <v>61</v>
      </c>
      <c r="AB1572" s="65">
        <v>72</v>
      </c>
      <c r="AC1572" s="25"/>
      <c r="AD1572" s="25"/>
      <c r="BA1572" s="226"/>
    </row>
    <row r="1573" spans="1:53" ht="15.75" customHeight="1" thickBot="1" x14ac:dyDescent="0.3">
      <c r="A1573" s="88"/>
      <c r="B1573" s="322" t="s">
        <v>260</v>
      </c>
      <c r="C1573" s="294" t="s">
        <v>261</v>
      </c>
      <c r="D1573" s="294" t="s">
        <v>262</v>
      </c>
      <c r="E1573" s="307" t="s">
        <v>263</v>
      </c>
      <c r="F1573" s="294" t="s">
        <v>264</v>
      </c>
      <c r="G1573" s="309" t="s">
        <v>265</v>
      </c>
      <c r="H1573" s="309" t="s">
        <v>266</v>
      </c>
      <c r="I1573" s="309" t="s">
        <v>267</v>
      </c>
      <c r="J1573" s="311" t="s">
        <v>268</v>
      </c>
      <c r="K1573" s="294" t="s">
        <v>269</v>
      </c>
      <c r="L1573" s="281" t="s">
        <v>270</v>
      </c>
      <c r="M1573" s="283" t="s">
        <v>271</v>
      </c>
      <c r="N1573" s="283"/>
      <c r="O1573" s="283"/>
      <c r="P1573" s="283"/>
      <c r="Q1573" s="283"/>
      <c r="R1573" s="283"/>
      <c r="S1573" s="283"/>
      <c r="T1573" s="283"/>
      <c r="U1573" s="284"/>
      <c r="V1573" s="107"/>
      <c r="W1573" s="72"/>
      <c r="X1573" s="72"/>
      <c r="Y1573" s="72"/>
      <c r="Z1573" s="45">
        <v>7</v>
      </c>
      <c r="AA1573" s="65">
        <v>73</v>
      </c>
      <c r="AB1573" s="65">
        <v>84</v>
      </c>
      <c r="AC1573" s="25"/>
      <c r="AD1573" s="25"/>
      <c r="BA1573" s="228"/>
    </row>
    <row r="1574" spans="1:53" ht="15.75" thickBot="1" x14ac:dyDescent="0.3">
      <c r="A1574" s="88"/>
      <c r="B1574" s="323"/>
      <c r="C1574" s="295"/>
      <c r="D1574" s="295"/>
      <c r="E1574" s="308"/>
      <c r="F1574" s="295"/>
      <c r="G1574" s="310"/>
      <c r="H1574" s="310"/>
      <c r="I1574" s="310"/>
      <c r="J1574" s="312"/>
      <c r="K1574" s="295"/>
      <c r="L1574" s="282"/>
      <c r="M1574" s="285"/>
      <c r="N1574" s="285"/>
      <c r="O1574" s="285"/>
      <c r="P1574" s="285"/>
      <c r="Q1574" s="285"/>
      <c r="R1574" s="285"/>
      <c r="S1574" s="285"/>
      <c r="T1574" s="285"/>
      <c r="U1574" s="28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9"/>
      <c r="N1575" s="279"/>
      <c r="O1575" s="279"/>
      <c r="P1575" s="279"/>
      <c r="Q1575" s="279"/>
      <c r="R1575" s="279"/>
      <c r="S1575" s="279"/>
      <c r="T1575" s="279"/>
      <c r="U1575" s="280"/>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9"/>
      <c r="N1576" s="279"/>
      <c r="O1576" s="279"/>
      <c r="P1576" s="279"/>
      <c r="Q1576" s="279"/>
      <c r="R1576" s="279"/>
      <c r="S1576" s="279"/>
      <c r="T1576" s="279"/>
      <c r="U1576" s="280"/>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9"/>
      <c r="N1577" s="279"/>
      <c r="O1577" s="279"/>
      <c r="P1577" s="279"/>
      <c r="Q1577" s="279"/>
      <c r="R1577" s="279"/>
      <c r="S1577" s="279"/>
      <c r="T1577" s="279"/>
      <c r="U1577" s="280"/>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9"/>
      <c r="N1578" s="279"/>
      <c r="O1578" s="279"/>
      <c r="P1578" s="279"/>
      <c r="Q1578" s="279"/>
      <c r="R1578" s="279"/>
      <c r="S1578" s="279"/>
      <c r="T1578" s="279"/>
      <c r="U1578" s="280"/>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9"/>
      <c r="N1579" s="279"/>
      <c r="O1579" s="279"/>
      <c r="P1579" s="279"/>
      <c r="Q1579" s="279"/>
      <c r="R1579" s="279"/>
      <c r="S1579" s="279"/>
      <c r="T1579" s="279"/>
      <c r="U1579" s="280"/>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9"/>
      <c r="N1580" s="279"/>
      <c r="O1580" s="279"/>
      <c r="P1580" s="279"/>
      <c r="Q1580" s="279"/>
      <c r="R1580" s="279"/>
      <c r="S1580" s="279"/>
      <c r="T1580" s="279"/>
      <c r="U1580" s="280"/>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9"/>
      <c r="N1581" s="279"/>
      <c r="O1581" s="279"/>
      <c r="P1581" s="279"/>
      <c r="Q1581" s="279"/>
      <c r="R1581" s="279"/>
      <c r="S1581" s="279"/>
      <c r="T1581" s="279"/>
      <c r="U1581" s="280"/>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9"/>
      <c r="N1582" s="279"/>
      <c r="O1582" s="279"/>
      <c r="P1582" s="279"/>
      <c r="Q1582" s="279"/>
      <c r="R1582" s="279"/>
      <c r="S1582" s="279"/>
      <c r="T1582" s="279"/>
      <c r="U1582" s="280"/>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9"/>
      <c r="N1583" s="279"/>
      <c r="O1583" s="279"/>
      <c r="P1583" s="279"/>
      <c r="Q1583" s="279"/>
      <c r="R1583" s="279"/>
      <c r="S1583" s="279"/>
      <c r="T1583" s="279"/>
      <c r="U1583" s="280"/>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9"/>
      <c r="N1584" s="279"/>
      <c r="O1584" s="279"/>
      <c r="P1584" s="279"/>
      <c r="Q1584" s="279"/>
      <c r="R1584" s="279"/>
      <c r="S1584" s="279"/>
      <c r="T1584" s="279"/>
      <c r="U1584" s="280"/>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9"/>
      <c r="N1585" s="279"/>
      <c r="O1585" s="279"/>
      <c r="P1585" s="279"/>
      <c r="Q1585" s="279"/>
      <c r="R1585" s="279"/>
      <c r="S1585" s="279"/>
      <c r="T1585" s="279"/>
      <c r="U1585" s="280"/>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9"/>
      <c r="N1586" s="279"/>
      <c r="O1586" s="279"/>
      <c r="P1586" s="279"/>
      <c r="Q1586" s="279"/>
      <c r="R1586" s="279"/>
      <c r="S1586" s="279"/>
      <c r="T1586" s="279"/>
      <c r="U1586" s="280"/>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9"/>
      <c r="N1587" s="279"/>
      <c r="O1587" s="279"/>
      <c r="P1587" s="279"/>
      <c r="Q1587" s="279"/>
      <c r="R1587" s="279"/>
      <c r="S1587" s="279"/>
      <c r="T1587" s="279"/>
      <c r="U1587" s="280"/>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9"/>
      <c r="N1588" s="279"/>
      <c r="O1588" s="279"/>
      <c r="P1588" s="279"/>
      <c r="Q1588" s="279"/>
      <c r="R1588" s="279"/>
      <c r="S1588" s="279"/>
      <c r="T1588" s="279"/>
      <c r="U1588" s="280"/>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9"/>
      <c r="N1589" s="279"/>
      <c r="O1589" s="279"/>
      <c r="P1589" s="279"/>
      <c r="Q1589" s="279"/>
      <c r="R1589" s="279"/>
      <c r="S1589" s="279"/>
      <c r="T1589" s="279"/>
      <c r="U1589" s="280"/>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9"/>
      <c r="N1590" s="279"/>
      <c r="O1590" s="279"/>
      <c r="P1590" s="279"/>
      <c r="Q1590" s="279"/>
      <c r="R1590" s="279"/>
      <c r="S1590" s="279"/>
      <c r="T1590" s="279"/>
      <c r="U1590" s="280"/>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9"/>
      <c r="N1591" s="279"/>
      <c r="O1591" s="279"/>
      <c r="P1591" s="279"/>
      <c r="Q1591" s="279"/>
      <c r="R1591" s="279"/>
      <c r="S1591" s="279"/>
      <c r="T1591" s="279"/>
      <c r="U1591" s="280"/>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9"/>
      <c r="N1592" s="279"/>
      <c r="O1592" s="279"/>
      <c r="P1592" s="279"/>
      <c r="Q1592" s="279"/>
      <c r="R1592" s="279"/>
      <c r="S1592" s="279"/>
      <c r="T1592" s="279"/>
      <c r="U1592" s="280"/>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9"/>
      <c r="N1593" s="279"/>
      <c r="O1593" s="279"/>
      <c r="P1593" s="279"/>
      <c r="Q1593" s="279"/>
      <c r="R1593" s="279"/>
      <c r="S1593" s="279"/>
      <c r="T1593" s="279"/>
      <c r="U1593" s="280"/>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9"/>
      <c r="N1594" s="279"/>
      <c r="O1594" s="279"/>
      <c r="P1594" s="279"/>
      <c r="Q1594" s="279"/>
      <c r="R1594" s="279"/>
      <c r="S1594" s="279"/>
      <c r="T1594" s="279"/>
      <c r="U1594" s="280"/>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9"/>
      <c r="N1595" s="279"/>
      <c r="O1595" s="279"/>
      <c r="P1595" s="279"/>
      <c r="Q1595" s="279"/>
      <c r="R1595" s="279"/>
      <c r="S1595" s="279"/>
      <c r="T1595" s="279"/>
      <c r="U1595" s="280"/>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9"/>
      <c r="N1596" s="279"/>
      <c r="O1596" s="279"/>
      <c r="P1596" s="279"/>
      <c r="Q1596" s="279"/>
      <c r="R1596" s="279"/>
      <c r="S1596" s="279"/>
      <c r="T1596" s="279"/>
      <c r="U1596" s="280"/>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9"/>
      <c r="N1597" s="279"/>
      <c r="O1597" s="279"/>
      <c r="P1597" s="279"/>
      <c r="Q1597" s="279"/>
      <c r="R1597" s="279"/>
      <c r="S1597" s="279"/>
      <c r="T1597" s="279"/>
      <c r="U1597" s="280"/>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9"/>
      <c r="N1598" s="279"/>
      <c r="O1598" s="279"/>
      <c r="P1598" s="279"/>
      <c r="Q1598" s="279"/>
      <c r="R1598" s="279"/>
      <c r="S1598" s="279"/>
      <c r="T1598" s="279"/>
      <c r="U1598" s="280"/>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9"/>
      <c r="N1599" s="279"/>
      <c r="O1599" s="279"/>
      <c r="P1599" s="279"/>
      <c r="Q1599" s="279"/>
      <c r="R1599" s="279"/>
      <c r="S1599" s="279"/>
      <c r="T1599" s="279"/>
      <c r="U1599" s="280"/>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0" t="s">
        <v>381</v>
      </c>
      <c r="C1600" s="321"/>
      <c r="D1600" s="79"/>
      <c r="E1600" s="80"/>
      <c r="F1600" s="80"/>
      <c r="G1600" s="81"/>
      <c r="H1600" s="192"/>
      <c r="I1600" s="192"/>
      <c r="J1600" s="192"/>
      <c r="K1600" s="82"/>
      <c r="L1600" s="320" t="s">
        <v>306</v>
      </c>
      <c r="M1600" s="331"/>
      <c r="N1600" s="331"/>
      <c r="O1600" s="331"/>
      <c r="P1600" s="331"/>
      <c r="Q1600" s="331"/>
      <c r="R1600" s="331"/>
      <c r="S1600" s="331"/>
      <c r="T1600" s="331"/>
      <c r="U1600" s="321"/>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0" t="s">
        <v>307</v>
      </c>
      <c r="C1601" s="321"/>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3" t="s">
        <v>222</v>
      </c>
      <c r="C1605" s="314"/>
      <c r="D1605" s="315" t="s">
        <v>223</v>
      </c>
      <c r="E1605" s="306"/>
      <c r="F1605" s="88"/>
      <c r="G1605" s="316" t="s">
        <v>224</v>
      </c>
      <c r="H1605" s="317"/>
      <c r="I1605" s="28">
        <f>SUM(E1616:E1640)</f>
        <v>0</v>
      </c>
      <c r="J1605" s="318" t="s">
        <v>225</v>
      </c>
      <c r="K1605" s="319"/>
      <c r="L1605" s="306"/>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6" t="s">
        <v>226</v>
      </c>
      <c r="AA1605" s="297"/>
      <c r="AB1605" s="298"/>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5" t="s">
        <v>230</v>
      </c>
      <c r="H1606" s="306"/>
      <c r="I1606" s="33">
        <f>E1607-I1605</f>
        <v>0</v>
      </c>
      <c r="J1606" s="290" t="s">
        <v>231</v>
      </c>
      <c r="K1606" s="291"/>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9" t="s">
        <v>232</v>
      </c>
      <c r="AA1606" s="301" t="s">
        <v>233</v>
      </c>
      <c r="AB1606" s="30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2" t="s">
        <v>237</v>
      </c>
      <c r="H1607" s="293"/>
      <c r="I1607" s="35">
        <f>IF(E1607=0,0,12-(MOD(I1605,12)))</f>
        <v>0</v>
      </c>
      <c r="J1607" s="290" t="s">
        <v>238</v>
      </c>
      <c r="K1607" s="291"/>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0"/>
      <c r="AA1607" s="303"/>
      <c r="AB1607" s="30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2" t="s">
        <v>242</v>
      </c>
      <c r="H1608" s="43" t="s">
        <v>243</v>
      </c>
      <c r="I1608" s="35">
        <f>IF(E1608&lt;&gt;0,1,0)</f>
        <v>0</v>
      </c>
      <c r="J1608" s="292" t="s">
        <v>244</v>
      </c>
      <c r="K1608" s="29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3"/>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2" t="s">
        <v>251</v>
      </c>
      <c r="H1610" s="51" t="s">
        <v>252</v>
      </c>
      <c r="I1610" s="112">
        <f>E1609</f>
        <v>0</v>
      </c>
      <c r="J1610" s="324" t="s">
        <v>253</v>
      </c>
      <c r="K1610" s="325"/>
      <c r="L1610" s="32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3"/>
      <c r="H1611" s="47" t="s">
        <v>257</v>
      </c>
      <c r="I1611" s="35" t="str">
        <f>IF(E1609="","0",IF(AND(E1606="EUC",E1607=432), I1610+(203-E1608),IF(E1609=0,0,(E1609+(E1607-E1608)-1))))</f>
        <v>0</v>
      </c>
      <c r="J1611" s="287" t="str">
        <f>IFERROR(IF(OR(E1606="EUC",E1606="SS"),"---",IF(OR(P1605,S1605),"NO 2F Tethers for RPX!",IF(OR(P1607,S1607),"NO 6F Tethers for RPX!","---"))),"---")</f>
        <v>---</v>
      </c>
      <c r="K1611" s="288"/>
      <c r="L1611" s="289"/>
      <c r="M1611" s="287" t="str">
        <f>IF(E1608&gt;60,"Dead Count &gt;60: Consider Downsize","---")</f>
        <v>---</v>
      </c>
      <c r="N1611" s="288"/>
      <c r="O1611" s="288"/>
      <c r="P1611" s="288"/>
      <c r="Q1611" s="288"/>
      <c r="R1611" s="288"/>
      <c r="S1611" s="288"/>
      <c r="T1611" s="288"/>
      <c r="U1611" s="289"/>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7"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8"/>
      <c r="L1612" s="289"/>
      <c r="M1612" s="287" t="str">
        <f>IF(AND(OR(E1606="SS",E1606="RPX",E1606="EUC",E1606="RPX-T"),(OR(C1616="",C1616="Field SPL"))),"Cannot have FlexNap cables without tethers","---")</f>
        <v>---</v>
      </c>
      <c r="N1612" s="288"/>
      <c r="O1612" s="288"/>
      <c r="P1612" s="288"/>
      <c r="Q1612" s="288"/>
      <c r="R1612" s="288"/>
      <c r="S1612" s="288"/>
      <c r="T1612" s="288"/>
      <c r="U1612" s="289"/>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7" t="str">
        <f>IF(AND(OR(E1606="RPX", E1606="RPX-T", E1606="SS"),E1607=216),"NO 216 For RPX, RPX-T, OR SS CABLE","---")</f>
        <v>---</v>
      </c>
      <c r="K1613" s="288"/>
      <c r="L1613" s="289"/>
      <c r="M1613" s="287" t="str" cm="1">
        <f t="array" ref="M1613">IF(AND(E1606="",OR(C1616:C1640="FST",C1616:C1640="REV T",C1616:C1640="DBL REV",C1616:C1640="TPL REV", C1616:C1640="QD REV")),"Non-FlexNap cables cannot have tethers","---")</f>
        <v>---</v>
      </c>
      <c r="N1613" s="288"/>
      <c r="O1613" s="288"/>
      <c r="P1613" s="288"/>
      <c r="Q1613" s="288"/>
      <c r="R1613" s="288"/>
      <c r="S1613" s="288"/>
      <c r="T1613" s="288"/>
      <c r="U1613" s="289"/>
      <c r="V1613" s="25"/>
      <c r="W1613" s="58"/>
      <c r="X1613" s="58"/>
      <c r="Y1613" s="25"/>
      <c r="Z1613" s="45">
        <v>6</v>
      </c>
      <c r="AA1613" s="65">
        <v>61</v>
      </c>
      <c r="AB1613" s="65">
        <v>72</v>
      </c>
      <c r="AC1613" s="25"/>
      <c r="AD1613" s="25"/>
      <c r="BA1613" s="226"/>
    </row>
    <row r="1614" spans="1:53" ht="15.75" customHeight="1" thickBot="1" x14ac:dyDescent="0.3">
      <c r="A1614" s="88"/>
      <c r="B1614" s="322" t="s">
        <v>260</v>
      </c>
      <c r="C1614" s="294" t="s">
        <v>261</v>
      </c>
      <c r="D1614" s="294" t="s">
        <v>262</v>
      </c>
      <c r="E1614" s="307" t="s">
        <v>263</v>
      </c>
      <c r="F1614" s="294" t="s">
        <v>264</v>
      </c>
      <c r="G1614" s="309" t="s">
        <v>265</v>
      </c>
      <c r="H1614" s="309" t="s">
        <v>266</v>
      </c>
      <c r="I1614" s="309" t="s">
        <v>267</v>
      </c>
      <c r="J1614" s="311" t="s">
        <v>268</v>
      </c>
      <c r="K1614" s="294" t="s">
        <v>269</v>
      </c>
      <c r="L1614" s="281" t="s">
        <v>270</v>
      </c>
      <c r="M1614" s="283" t="s">
        <v>271</v>
      </c>
      <c r="N1614" s="283"/>
      <c r="O1614" s="283"/>
      <c r="P1614" s="283"/>
      <c r="Q1614" s="283"/>
      <c r="R1614" s="283"/>
      <c r="S1614" s="283"/>
      <c r="T1614" s="283"/>
      <c r="U1614" s="284"/>
      <c r="V1614" s="107"/>
      <c r="W1614" s="72"/>
      <c r="X1614" s="72"/>
      <c r="Y1614" s="72"/>
      <c r="Z1614" s="45">
        <v>7</v>
      </c>
      <c r="AA1614" s="65">
        <v>73</v>
      </c>
      <c r="AB1614" s="65">
        <v>84</v>
      </c>
      <c r="AC1614" s="25"/>
      <c r="AD1614" s="25"/>
      <c r="BA1614" s="228"/>
    </row>
    <row r="1615" spans="1:53" ht="15.75" thickBot="1" x14ac:dyDescent="0.3">
      <c r="A1615" s="88"/>
      <c r="B1615" s="323"/>
      <c r="C1615" s="295"/>
      <c r="D1615" s="295"/>
      <c r="E1615" s="308"/>
      <c r="F1615" s="295"/>
      <c r="G1615" s="310"/>
      <c r="H1615" s="310"/>
      <c r="I1615" s="310"/>
      <c r="J1615" s="312"/>
      <c r="K1615" s="295"/>
      <c r="L1615" s="282"/>
      <c r="M1615" s="285"/>
      <c r="N1615" s="285"/>
      <c r="O1615" s="285"/>
      <c r="P1615" s="285"/>
      <c r="Q1615" s="285"/>
      <c r="R1615" s="285"/>
      <c r="S1615" s="285"/>
      <c r="T1615" s="285"/>
      <c r="U1615" s="28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9"/>
      <c r="N1616" s="279"/>
      <c r="O1616" s="279"/>
      <c r="P1616" s="279"/>
      <c r="Q1616" s="279"/>
      <c r="R1616" s="279"/>
      <c r="S1616" s="279"/>
      <c r="T1616" s="279"/>
      <c r="U1616" s="280"/>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9"/>
      <c r="N1617" s="279"/>
      <c r="O1617" s="279"/>
      <c r="P1617" s="279"/>
      <c r="Q1617" s="279"/>
      <c r="R1617" s="279"/>
      <c r="S1617" s="279"/>
      <c r="T1617" s="279"/>
      <c r="U1617" s="280"/>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9"/>
      <c r="N1618" s="279"/>
      <c r="O1618" s="279"/>
      <c r="P1618" s="279"/>
      <c r="Q1618" s="279"/>
      <c r="R1618" s="279"/>
      <c r="S1618" s="279"/>
      <c r="T1618" s="279"/>
      <c r="U1618" s="280"/>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9"/>
      <c r="N1619" s="279"/>
      <c r="O1619" s="279"/>
      <c r="P1619" s="279"/>
      <c r="Q1619" s="279"/>
      <c r="R1619" s="279"/>
      <c r="S1619" s="279"/>
      <c r="T1619" s="279"/>
      <c r="U1619" s="280"/>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9"/>
      <c r="N1620" s="279"/>
      <c r="O1620" s="279"/>
      <c r="P1620" s="279"/>
      <c r="Q1620" s="279"/>
      <c r="R1620" s="279"/>
      <c r="S1620" s="279"/>
      <c r="T1620" s="279"/>
      <c r="U1620" s="280"/>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9"/>
      <c r="N1621" s="279"/>
      <c r="O1621" s="279"/>
      <c r="P1621" s="279"/>
      <c r="Q1621" s="279"/>
      <c r="R1621" s="279"/>
      <c r="S1621" s="279"/>
      <c r="T1621" s="279"/>
      <c r="U1621" s="280"/>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9"/>
      <c r="N1622" s="279"/>
      <c r="O1622" s="279"/>
      <c r="P1622" s="279"/>
      <c r="Q1622" s="279"/>
      <c r="R1622" s="279"/>
      <c r="S1622" s="279"/>
      <c r="T1622" s="279"/>
      <c r="U1622" s="280"/>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9"/>
      <c r="N1623" s="279"/>
      <c r="O1623" s="279"/>
      <c r="P1623" s="279"/>
      <c r="Q1623" s="279"/>
      <c r="R1623" s="279"/>
      <c r="S1623" s="279"/>
      <c r="T1623" s="279"/>
      <c r="U1623" s="280"/>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9"/>
      <c r="N1624" s="279"/>
      <c r="O1624" s="279"/>
      <c r="P1624" s="279"/>
      <c r="Q1624" s="279"/>
      <c r="R1624" s="279"/>
      <c r="S1624" s="279"/>
      <c r="T1624" s="279"/>
      <c r="U1624" s="280"/>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9"/>
      <c r="N1625" s="279"/>
      <c r="O1625" s="279"/>
      <c r="P1625" s="279"/>
      <c r="Q1625" s="279"/>
      <c r="R1625" s="279"/>
      <c r="S1625" s="279"/>
      <c r="T1625" s="279"/>
      <c r="U1625" s="280"/>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9"/>
      <c r="N1626" s="279"/>
      <c r="O1626" s="279"/>
      <c r="P1626" s="279"/>
      <c r="Q1626" s="279"/>
      <c r="R1626" s="279"/>
      <c r="S1626" s="279"/>
      <c r="T1626" s="279"/>
      <c r="U1626" s="280"/>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9"/>
      <c r="N1627" s="279"/>
      <c r="O1627" s="279"/>
      <c r="P1627" s="279"/>
      <c r="Q1627" s="279"/>
      <c r="R1627" s="279"/>
      <c r="S1627" s="279"/>
      <c r="T1627" s="279"/>
      <c r="U1627" s="280"/>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9"/>
      <c r="N1628" s="279"/>
      <c r="O1628" s="279"/>
      <c r="P1628" s="279"/>
      <c r="Q1628" s="279"/>
      <c r="R1628" s="279"/>
      <c r="S1628" s="279"/>
      <c r="T1628" s="279"/>
      <c r="U1628" s="280"/>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9"/>
      <c r="N1629" s="279"/>
      <c r="O1629" s="279"/>
      <c r="P1629" s="279"/>
      <c r="Q1629" s="279"/>
      <c r="R1629" s="279"/>
      <c r="S1629" s="279"/>
      <c r="T1629" s="279"/>
      <c r="U1629" s="280"/>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9"/>
      <c r="N1630" s="279"/>
      <c r="O1630" s="279"/>
      <c r="P1630" s="279"/>
      <c r="Q1630" s="279"/>
      <c r="R1630" s="279"/>
      <c r="S1630" s="279"/>
      <c r="T1630" s="279"/>
      <c r="U1630" s="280"/>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9"/>
      <c r="N1631" s="279"/>
      <c r="O1631" s="279"/>
      <c r="P1631" s="279"/>
      <c r="Q1631" s="279"/>
      <c r="R1631" s="279"/>
      <c r="S1631" s="279"/>
      <c r="T1631" s="279"/>
      <c r="U1631" s="280"/>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9"/>
      <c r="N1632" s="279"/>
      <c r="O1632" s="279"/>
      <c r="P1632" s="279"/>
      <c r="Q1632" s="279"/>
      <c r="R1632" s="279"/>
      <c r="S1632" s="279"/>
      <c r="T1632" s="279"/>
      <c r="U1632" s="280"/>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9"/>
      <c r="N1633" s="279"/>
      <c r="O1633" s="279"/>
      <c r="P1633" s="279"/>
      <c r="Q1633" s="279"/>
      <c r="R1633" s="279"/>
      <c r="S1633" s="279"/>
      <c r="T1633" s="279"/>
      <c r="U1633" s="280"/>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9"/>
      <c r="N1634" s="279"/>
      <c r="O1634" s="279"/>
      <c r="P1634" s="279"/>
      <c r="Q1634" s="279"/>
      <c r="R1634" s="279"/>
      <c r="S1634" s="279"/>
      <c r="T1634" s="279"/>
      <c r="U1634" s="280"/>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9"/>
      <c r="N1635" s="279"/>
      <c r="O1635" s="279"/>
      <c r="P1635" s="279"/>
      <c r="Q1635" s="279"/>
      <c r="R1635" s="279"/>
      <c r="S1635" s="279"/>
      <c r="T1635" s="279"/>
      <c r="U1635" s="280"/>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9"/>
      <c r="N1636" s="279"/>
      <c r="O1636" s="279"/>
      <c r="P1636" s="279"/>
      <c r="Q1636" s="279"/>
      <c r="R1636" s="279"/>
      <c r="S1636" s="279"/>
      <c r="T1636" s="279"/>
      <c r="U1636" s="280"/>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9"/>
      <c r="N1637" s="279"/>
      <c r="O1637" s="279"/>
      <c r="P1637" s="279"/>
      <c r="Q1637" s="279"/>
      <c r="R1637" s="279"/>
      <c r="S1637" s="279"/>
      <c r="T1637" s="279"/>
      <c r="U1637" s="280"/>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9"/>
      <c r="N1638" s="279"/>
      <c r="O1638" s="279"/>
      <c r="P1638" s="279"/>
      <c r="Q1638" s="279"/>
      <c r="R1638" s="279"/>
      <c r="S1638" s="279"/>
      <c r="T1638" s="279"/>
      <c r="U1638" s="280"/>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9"/>
      <c r="N1639" s="279"/>
      <c r="O1639" s="279"/>
      <c r="P1639" s="279"/>
      <c r="Q1639" s="279"/>
      <c r="R1639" s="279"/>
      <c r="S1639" s="279"/>
      <c r="T1639" s="279"/>
      <c r="U1639" s="280"/>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9"/>
      <c r="N1640" s="279"/>
      <c r="O1640" s="279"/>
      <c r="P1640" s="279"/>
      <c r="Q1640" s="279"/>
      <c r="R1640" s="279"/>
      <c r="S1640" s="279"/>
      <c r="T1640" s="279"/>
      <c r="U1640" s="280"/>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0" t="s">
        <v>383</v>
      </c>
      <c r="C1641" s="321"/>
      <c r="D1641" s="79"/>
      <c r="E1641" s="80"/>
      <c r="F1641" s="80"/>
      <c r="G1641" s="81"/>
      <c r="H1641" s="192"/>
      <c r="I1641" s="192"/>
      <c r="J1641" s="192"/>
      <c r="K1641" s="82"/>
      <c r="L1641" s="320" t="s">
        <v>306</v>
      </c>
      <c r="M1641" s="331"/>
      <c r="N1641" s="331"/>
      <c r="O1641" s="331"/>
      <c r="P1641" s="331"/>
      <c r="Q1641" s="331"/>
      <c r="R1641" s="331"/>
      <c r="S1641" s="331"/>
      <c r="T1641" s="331"/>
      <c r="U1641" s="321"/>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0" t="s">
        <v>307</v>
      </c>
      <c r="C1642" s="321"/>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3" t="s">
        <v>222</v>
      </c>
      <c r="C1646" s="314"/>
      <c r="D1646" s="315" t="s">
        <v>223</v>
      </c>
      <c r="E1646" s="306"/>
      <c r="F1646" s="88"/>
      <c r="G1646" s="316" t="s">
        <v>224</v>
      </c>
      <c r="H1646" s="317"/>
      <c r="I1646" s="28">
        <f>SUM(E1657:E1681)</f>
        <v>0</v>
      </c>
      <c r="J1646" s="318" t="s">
        <v>225</v>
      </c>
      <c r="K1646" s="319"/>
      <c r="L1646" s="306"/>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6" t="s">
        <v>226</v>
      </c>
      <c r="AA1646" s="297"/>
      <c r="AB1646" s="298"/>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5" t="s">
        <v>230</v>
      </c>
      <c r="H1647" s="306"/>
      <c r="I1647" s="33">
        <f>E1648-I1646</f>
        <v>0</v>
      </c>
      <c r="J1647" s="290" t="s">
        <v>231</v>
      </c>
      <c r="K1647" s="291"/>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9" t="s">
        <v>232</v>
      </c>
      <c r="AA1647" s="301" t="s">
        <v>233</v>
      </c>
      <c r="AB1647" s="30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2" t="s">
        <v>237</v>
      </c>
      <c r="H1648" s="293"/>
      <c r="I1648" s="35">
        <f>IF(E1648=0,0,12-(MOD(I1646,12)))</f>
        <v>0</v>
      </c>
      <c r="J1648" s="290" t="s">
        <v>238</v>
      </c>
      <c r="K1648" s="291"/>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0"/>
      <c r="AA1648" s="303"/>
      <c r="AB1648" s="30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2" t="s">
        <v>242</v>
      </c>
      <c r="H1649" s="43" t="s">
        <v>243</v>
      </c>
      <c r="I1649" s="35">
        <f>IF(E1649&lt;&gt;0,1,0)</f>
        <v>0</v>
      </c>
      <c r="J1649" s="292" t="s">
        <v>244</v>
      </c>
      <c r="K1649" s="29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3"/>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2" t="s">
        <v>251</v>
      </c>
      <c r="H1651" s="51" t="s">
        <v>252</v>
      </c>
      <c r="I1651" s="112">
        <f>E1650</f>
        <v>0</v>
      </c>
      <c r="J1651" s="324" t="s">
        <v>253</v>
      </c>
      <c r="K1651" s="325"/>
      <c r="L1651" s="32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3"/>
      <c r="H1652" s="47" t="s">
        <v>257</v>
      </c>
      <c r="I1652" s="35" t="str">
        <f>IF(E1650="","0",IF(AND(E1647="EUC",E1648=432), I1651+(203-E1649),IF(E1650=0,0,(E1650+(E1648-E1649)-1))))</f>
        <v>0</v>
      </c>
      <c r="J1652" s="287" t="str">
        <f>IFERROR(IF(OR(E1647="EUC",E1647="SS"),"---",IF(OR(P1646,S1646),"NO 2F Tethers for RPX!",IF(OR(P1648,S1648),"NO 6F Tethers for RPX!","---"))),"---")</f>
        <v>---</v>
      </c>
      <c r="K1652" s="288"/>
      <c r="L1652" s="289"/>
      <c r="M1652" s="287" t="str">
        <f>IF(E1649&gt;60,"Dead Count &gt;60: Consider Downsize","---")</f>
        <v>---</v>
      </c>
      <c r="N1652" s="288"/>
      <c r="O1652" s="288"/>
      <c r="P1652" s="288"/>
      <c r="Q1652" s="288"/>
      <c r="R1652" s="288"/>
      <c r="S1652" s="288"/>
      <c r="T1652" s="288"/>
      <c r="U1652" s="289"/>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7"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8"/>
      <c r="L1653" s="289"/>
      <c r="M1653" s="287" t="str">
        <f>IF(AND(OR(E1647="SS",E1647="RPX",E1647="EUC",E1647="RPX-T"),(OR(C1657="",C1657="Field SPL"))),"Cannot have FlexNap cables without tethers","---")</f>
        <v>---</v>
      </c>
      <c r="N1653" s="288"/>
      <c r="O1653" s="288"/>
      <c r="P1653" s="288"/>
      <c r="Q1653" s="288"/>
      <c r="R1653" s="288"/>
      <c r="S1653" s="288"/>
      <c r="T1653" s="288"/>
      <c r="U1653" s="289"/>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7" t="str">
        <f>IF(AND(OR(E1647="RPX", E1647="RPX-T", E1647="SS"),E1648=216),"NO 216 For RPX, RPX-T, OR SS CABLE","---")</f>
        <v>---</v>
      </c>
      <c r="K1654" s="288"/>
      <c r="L1654" s="289"/>
      <c r="M1654" s="287" t="str" cm="1">
        <f t="array" ref="M1654">IF(AND(E1647="",OR(C1657:C1681="FST",C1657:C1681="REV T",C1657:C1681="DBL REV",C1657:C1681="TPL REV", C1657:C1681="QD REV")),"Non-FlexNap cables cannot have tethers","---")</f>
        <v>---</v>
      </c>
      <c r="N1654" s="288"/>
      <c r="O1654" s="288"/>
      <c r="P1654" s="288"/>
      <c r="Q1654" s="288"/>
      <c r="R1654" s="288"/>
      <c r="S1654" s="288"/>
      <c r="T1654" s="288"/>
      <c r="U1654" s="289"/>
      <c r="V1654" s="25"/>
      <c r="W1654" s="58"/>
      <c r="X1654" s="58"/>
      <c r="Y1654" s="25"/>
      <c r="Z1654" s="45">
        <v>6</v>
      </c>
      <c r="AA1654" s="65">
        <v>61</v>
      </c>
      <c r="AB1654" s="65">
        <v>72</v>
      </c>
      <c r="AC1654" s="25"/>
      <c r="AD1654" s="25"/>
      <c r="BA1654" s="226"/>
    </row>
    <row r="1655" spans="1:53" ht="15.75" customHeight="1" thickBot="1" x14ac:dyDescent="0.3">
      <c r="A1655" s="88"/>
      <c r="B1655" s="322" t="s">
        <v>260</v>
      </c>
      <c r="C1655" s="294" t="s">
        <v>261</v>
      </c>
      <c r="D1655" s="294" t="s">
        <v>262</v>
      </c>
      <c r="E1655" s="307" t="s">
        <v>263</v>
      </c>
      <c r="F1655" s="294" t="s">
        <v>264</v>
      </c>
      <c r="G1655" s="309" t="s">
        <v>265</v>
      </c>
      <c r="H1655" s="309" t="s">
        <v>266</v>
      </c>
      <c r="I1655" s="309" t="s">
        <v>267</v>
      </c>
      <c r="J1655" s="311" t="s">
        <v>268</v>
      </c>
      <c r="K1655" s="294" t="s">
        <v>269</v>
      </c>
      <c r="L1655" s="281" t="s">
        <v>270</v>
      </c>
      <c r="M1655" s="283" t="s">
        <v>271</v>
      </c>
      <c r="N1655" s="283"/>
      <c r="O1655" s="283"/>
      <c r="P1655" s="283"/>
      <c r="Q1655" s="283"/>
      <c r="R1655" s="283"/>
      <c r="S1655" s="283"/>
      <c r="T1655" s="283"/>
      <c r="U1655" s="284"/>
      <c r="V1655" s="107"/>
      <c r="W1655" s="72"/>
      <c r="X1655" s="72"/>
      <c r="Y1655" s="72"/>
      <c r="Z1655" s="45">
        <v>7</v>
      </c>
      <c r="AA1655" s="65">
        <v>73</v>
      </c>
      <c r="AB1655" s="65">
        <v>84</v>
      </c>
      <c r="AC1655" s="25"/>
      <c r="AD1655" s="25"/>
      <c r="BA1655" s="228"/>
    </row>
    <row r="1656" spans="1:53" ht="15.75" thickBot="1" x14ac:dyDescent="0.3">
      <c r="A1656" s="88"/>
      <c r="B1656" s="323"/>
      <c r="C1656" s="295"/>
      <c r="D1656" s="295"/>
      <c r="E1656" s="308"/>
      <c r="F1656" s="295"/>
      <c r="G1656" s="310"/>
      <c r="H1656" s="310"/>
      <c r="I1656" s="310"/>
      <c r="J1656" s="312"/>
      <c r="K1656" s="295"/>
      <c r="L1656" s="282"/>
      <c r="M1656" s="285"/>
      <c r="N1656" s="285"/>
      <c r="O1656" s="285"/>
      <c r="P1656" s="285"/>
      <c r="Q1656" s="285"/>
      <c r="R1656" s="285"/>
      <c r="S1656" s="285"/>
      <c r="T1656" s="285"/>
      <c r="U1656" s="28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9"/>
      <c r="N1657" s="279"/>
      <c r="O1657" s="279"/>
      <c r="P1657" s="279"/>
      <c r="Q1657" s="279"/>
      <c r="R1657" s="279"/>
      <c r="S1657" s="279"/>
      <c r="T1657" s="279"/>
      <c r="U1657" s="280"/>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9"/>
      <c r="N1658" s="279"/>
      <c r="O1658" s="279"/>
      <c r="P1658" s="279"/>
      <c r="Q1658" s="279"/>
      <c r="R1658" s="279"/>
      <c r="S1658" s="279"/>
      <c r="T1658" s="279"/>
      <c r="U1658" s="280"/>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9"/>
      <c r="N1659" s="279"/>
      <c r="O1659" s="279"/>
      <c r="P1659" s="279"/>
      <c r="Q1659" s="279"/>
      <c r="R1659" s="279"/>
      <c r="S1659" s="279"/>
      <c r="T1659" s="279"/>
      <c r="U1659" s="280"/>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9"/>
      <c r="N1660" s="279"/>
      <c r="O1660" s="279"/>
      <c r="P1660" s="279"/>
      <c r="Q1660" s="279"/>
      <c r="R1660" s="279"/>
      <c r="S1660" s="279"/>
      <c r="T1660" s="279"/>
      <c r="U1660" s="280"/>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9"/>
      <c r="N1661" s="279"/>
      <c r="O1661" s="279"/>
      <c r="P1661" s="279"/>
      <c r="Q1661" s="279"/>
      <c r="R1661" s="279"/>
      <c r="S1661" s="279"/>
      <c r="T1661" s="279"/>
      <c r="U1661" s="280"/>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9"/>
      <c r="N1662" s="279"/>
      <c r="O1662" s="279"/>
      <c r="P1662" s="279"/>
      <c r="Q1662" s="279"/>
      <c r="R1662" s="279"/>
      <c r="S1662" s="279"/>
      <c r="T1662" s="279"/>
      <c r="U1662" s="280"/>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9"/>
      <c r="N1663" s="279"/>
      <c r="O1663" s="279"/>
      <c r="P1663" s="279"/>
      <c r="Q1663" s="279"/>
      <c r="R1663" s="279"/>
      <c r="S1663" s="279"/>
      <c r="T1663" s="279"/>
      <c r="U1663" s="280"/>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9"/>
      <c r="N1664" s="279"/>
      <c r="O1664" s="279"/>
      <c r="P1664" s="279"/>
      <c r="Q1664" s="279"/>
      <c r="R1664" s="279"/>
      <c r="S1664" s="279"/>
      <c r="T1664" s="279"/>
      <c r="U1664" s="280"/>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9"/>
      <c r="N1665" s="279"/>
      <c r="O1665" s="279"/>
      <c r="P1665" s="279"/>
      <c r="Q1665" s="279"/>
      <c r="R1665" s="279"/>
      <c r="S1665" s="279"/>
      <c r="T1665" s="279"/>
      <c r="U1665" s="280"/>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9"/>
      <c r="N1666" s="279"/>
      <c r="O1666" s="279"/>
      <c r="P1666" s="279"/>
      <c r="Q1666" s="279"/>
      <c r="R1666" s="279"/>
      <c r="S1666" s="279"/>
      <c r="T1666" s="279"/>
      <c r="U1666" s="280"/>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9"/>
      <c r="N1667" s="279"/>
      <c r="O1667" s="279"/>
      <c r="P1667" s="279"/>
      <c r="Q1667" s="279"/>
      <c r="R1667" s="279"/>
      <c r="S1667" s="279"/>
      <c r="T1667" s="279"/>
      <c r="U1667" s="280"/>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9"/>
      <c r="N1668" s="279"/>
      <c r="O1668" s="279"/>
      <c r="P1668" s="279"/>
      <c r="Q1668" s="279"/>
      <c r="R1668" s="279"/>
      <c r="S1668" s="279"/>
      <c r="T1668" s="279"/>
      <c r="U1668" s="280"/>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9"/>
      <c r="N1669" s="279"/>
      <c r="O1669" s="279"/>
      <c r="P1669" s="279"/>
      <c r="Q1669" s="279"/>
      <c r="R1669" s="279"/>
      <c r="S1669" s="279"/>
      <c r="T1669" s="279"/>
      <c r="U1669" s="280"/>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9"/>
      <c r="N1670" s="279"/>
      <c r="O1670" s="279"/>
      <c r="P1670" s="279"/>
      <c r="Q1670" s="279"/>
      <c r="R1670" s="279"/>
      <c r="S1670" s="279"/>
      <c r="T1670" s="279"/>
      <c r="U1670" s="280"/>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9"/>
      <c r="N1671" s="279"/>
      <c r="O1671" s="279"/>
      <c r="P1671" s="279"/>
      <c r="Q1671" s="279"/>
      <c r="R1671" s="279"/>
      <c r="S1671" s="279"/>
      <c r="T1671" s="279"/>
      <c r="U1671" s="280"/>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9"/>
      <c r="N1672" s="279"/>
      <c r="O1672" s="279"/>
      <c r="P1672" s="279"/>
      <c r="Q1672" s="279"/>
      <c r="R1672" s="279"/>
      <c r="S1672" s="279"/>
      <c r="T1672" s="279"/>
      <c r="U1672" s="280"/>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9"/>
      <c r="N1673" s="279"/>
      <c r="O1673" s="279"/>
      <c r="P1673" s="279"/>
      <c r="Q1673" s="279"/>
      <c r="R1673" s="279"/>
      <c r="S1673" s="279"/>
      <c r="T1673" s="279"/>
      <c r="U1673" s="280"/>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9"/>
      <c r="N1674" s="279"/>
      <c r="O1674" s="279"/>
      <c r="P1674" s="279"/>
      <c r="Q1674" s="279"/>
      <c r="R1674" s="279"/>
      <c r="S1674" s="279"/>
      <c r="T1674" s="279"/>
      <c r="U1674" s="280"/>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9"/>
      <c r="N1675" s="279"/>
      <c r="O1675" s="279"/>
      <c r="P1675" s="279"/>
      <c r="Q1675" s="279"/>
      <c r="R1675" s="279"/>
      <c r="S1675" s="279"/>
      <c r="T1675" s="279"/>
      <c r="U1675" s="280"/>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9"/>
      <c r="N1676" s="279"/>
      <c r="O1676" s="279"/>
      <c r="P1676" s="279"/>
      <c r="Q1676" s="279"/>
      <c r="R1676" s="279"/>
      <c r="S1676" s="279"/>
      <c r="T1676" s="279"/>
      <c r="U1676" s="280"/>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9"/>
      <c r="N1677" s="279"/>
      <c r="O1677" s="279"/>
      <c r="P1677" s="279"/>
      <c r="Q1677" s="279"/>
      <c r="R1677" s="279"/>
      <c r="S1677" s="279"/>
      <c r="T1677" s="279"/>
      <c r="U1677" s="280"/>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9"/>
      <c r="N1678" s="279"/>
      <c r="O1678" s="279"/>
      <c r="P1678" s="279"/>
      <c r="Q1678" s="279"/>
      <c r="R1678" s="279"/>
      <c r="S1678" s="279"/>
      <c r="T1678" s="279"/>
      <c r="U1678" s="280"/>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9"/>
      <c r="N1679" s="279"/>
      <c r="O1679" s="279"/>
      <c r="P1679" s="279"/>
      <c r="Q1679" s="279"/>
      <c r="R1679" s="279"/>
      <c r="S1679" s="279"/>
      <c r="T1679" s="279"/>
      <c r="U1679" s="280"/>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9"/>
      <c r="N1680" s="279"/>
      <c r="O1680" s="279"/>
      <c r="P1680" s="279"/>
      <c r="Q1680" s="279"/>
      <c r="R1680" s="279"/>
      <c r="S1680" s="279"/>
      <c r="T1680" s="279"/>
      <c r="U1680" s="280"/>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9"/>
      <c r="N1681" s="279"/>
      <c r="O1681" s="279"/>
      <c r="P1681" s="279"/>
      <c r="Q1681" s="279"/>
      <c r="R1681" s="279"/>
      <c r="S1681" s="279"/>
      <c r="T1681" s="279"/>
      <c r="U1681" s="280"/>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0" t="s">
        <v>385</v>
      </c>
      <c r="C1682" s="321"/>
      <c r="D1682" s="79"/>
      <c r="E1682" s="80"/>
      <c r="F1682" s="80"/>
      <c r="G1682" s="81"/>
      <c r="H1682" s="192"/>
      <c r="I1682" s="192"/>
      <c r="J1682" s="192"/>
      <c r="K1682" s="82"/>
      <c r="L1682" s="320" t="s">
        <v>306</v>
      </c>
      <c r="M1682" s="331"/>
      <c r="N1682" s="331"/>
      <c r="O1682" s="331"/>
      <c r="P1682" s="331"/>
      <c r="Q1682" s="331"/>
      <c r="R1682" s="331"/>
      <c r="S1682" s="331"/>
      <c r="T1682" s="331"/>
      <c r="U1682" s="321"/>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0" t="s">
        <v>307</v>
      </c>
      <c r="C1683" s="321"/>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3" t="s">
        <v>222</v>
      </c>
      <c r="C1687" s="314"/>
      <c r="D1687" s="315" t="s">
        <v>223</v>
      </c>
      <c r="E1687" s="306"/>
      <c r="F1687" s="88"/>
      <c r="G1687" s="316" t="s">
        <v>224</v>
      </c>
      <c r="H1687" s="317"/>
      <c r="I1687" s="28">
        <f>SUM(E1698:E1722)</f>
        <v>0</v>
      </c>
      <c r="J1687" s="318" t="s">
        <v>225</v>
      </c>
      <c r="K1687" s="319"/>
      <c r="L1687" s="306"/>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6" t="s">
        <v>226</v>
      </c>
      <c r="AA1687" s="297"/>
      <c r="AB1687" s="298"/>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5" t="s">
        <v>230</v>
      </c>
      <c r="H1688" s="306"/>
      <c r="I1688" s="33">
        <f>E1689-I1687</f>
        <v>0</v>
      </c>
      <c r="J1688" s="290" t="s">
        <v>231</v>
      </c>
      <c r="K1688" s="291"/>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9" t="s">
        <v>232</v>
      </c>
      <c r="AA1688" s="301" t="s">
        <v>233</v>
      </c>
      <c r="AB1688" s="30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2" t="s">
        <v>237</v>
      </c>
      <c r="H1689" s="293"/>
      <c r="I1689" s="35">
        <f>IF(E1689=0,0,12-(MOD(I1687,12)))</f>
        <v>0</v>
      </c>
      <c r="J1689" s="290" t="s">
        <v>238</v>
      </c>
      <c r="K1689" s="291"/>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0"/>
      <c r="AA1689" s="303"/>
      <c r="AB1689" s="30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2" t="s">
        <v>242</v>
      </c>
      <c r="H1690" s="43" t="s">
        <v>243</v>
      </c>
      <c r="I1690" s="35">
        <f>IF(E1690&lt;&gt;0,1,0)</f>
        <v>0</v>
      </c>
      <c r="J1690" s="292" t="s">
        <v>244</v>
      </c>
      <c r="K1690" s="29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3"/>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2" t="s">
        <v>251</v>
      </c>
      <c r="H1692" s="51" t="s">
        <v>252</v>
      </c>
      <c r="I1692" s="112">
        <f>E1691</f>
        <v>0</v>
      </c>
      <c r="J1692" s="324" t="s">
        <v>253</v>
      </c>
      <c r="K1692" s="325"/>
      <c r="L1692" s="32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3"/>
      <c r="H1693" s="47" t="s">
        <v>257</v>
      </c>
      <c r="I1693" s="35" t="str">
        <f>IF(E1691="","0",IF(AND(E1688="EUC",E1689=432), I1692+(203-E1690),IF(E1691=0,0,(E1691+(E1689-E1690)-1))))</f>
        <v>0</v>
      </c>
      <c r="J1693" s="287" t="str">
        <f>IFERROR(IF(OR(E1688="EUC",E1688="SS"),"---",IF(OR(P1687,S1687),"NO 2F Tethers for RPX!",IF(OR(P1689,S1689),"NO 6F Tethers for RPX!","---"))),"---")</f>
        <v>---</v>
      </c>
      <c r="K1693" s="288"/>
      <c r="L1693" s="289"/>
      <c r="M1693" s="287" t="str">
        <f>IF(E1690&gt;60,"Dead Count &gt;60: Consider Downsize","---")</f>
        <v>---</v>
      </c>
      <c r="N1693" s="288"/>
      <c r="O1693" s="288"/>
      <c r="P1693" s="288"/>
      <c r="Q1693" s="288"/>
      <c r="R1693" s="288"/>
      <c r="S1693" s="288"/>
      <c r="T1693" s="288"/>
      <c r="U1693" s="289"/>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7"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8"/>
      <c r="L1694" s="289"/>
      <c r="M1694" s="287" t="str">
        <f>IF(AND(OR(E1688="SS",E1688="RPX",E1688="EUC",E1688="RPX-T"),(OR(C1698="",C1698="Field SPL"))),"Cannot have FlexNap cables without tethers","---")</f>
        <v>---</v>
      </c>
      <c r="N1694" s="288"/>
      <c r="O1694" s="288"/>
      <c r="P1694" s="288"/>
      <c r="Q1694" s="288"/>
      <c r="R1694" s="288"/>
      <c r="S1694" s="288"/>
      <c r="T1694" s="288"/>
      <c r="U1694" s="289"/>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7" t="str">
        <f>IF(AND(OR(E1688="RPX", E1688="RPX-T", E1688="SS"),E1689=216),"NO 216 For RPX, RPX-T, OR SS CABLE","---")</f>
        <v>---</v>
      </c>
      <c r="K1695" s="288"/>
      <c r="L1695" s="289"/>
      <c r="M1695" s="287" t="str" cm="1">
        <f t="array" ref="M1695">IF(AND(E1688="",OR(C1698:C1722="FST",C1698:C1722="REV T",C1698:C1722="DBL REV",C1698:C1722="TPL REV", C1698:C1722="QD REV")),"Non-FlexNap cables cannot have tethers","---")</f>
        <v>---</v>
      </c>
      <c r="N1695" s="288"/>
      <c r="O1695" s="288"/>
      <c r="P1695" s="288"/>
      <c r="Q1695" s="288"/>
      <c r="R1695" s="288"/>
      <c r="S1695" s="288"/>
      <c r="T1695" s="288"/>
      <c r="U1695" s="289"/>
      <c r="V1695" s="25"/>
      <c r="W1695" s="58"/>
      <c r="X1695" s="58"/>
      <c r="Y1695" s="25"/>
      <c r="Z1695" s="45">
        <v>6</v>
      </c>
      <c r="AA1695" s="65">
        <v>61</v>
      </c>
      <c r="AB1695" s="65">
        <v>72</v>
      </c>
      <c r="AC1695" s="25"/>
      <c r="AD1695" s="25"/>
      <c r="BA1695" s="226"/>
    </row>
    <row r="1696" spans="1:53" ht="15.75" customHeight="1" thickBot="1" x14ac:dyDescent="0.3">
      <c r="A1696" s="88"/>
      <c r="B1696" s="322" t="s">
        <v>260</v>
      </c>
      <c r="C1696" s="294" t="s">
        <v>261</v>
      </c>
      <c r="D1696" s="294" t="s">
        <v>262</v>
      </c>
      <c r="E1696" s="307" t="s">
        <v>263</v>
      </c>
      <c r="F1696" s="294" t="s">
        <v>264</v>
      </c>
      <c r="G1696" s="309" t="s">
        <v>265</v>
      </c>
      <c r="H1696" s="309" t="s">
        <v>266</v>
      </c>
      <c r="I1696" s="309" t="s">
        <v>267</v>
      </c>
      <c r="J1696" s="311" t="s">
        <v>268</v>
      </c>
      <c r="K1696" s="294" t="s">
        <v>269</v>
      </c>
      <c r="L1696" s="281" t="s">
        <v>270</v>
      </c>
      <c r="M1696" s="283" t="s">
        <v>271</v>
      </c>
      <c r="N1696" s="283"/>
      <c r="O1696" s="283"/>
      <c r="P1696" s="283"/>
      <c r="Q1696" s="283"/>
      <c r="R1696" s="283"/>
      <c r="S1696" s="283"/>
      <c r="T1696" s="283"/>
      <c r="U1696" s="284"/>
      <c r="V1696" s="107"/>
      <c r="W1696" s="72"/>
      <c r="X1696" s="72"/>
      <c r="Y1696" s="72"/>
      <c r="Z1696" s="45">
        <v>7</v>
      </c>
      <c r="AA1696" s="65">
        <v>73</v>
      </c>
      <c r="AB1696" s="65">
        <v>84</v>
      </c>
      <c r="AC1696" s="25"/>
      <c r="AD1696" s="25"/>
      <c r="BA1696" s="228"/>
    </row>
    <row r="1697" spans="1:53" ht="15.75" thickBot="1" x14ac:dyDescent="0.3">
      <c r="A1697" s="88"/>
      <c r="B1697" s="323"/>
      <c r="C1697" s="295"/>
      <c r="D1697" s="295"/>
      <c r="E1697" s="308"/>
      <c r="F1697" s="295"/>
      <c r="G1697" s="310"/>
      <c r="H1697" s="310"/>
      <c r="I1697" s="310"/>
      <c r="J1697" s="312"/>
      <c r="K1697" s="295"/>
      <c r="L1697" s="282"/>
      <c r="M1697" s="285"/>
      <c r="N1697" s="285"/>
      <c r="O1697" s="285"/>
      <c r="P1697" s="285"/>
      <c r="Q1697" s="285"/>
      <c r="R1697" s="285"/>
      <c r="S1697" s="285"/>
      <c r="T1697" s="285"/>
      <c r="U1697" s="28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9"/>
      <c r="N1698" s="279"/>
      <c r="O1698" s="279"/>
      <c r="P1698" s="279"/>
      <c r="Q1698" s="279"/>
      <c r="R1698" s="279"/>
      <c r="S1698" s="279"/>
      <c r="T1698" s="279"/>
      <c r="U1698" s="280"/>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9"/>
      <c r="N1699" s="279"/>
      <c r="O1699" s="279"/>
      <c r="P1699" s="279"/>
      <c r="Q1699" s="279"/>
      <c r="R1699" s="279"/>
      <c r="S1699" s="279"/>
      <c r="T1699" s="279"/>
      <c r="U1699" s="280"/>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9"/>
      <c r="N1700" s="279"/>
      <c r="O1700" s="279"/>
      <c r="P1700" s="279"/>
      <c r="Q1700" s="279"/>
      <c r="R1700" s="279"/>
      <c r="S1700" s="279"/>
      <c r="T1700" s="279"/>
      <c r="U1700" s="280"/>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9"/>
      <c r="N1701" s="279"/>
      <c r="O1701" s="279"/>
      <c r="P1701" s="279"/>
      <c r="Q1701" s="279"/>
      <c r="R1701" s="279"/>
      <c r="S1701" s="279"/>
      <c r="T1701" s="279"/>
      <c r="U1701" s="280"/>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9"/>
      <c r="N1702" s="279"/>
      <c r="O1702" s="279"/>
      <c r="P1702" s="279"/>
      <c r="Q1702" s="279"/>
      <c r="R1702" s="279"/>
      <c r="S1702" s="279"/>
      <c r="T1702" s="279"/>
      <c r="U1702" s="280"/>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9"/>
      <c r="N1703" s="279"/>
      <c r="O1703" s="279"/>
      <c r="P1703" s="279"/>
      <c r="Q1703" s="279"/>
      <c r="R1703" s="279"/>
      <c r="S1703" s="279"/>
      <c r="T1703" s="279"/>
      <c r="U1703" s="280"/>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9"/>
      <c r="N1704" s="279"/>
      <c r="O1704" s="279"/>
      <c r="P1704" s="279"/>
      <c r="Q1704" s="279"/>
      <c r="R1704" s="279"/>
      <c r="S1704" s="279"/>
      <c r="T1704" s="279"/>
      <c r="U1704" s="280"/>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9"/>
      <c r="N1705" s="279"/>
      <c r="O1705" s="279"/>
      <c r="P1705" s="279"/>
      <c r="Q1705" s="279"/>
      <c r="R1705" s="279"/>
      <c r="S1705" s="279"/>
      <c r="T1705" s="279"/>
      <c r="U1705" s="280"/>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9"/>
      <c r="N1706" s="279"/>
      <c r="O1706" s="279"/>
      <c r="P1706" s="279"/>
      <c r="Q1706" s="279"/>
      <c r="R1706" s="279"/>
      <c r="S1706" s="279"/>
      <c r="T1706" s="279"/>
      <c r="U1706" s="280"/>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9"/>
      <c r="N1707" s="279"/>
      <c r="O1707" s="279"/>
      <c r="P1707" s="279"/>
      <c r="Q1707" s="279"/>
      <c r="R1707" s="279"/>
      <c r="S1707" s="279"/>
      <c r="T1707" s="279"/>
      <c r="U1707" s="280"/>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9"/>
      <c r="N1708" s="279"/>
      <c r="O1708" s="279"/>
      <c r="P1708" s="279"/>
      <c r="Q1708" s="279"/>
      <c r="R1708" s="279"/>
      <c r="S1708" s="279"/>
      <c r="T1708" s="279"/>
      <c r="U1708" s="280"/>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9"/>
      <c r="N1709" s="279"/>
      <c r="O1709" s="279"/>
      <c r="P1709" s="279"/>
      <c r="Q1709" s="279"/>
      <c r="R1709" s="279"/>
      <c r="S1709" s="279"/>
      <c r="T1709" s="279"/>
      <c r="U1709" s="280"/>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9"/>
      <c r="N1710" s="279"/>
      <c r="O1710" s="279"/>
      <c r="P1710" s="279"/>
      <c r="Q1710" s="279"/>
      <c r="R1710" s="279"/>
      <c r="S1710" s="279"/>
      <c r="T1710" s="279"/>
      <c r="U1710" s="280"/>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9"/>
      <c r="N1711" s="279"/>
      <c r="O1711" s="279"/>
      <c r="P1711" s="279"/>
      <c r="Q1711" s="279"/>
      <c r="R1711" s="279"/>
      <c r="S1711" s="279"/>
      <c r="T1711" s="279"/>
      <c r="U1711" s="280"/>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9"/>
      <c r="N1712" s="279"/>
      <c r="O1712" s="279"/>
      <c r="P1712" s="279"/>
      <c r="Q1712" s="279"/>
      <c r="R1712" s="279"/>
      <c r="S1712" s="279"/>
      <c r="T1712" s="279"/>
      <c r="U1712" s="280"/>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9"/>
      <c r="N1713" s="279"/>
      <c r="O1713" s="279"/>
      <c r="P1713" s="279"/>
      <c r="Q1713" s="279"/>
      <c r="R1713" s="279"/>
      <c r="S1713" s="279"/>
      <c r="T1713" s="279"/>
      <c r="U1713" s="280"/>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9"/>
      <c r="N1714" s="279"/>
      <c r="O1714" s="279"/>
      <c r="P1714" s="279"/>
      <c r="Q1714" s="279"/>
      <c r="R1714" s="279"/>
      <c r="S1714" s="279"/>
      <c r="T1714" s="279"/>
      <c r="U1714" s="280"/>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9"/>
      <c r="N1715" s="279"/>
      <c r="O1715" s="279"/>
      <c r="P1715" s="279"/>
      <c r="Q1715" s="279"/>
      <c r="R1715" s="279"/>
      <c r="S1715" s="279"/>
      <c r="T1715" s="279"/>
      <c r="U1715" s="280"/>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9"/>
      <c r="N1716" s="279"/>
      <c r="O1716" s="279"/>
      <c r="P1716" s="279"/>
      <c r="Q1716" s="279"/>
      <c r="R1716" s="279"/>
      <c r="S1716" s="279"/>
      <c r="T1716" s="279"/>
      <c r="U1716" s="280"/>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9"/>
      <c r="N1717" s="279"/>
      <c r="O1717" s="279"/>
      <c r="P1717" s="279"/>
      <c r="Q1717" s="279"/>
      <c r="R1717" s="279"/>
      <c r="S1717" s="279"/>
      <c r="T1717" s="279"/>
      <c r="U1717" s="280"/>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9"/>
      <c r="N1718" s="279"/>
      <c r="O1718" s="279"/>
      <c r="P1718" s="279"/>
      <c r="Q1718" s="279"/>
      <c r="R1718" s="279"/>
      <c r="S1718" s="279"/>
      <c r="T1718" s="279"/>
      <c r="U1718" s="280"/>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9"/>
      <c r="N1719" s="279"/>
      <c r="O1719" s="279"/>
      <c r="P1719" s="279"/>
      <c r="Q1719" s="279"/>
      <c r="R1719" s="279"/>
      <c r="S1719" s="279"/>
      <c r="T1719" s="279"/>
      <c r="U1719" s="280"/>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9"/>
      <c r="N1720" s="279"/>
      <c r="O1720" s="279"/>
      <c r="P1720" s="279"/>
      <c r="Q1720" s="279"/>
      <c r="R1720" s="279"/>
      <c r="S1720" s="279"/>
      <c r="T1720" s="279"/>
      <c r="U1720" s="280"/>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9"/>
      <c r="N1721" s="279"/>
      <c r="O1721" s="279"/>
      <c r="P1721" s="279"/>
      <c r="Q1721" s="279"/>
      <c r="R1721" s="279"/>
      <c r="S1721" s="279"/>
      <c r="T1721" s="279"/>
      <c r="U1721" s="280"/>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9"/>
      <c r="N1722" s="279"/>
      <c r="O1722" s="279"/>
      <c r="P1722" s="279"/>
      <c r="Q1722" s="279"/>
      <c r="R1722" s="279"/>
      <c r="S1722" s="279"/>
      <c r="T1722" s="279"/>
      <c r="U1722" s="280"/>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0" t="s">
        <v>387</v>
      </c>
      <c r="C1723" s="321"/>
      <c r="D1723" s="79"/>
      <c r="E1723" s="80"/>
      <c r="F1723" s="80"/>
      <c r="G1723" s="81"/>
      <c r="H1723" s="192"/>
      <c r="I1723" s="192"/>
      <c r="J1723" s="192"/>
      <c r="K1723" s="82"/>
      <c r="L1723" s="320" t="s">
        <v>306</v>
      </c>
      <c r="M1723" s="331"/>
      <c r="N1723" s="331"/>
      <c r="O1723" s="331"/>
      <c r="P1723" s="331"/>
      <c r="Q1723" s="331"/>
      <c r="R1723" s="331"/>
      <c r="S1723" s="331"/>
      <c r="T1723" s="331"/>
      <c r="U1723" s="321"/>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0" t="s">
        <v>307</v>
      </c>
      <c r="C1724" s="321"/>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3" t="s">
        <v>222</v>
      </c>
      <c r="C1728" s="314"/>
      <c r="D1728" s="315" t="s">
        <v>223</v>
      </c>
      <c r="E1728" s="306"/>
      <c r="F1728" s="88"/>
      <c r="G1728" s="316" t="s">
        <v>224</v>
      </c>
      <c r="H1728" s="317"/>
      <c r="I1728" s="28">
        <f>SUM(E1739:E1763)</f>
        <v>0</v>
      </c>
      <c r="J1728" s="318" t="s">
        <v>225</v>
      </c>
      <c r="K1728" s="319"/>
      <c r="L1728" s="306"/>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6" t="s">
        <v>226</v>
      </c>
      <c r="AA1728" s="297"/>
      <c r="AB1728" s="298"/>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5" t="s">
        <v>230</v>
      </c>
      <c r="H1729" s="306"/>
      <c r="I1729" s="33">
        <f>E1730-I1728</f>
        <v>0</v>
      </c>
      <c r="J1729" s="290" t="s">
        <v>231</v>
      </c>
      <c r="K1729" s="291"/>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9" t="s">
        <v>232</v>
      </c>
      <c r="AA1729" s="301" t="s">
        <v>233</v>
      </c>
      <c r="AB1729" s="30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2" t="s">
        <v>237</v>
      </c>
      <c r="H1730" s="293"/>
      <c r="I1730" s="35">
        <f>IF(E1730=0,0,12-(MOD(I1728,12)))</f>
        <v>0</v>
      </c>
      <c r="J1730" s="290" t="s">
        <v>238</v>
      </c>
      <c r="K1730" s="291"/>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0"/>
      <c r="AA1730" s="303"/>
      <c r="AB1730" s="30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2" t="s">
        <v>242</v>
      </c>
      <c r="H1731" s="43" t="s">
        <v>243</v>
      </c>
      <c r="I1731" s="35">
        <f>IF(E1731&lt;&gt;0,1,0)</f>
        <v>0</v>
      </c>
      <c r="J1731" s="292" t="s">
        <v>244</v>
      </c>
      <c r="K1731" s="29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3"/>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2" t="s">
        <v>251</v>
      </c>
      <c r="H1733" s="51" t="s">
        <v>252</v>
      </c>
      <c r="I1733" s="112">
        <f>E1732</f>
        <v>0</v>
      </c>
      <c r="J1733" s="324" t="s">
        <v>253</v>
      </c>
      <c r="K1733" s="325"/>
      <c r="L1733" s="32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3"/>
      <c r="H1734" s="47" t="s">
        <v>257</v>
      </c>
      <c r="I1734" s="35" t="str">
        <f>IF(E1732="","0",IF(AND(E1729="EUC",E1730=432), I1733+(203-E1731),IF(E1732=0,0,(E1732+(E1730-E1731)-1))))</f>
        <v>0</v>
      </c>
      <c r="J1734" s="287" t="str">
        <f>IFERROR(IF(OR(E1729="EUC",E1729="SS"),"---",IF(OR(P1728,S1728),"NO 2F Tethers for RPX!",IF(OR(P1730,S1730),"NO 6F Tethers for RPX!","---"))),"---")</f>
        <v>---</v>
      </c>
      <c r="K1734" s="288"/>
      <c r="L1734" s="289"/>
      <c r="M1734" s="287" t="str">
        <f>IF(E1731&gt;60,"Dead Count &gt;60: Consider Downsize","---")</f>
        <v>---</v>
      </c>
      <c r="N1734" s="288"/>
      <c r="O1734" s="288"/>
      <c r="P1734" s="288"/>
      <c r="Q1734" s="288"/>
      <c r="R1734" s="288"/>
      <c r="S1734" s="288"/>
      <c r="T1734" s="288"/>
      <c r="U1734" s="289"/>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7"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8"/>
      <c r="L1735" s="289"/>
      <c r="M1735" s="287" t="str">
        <f>IF(AND(OR(E1729="SS",E1729="RPX",E1729="EUC",E1729="RPX-T"),(OR(C1739="",C1739="Field SPL"))),"Cannot have FlexNap cables without tethers","---")</f>
        <v>---</v>
      </c>
      <c r="N1735" s="288"/>
      <c r="O1735" s="288"/>
      <c r="P1735" s="288"/>
      <c r="Q1735" s="288"/>
      <c r="R1735" s="288"/>
      <c r="S1735" s="288"/>
      <c r="T1735" s="288"/>
      <c r="U1735" s="289"/>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7" t="str">
        <f>IF(AND(OR(E1729="RPX", E1729="RPX-T", E1729="SS"),E1730=216),"NO 216 For RPX, RPX-T, OR SS CABLE","---")</f>
        <v>---</v>
      </c>
      <c r="K1736" s="288"/>
      <c r="L1736" s="289"/>
      <c r="M1736" s="287" t="str" cm="1">
        <f t="array" ref="M1736">IF(AND(E1729="",OR(C1739:C1763="FST",C1739:C1763="REV T",C1739:C1763="DBL REV",C1739:C1763="TPL REV", C1739:C1763="QD REV")),"Non-FlexNap cables cannot have tethers","---")</f>
        <v>---</v>
      </c>
      <c r="N1736" s="288"/>
      <c r="O1736" s="288"/>
      <c r="P1736" s="288"/>
      <c r="Q1736" s="288"/>
      <c r="R1736" s="288"/>
      <c r="S1736" s="288"/>
      <c r="T1736" s="288"/>
      <c r="U1736" s="289"/>
      <c r="V1736" s="25"/>
      <c r="W1736" s="58"/>
      <c r="X1736" s="58"/>
      <c r="Y1736" s="25"/>
      <c r="Z1736" s="45">
        <v>6</v>
      </c>
      <c r="AA1736" s="65">
        <v>61</v>
      </c>
      <c r="AB1736" s="65">
        <v>72</v>
      </c>
      <c r="AC1736" s="25"/>
      <c r="AD1736" s="25"/>
      <c r="BA1736" s="226"/>
    </row>
    <row r="1737" spans="1:53" ht="15.75" customHeight="1" thickBot="1" x14ac:dyDescent="0.3">
      <c r="A1737" s="88"/>
      <c r="B1737" s="322" t="s">
        <v>260</v>
      </c>
      <c r="C1737" s="294" t="s">
        <v>261</v>
      </c>
      <c r="D1737" s="294" t="s">
        <v>262</v>
      </c>
      <c r="E1737" s="307" t="s">
        <v>263</v>
      </c>
      <c r="F1737" s="294" t="s">
        <v>264</v>
      </c>
      <c r="G1737" s="309" t="s">
        <v>265</v>
      </c>
      <c r="H1737" s="309" t="s">
        <v>266</v>
      </c>
      <c r="I1737" s="309" t="s">
        <v>267</v>
      </c>
      <c r="J1737" s="311" t="s">
        <v>268</v>
      </c>
      <c r="K1737" s="294" t="s">
        <v>269</v>
      </c>
      <c r="L1737" s="281" t="s">
        <v>270</v>
      </c>
      <c r="M1737" s="283" t="s">
        <v>271</v>
      </c>
      <c r="N1737" s="283"/>
      <c r="O1737" s="283"/>
      <c r="P1737" s="283"/>
      <c r="Q1737" s="283"/>
      <c r="R1737" s="283"/>
      <c r="S1737" s="283"/>
      <c r="T1737" s="283"/>
      <c r="U1737" s="284"/>
      <c r="V1737" s="107"/>
      <c r="W1737" s="72"/>
      <c r="X1737" s="72"/>
      <c r="Y1737" s="72"/>
      <c r="Z1737" s="45">
        <v>7</v>
      </c>
      <c r="AA1737" s="65">
        <v>73</v>
      </c>
      <c r="AB1737" s="65">
        <v>84</v>
      </c>
      <c r="AC1737" s="25"/>
      <c r="AD1737" s="25"/>
      <c r="BA1737" s="228"/>
    </row>
    <row r="1738" spans="1:53" ht="15.75" thickBot="1" x14ac:dyDescent="0.3">
      <c r="A1738" s="88"/>
      <c r="B1738" s="323"/>
      <c r="C1738" s="295"/>
      <c r="D1738" s="295"/>
      <c r="E1738" s="308"/>
      <c r="F1738" s="295"/>
      <c r="G1738" s="310"/>
      <c r="H1738" s="310"/>
      <c r="I1738" s="310"/>
      <c r="J1738" s="312"/>
      <c r="K1738" s="295"/>
      <c r="L1738" s="282"/>
      <c r="M1738" s="285"/>
      <c r="N1738" s="285"/>
      <c r="O1738" s="285"/>
      <c r="P1738" s="285"/>
      <c r="Q1738" s="285"/>
      <c r="R1738" s="285"/>
      <c r="S1738" s="285"/>
      <c r="T1738" s="285"/>
      <c r="U1738" s="28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9"/>
      <c r="N1739" s="279"/>
      <c r="O1739" s="279"/>
      <c r="P1739" s="279"/>
      <c r="Q1739" s="279"/>
      <c r="R1739" s="279"/>
      <c r="S1739" s="279"/>
      <c r="T1739" s="279"/>
      <c r="U1739" s="280"/>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9"/>
      <c r="N1740" s="279"/>
      <c r="O1740" s="279"/>
      <c r="P1740" s="279"/>
      <c r="Q1740" s="279"/>
      <c r="R1740" s="279"/>
      <c r="S1740" s="279"/>
      <c r="T1740" s="279"/>
      <c r="U1740" s="280"/>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9"/>
      <c r="N1741" s="279"/>
      <c r="O1741" s="279"/>
      <c r="P1741" s="279"/>
      <c r="Q1741" s="279"/>
      <c r="R1741" s="279"/>
      <c r="S1741" s="279"/>
      <c r="T1741" s="279"/>
      <c r="U1741" s="280"/>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9"/>
      <c r="N1742" s="279"/>
      <c r="O1742" s="279"/>
      <c r="P1742" s="279"/>
      <c r="Q1742" s="279"/>
      <c r="R1742" s="279"/>
      <c r="S1742" s="279"/>
      <c r="T1742" s="279"/>
      <c r="U1742" s="280"/>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9"/>
      <c r="N1743" s="279"/>
      <c r="O1743" s="279"/>
      <c r="P1743" s="279"/>
      <c r="Q1743" s="279"/>
      <c r="R1743" s="279"/>
      <c r="S1743" s="279"/>
      <c r="T1743" s="279"/>
      <c r="U1743" s="280"/>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9"/>
      <c r="N1744" s="279"/>
      <c r="O1744" s="279"/>
      <c r="P1744" s="279"/>
      <c r="Q1744" s="279"/>
      <c r="R1744" s="279"/>
      <c r="S1744" s="279"/>
      <c r="T1744" s="279"/>
      <c r="U1744" s="280"/>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9"/>
      <c r="N1745" s="279"/>
      <c r="O1745" s="279"/>
      <c r="P1745" s="279"/>
      <c r="Q1745" s="279"/>
      <c r="R1745" s="279"/>
      <c r="S1745" s="279"/>
      <c r="T1745" s="279"/>
      <c r="U1745" s="280"/>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9"/>
      <c r="N1746" s="279"/>
      <c r="O1746" s="279"/>
      <c r="P1746" s="279"/>
      <c r="Q1746" s="279"/>
      <c r="R1746" s="279"/>
      <c r="S1746" s="279"/>
      <c r="T1746" s="279"/>
      <c r="U1746" s="280"/>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9"/>
      <c r="N1747" s="279"/>
      <c r="O1747" s="279"/>
      <c r="P1747" s="279"/>
      <c r="Q1747" s="279"/>
      <c r="R1747" s="279"/>
      <c r="S1747" s="279"/>
      <c r="T1747" s="279"/>
      <c r="U1747" s="280"/>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9"/>
      <c r="N1748" s="279"/>
      <c r="O1748" s="279"/>
      <c r="P1748" s="279"/>
      <c r="Q1748" s="279"/>
      <c r="R1748" s="279"/>
      <c r="S1748" s="279"/>
      <c r="T1748" s="279"/>
      <c r="U1748" s="280"/>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9"/>
      <c r="N1749" s="279"/>
      <c r="O1749" s="279"/>
      <c r="P1749" s="279"/>
      <c r="Q1749" s="279"/>
      <c r="R1749" s="279"/>
      <c r="S1749" s="279"/>
      <c r="T1749" s="279"/>
      <c r="U1749" s="280"/>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9"/>
      <c r="N1750" s="279"/>
      <c r="O1750" s="279"/>
      <c r="P1750" s="279"/>
      <c r="Q1750" s="279"/>
      <c r="R1750" s="279"/>
      <c r="S1750" s="279"/>
      <c r="T1750" s="279"/>
      <c r="U1750" s="280"/>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9"/>
      <c r="N1751" s="279"/>
      <c r="O1751" s="279"/>
      <c r="P1751" s="279"/>
      <c r="Q1751" s="279"/>
      <c r="R1751" s="279"/>
      <c r="S1751" s="279"/>
      <c r="T1751" s="279"/>
      <c r="U1751" s="280"/>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9"/>
      <c r="N1752" s="279"/>
      <c r="O1752" s="279"/>
      <c r="P1752" s="279"/>
      <c r="Q1752" s="279"/>
      <c r="R1752" s="279"/>
      <c r="S1752" s="279"/>
      <c r="T1752" s="279"/>
      <c r="U1752" s="280"/>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9"/>
      <c r="N1753" s="279"/>
      <c r="O1753" s="279"/>
      <c r="P1753" s="279"/>
      <c r="Q1753" s="279"/>
      <c r="R1753" s="279"/>
      <c r="S1753" s="279"/>
      <c r="T1753" s="279"/>
      <c r="U1753" s="280"/>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9"/>
      <c r="N1754" s="279"/>
      <c r="O1754" s="279"/>
      <c r="P1754" s="279"/>
      <c r="Q1754" s="279"/>
      <c r="R1754" s="279"/>
      <c r="S1754" s="279"/>
      <c r="T1754" s="279"/>
      <c r="U1754" s="280"/>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9"/>
      <c r="N1755" s="279"/>
      <c r="O1755" s="279"/>
      <c r="P1755" s="279"/>
      <c r="Q1755" s="279"/>
      <c r="R1755" s="279"/>
      <c r="S1755" s="279"/>
      <c r="T1755" s="279"/>
      <c r="U1755" s="280"/>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9"/>
      <c r="N1756" s="279"/>
      <c r="O1756" s="279"/>
      <c r="P1756" s="279"/>
      <c r="Q1756" s="279"/>
      <c r="R1756" s="279"/>
      <c r="S1756" s="279"/>
      <c r="T1756" s="279"/>
      <c r="U1756" s="280"/>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9"/>
      <c r="N1757" s="279"/>
      <c r="O1757" s="279"/>
      <c r="P1757" s="279"/>
      <c r="Q1757" s="279"/>
      <c r="R1757" s="279"/>
      <c r="S1757" s="279"/>
      <c r="T1757" s="279"/>
      <c r="U1757" s="280"/>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9"/>
      <c r="N1758" s="279"/>
      <c r="O1758" s="279"/>
      <c r="P1758" s="279"/>
      <c r="Q1758" s="279"/>
      <c r="R1758" s="279"/>
      <c r="S1758" s="279"/>
      <c r="T1758" s="279"/>
      <c r="U1758" s="280"/>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9"/>
      <c r="N1759" s="279"/>
      <c r="O1759" s="279"/>
      <c r="P1759" s="279"/>
      <c r="Q1759" s="279"/>
      <c r="R1759" s="279"/>
      <c r="S1759" s="279"/>
      <c r="T1759" s="279"/>
      <c r="U1759" s="280"/>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9"/>
      <c r="N1760" s="279"/>
      <c r="O1760" s="279"/>
      <c r="P1760" s="279"/>
      <c r="Q1760" s="279"/>
      <c r="R1760" s="279"/>
      <c r="S1760" s="279"/>
      <c r="T1760" s="279"/>
      <c r="U1760" s="280"/>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9"/>
      <c r="N1761" s="279"/>
      <c r="O1761" s="279"/>
      <c r="P1761" s="279"/>
      <c r="Q1761" s="279"/>
      <c r="R1761" s="279"/>
      <c r="S1761" s="279"/>
      <c r="T1761" s="279"/>
      <c r="U1761" s="280"/>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9"/>
      <c r="N1762" s="279"/>
      <c r="O1762" s="279"/>
      <c r="P1762" s="279"/>
      <c r="Q1762" s="279"/>
      <c r="R1762" s="279"/>
      <c r="S1762" s="279"/>
      <c r="T1762" s="279"/>
      <c r="U1762" s="280"/>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9"/>
      <c r="N1763" s="279"/>
      <c r="O1763" s="279"/>
      <c r="P1763" s="279"/>
      <c r="Q1763" s="279"/>
      <c r="R1763" s="279"/>
      <c r="S1763" s="279"/>
      <c r="T1763" s="279"/>
      <c r="U1763" s="280"/>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0" t="s">
        <v>389</v>
      </c>
      <c r="C1764" s="321"/>
      <c r="D1764" s="79"/>
      <c r="E1764" s="80"/>
      <c r="F1764" s="80"/>
      <c r="G1764" s="81"/>
      <c r="H1764" s="192"/>
      <c r="I1764" s="192"/>
      <c r="J1764" s="192"/>
      <c r="K1764" s="82"/>
      <c r="L1764" s="320" t="s">
        <v>306</v>
      </c>
      <c r="M1764" s="331"/>
      <c r="N1764" s="331"/>
      <c r="O1764" s="331"/>
      <c r="P1764" s="331"/>
      <c r="Q1764" s="331"/>
      <c r="R1764" s="331"/>
      <c r="S1764" s="331"/>
      <c r="T1764" s="331"/>
      <c r="U1764" s="321"/>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0" t="s">
        <v>307</v>
      </c>
      <c r="C1765" s="321"/>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3" t="s">
        <v>222</v>
      </c>
      <c r="C1769" s="314"/>
      <c r="D1769" s="315" t="s">
        <v>223</v>
      </c>
      <c r="E1769" s="306"/>
      <c r="F1769" s="88"/>
      <c r="G1769" s="316" t="s">
        <v>224</v>
      </c>
      <c r="H1769" s="317"/>
      <c r="I1769" s="28">
        <f>SUM(E1780:E1804)</f>
        <v>0</v>
      </c>
      <c r="J1769" s="318" t="s">
        <v>225</v>
      </c>
      <c r="K1769" s="319"/>
      <c r="L1769" s="306"/>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6" t="s">
        <v>226</v>
      </c>
      <c r="AA1769" s="297"/>
      <c r="AB1769" s="298"/>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5" t="s">
        <v>230</v>
      </c>
      <c r="H1770" s="306"/>
      <c r="I1770" s="33">
        <f>E1771-I1769</f>
        <v>0</v>
      </c>
      <c r="J1770" s="290" t="s">
        <v>231</v>
      </c>
      <c r="K1770" s="291"/>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9" t="s">
        <v>232</v>
      </c>
      <c r="AA1770" s="301" t="s">
        <v>233</v>
      </c>
      <c r="AB1770" s="30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2" t="s">
        <v>237</v>
      </c>
      <c r="H1771" s="293"/>
      <c r="I1771" s="35">
        <f>IF(E1771=0,0,12-(MOD(I1769,12)))</f>
        <v>0</v>
      </c>
      <c r="J1771" s="290" t="s">
        <v>238</v>
      </c>
      <c r="K1771" s="291"/>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0"/>
      <c r="AA1771" s="303"/>
      <c r="AB1771" s="30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2" t="s">
        <v>242</v>
      </c>
      <c r="H1772" s="43" t="s">
        <v>243</v>
      </c>
      <c r="I1772" s="35">
        <f>IF(E1772&lt;&gt;0,1,0)</f>
        <v>0</v>
      </c>
      <c r="J1772" s="292" t="s">
        <v>244</v>
      </c>
      <c r="K1772" s="29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3"/>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2" t="s">
        <v>251</v>
      </c>
      <c r="H1774" s="51" t="s">
        <v>252</v>
      </c>
      <c r="I1774" s="112">
        <f>E1773</f>
        <v>0</v>
      </c>
      <c r="J1774" s="324" t="s">
        <v>253</v>
      </c>
      <c r="K1774" s="325"/>
      <c r="L1774" s="32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3"/>
      <c r="H1775" s="47" t="s">
        <v>257</v>
      </c>
      <c r="I1775" s="35" t="str">
        <f>IF(E1773="","0",IF(AND(E1770="EUC",E1771=432), I1774+(203-E1772),IF(E1773=0,0,(E1773+(E1771-E1772)-1))))</f>
        <v>0</v>
      </c>
      <c r="J1775" s="287" t="str">
        <f>IFERROR(IF(OR(E1770="EUC",E1770="SS"),"---",IF(OR(P1769,S1769),"NO 2F Tethers for RPX!",IF(OR(P1771,S1771),"NO 6F Tethers for RPX!","---"))),"---")</f>
        <v>---</v>
      </c>
      <c r="K1775" s="288"/>
      <c r="L1775" s="289"/>
      <c r="M1775" s="287" t="str">
        <f>IF(E1772&gt;60,"Dead Count &gt;60: Consider Downsize","---")</f>
        <v>---</v>
      </c>
      <c r="N1775" s="288"/>
      <c r="O1775" s="288"/>
      <c r="P1775" s="288"/>
      <c r="Q1775" s="288"/>
      <c r="R1775" s="288"/>
      <c r="S1775" s="288"/>
      <c r="T1775" s="288"/>
      <c r="U1775" s="289"/>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7"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8"/>
      <c r="L1776" s="289"/>
      <c r="M1776" s="287" t="str">
        <f>IF(AND(OR(E1770="SS",E1770="RPX",E1770="EUC",E1770="RPX-T"),(OR(C1780="",C1780="Field SPL"))),"Cannot have FlexNap cables without tethers","---")</f>
        <v>---</v>
      </c>
      <c r="N1776" s="288"/>
      <c r="O1776" s="288"/>
      <c r="P1776" s="288"/>
      <c r="Q1776" s="288"/>
      <c r="R1776" s="288"/>
      <c r="S1776" s="288"/>
      <c r="T1776" s="288"/>
      <c r="U1776" s="289"/>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7" t="str">
        <f>IF(AND(OR(E1770="RPX", E1770="RPX-T", E1770="SS"),E1771=216),"NO 216 For RPX, RPX-T, OR SS CABLE","---")</f>
        <v>---</v>
      </c>
      <c r="K1777" s="288"/>
      <c r="L1777" s="289"/>
      <c r="M1777" s="287" t="str" cm="1">
        <f t="array" ref="M1777">IF(AND(E1770="",OR(C1780:C1804="FST",C1780:C1804="REV T",C1780:C1804="DBL REV",C1780:C1804="TPL REV", C1780:C1804="QD REV")),"Non-FlexNap cables cannot have tethers","---")</f>
        <v>---</v>
      </c>
      <c r="N1777" s="288"/>
      <c r="O1777" s="288"/>
      <c r="P1777" s="288"/>
      <c r="Q1777" s="288"/>
      <c r="R1777" s="288"/>
      <c r="S1777" s="288"/>
      <c r="T1777" s="288"/>
      <c r="U1777" s="289"/>
      <c r="V1777" s="25"/>
      <c r="W1777" s="58"/>
      <c r="X1777" s="58"/>
      <c r="Y1777" s="25"/>
      <c r="Z1777" s="45">
        <v>6</v>
      </c>
      <c r="AA1777" s="65">
        <v>61</v>
      </c>
      <c r="AB1777" s="65">
        <v>72</v>
      </c>
      <c r="AC1777" s="25"/>
      <c r="AD1777" s="25"/>
      <c r="BA1777" s="226"/>
    </row>
    <row r="1778" spans="1:53" ht="15.75" customHeight="1" thickBot="1" x14ac:dyDescent="0.3">
      <c r="A1778" s="88"/>
      <c r="B1778" s="322" t="s">
        <v>260</v>
      </c>
      <c r="C1778" s="294" t="s">
        <v>261</v>
      </c>
      <c r="D1778" s="294" t="s">
        <v>262</v>
      </c>
      <c r="E1778" s="307" t="s">
        <v>263</v>
      </c>
      <c r="F1778" s="294" t="s">
        <v>264</v>
      </c>
      <c r="G1778" s="309" t="s">
        <v>265</v>
      </c>
      <c r="H1778" s="309" t="s">
        <v>266</v>
      </c>
      <c r="I1778" s="309" t="s">
        <v>267</v>
      </c>
      <c r="J1778" s="311" t="s">
        <v>268</v>
      </c>
      <c r="K1778" s="294" t="s">
        <v>269</v>
      </c>
      <c r="L1778" s="281" t="s">
        <v>270</v>
      </c>
      <c r="M1778" s="283" t="s">
        <v>271</v>
      </c>
      <c r="N1778" s="283"/>
      <c r="O1778" s="283"/>
      <c r="P1778" s="283"/>
      <c r="Q1778" s="283"/>
      <c r="R1778" s="283"/>
      <c r="S1778" s="283"/>
      <c r="T1778" s="283"/>
      <c r="U1778" s="284"/>
      <c r="V1778" s="107"/>
      <c r="W1778" s="72"/>
      <c r="X1778" s="72"/>
      <c r="Y1778" s="72"/>
      <c r="Z1778" s="45">
        <v>7</v>
      </c>
      <c r="AA1778" s="65">
        <v>73</v>
      </c>
      <c r="AB1778" s="65">
        <v>84</v>
      </c>
      <c r="AC1778" s="25"/>
      <c r="AD1778" s="25"/>
      <c r="BA1778" s="228"/>
    </row>
    <row r="1779" spans="1:53" ht="15.75" thickBot="1" x14ac:dyDescent="0.3">
      <c r="A1779" s="88"/>
      <c r="B1779" s="323"/>
      <c r="C1779" s="295"/>
      <c r="D1779" s="295"/>
      <c r="E1779" s="308"/>
      <c r="F1779" s="295"/>
      <c r="G1779" s="310"/>
      <c r="H1779" s="310"/>
      <c r="I1779" s="310"/>
      <c r="J1779" s="312"/>
      <c r="K1779" s="295"/>
      <c r="L1779" s="282"/>
      <c r="M1779" s="285"/>
      <c r="N1779" s="285"/>
      <c r="O1779" s="285"/>
      <c r="P1779" s="285"/>
      <c r="Q1779" s="285"/>
      <c r="R1779" s="285"/>
      <c r="S1779" s="285"/>
      <c r="T1779" s="285"/>
      <c r="U1779" s="28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9"/>
      <c r="N1780" s="279"/>
      <c r="O1780" s="279"/>
      <c r="P1780" s="279"/>
      <c r="Q1780" s="279"/>
      <c r="R1780" s="279"/>
      <c r="S1780" s="279"/>
      <c r="T1780" s="279"/>
      <c r="U1780" s="280"/>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9"/>
      <c r="N1781" s="279"/>
      <c r="O1781" s="279"/>
      <c r="P1781" s="279"/>
      <c r="Q1781" s="279"/>
      <c r="R1781" s="279"/>
      <c r="S1781" s="279"/>
      <c r="T1781" s="279"/>
      <c r="U1781" s="280"/>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9"/>
      <c r="N1782" s="279"/>
      <c r="O1782" s="279"/>
      <c r="P1782" s="279"/>
      <c r="Q1782" s="279"/>
      <c r="R1782" s="279"/>
      <c r="S1782" s="279"/>
      <c r="T1782" s="279"/>
      <c r="U1782" s="280"/>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9"/>
      <c r="N1783" s="279"/>
      <c r="O1783" s="279"/>
      <c r="P1783" s="279"/>
      <c r="Q1783" s="279"/>
      <c r="R1783" s="279"/>
      <c r="S1783" s="279"/>
      <c r="T1783" s="279"/>
      <c r="U1783" s="280"/>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9"/>
      <c r="N1784" s="279"/>
      <c r="O1784" s="279"/>
      <c r="P1784" s="279"/>
      <c r="Q1784" s="279"/>
      <c r="R1784" s="279"/>
      <c r="S1784" s="279"/>
      <c r="T1784" s="279"/>
      <c r="U1784" s="280"/>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9"/>
      <c r="N1785" s="279"/>
      <c r="O1785" s="279"/>
      <c r="P1785" s="279"/>
      <c r="Q1785" s="279"/>
      <c r="R1785" s="279"/>
      <c r="S1785" s="279"/>
      <c r="T1785" s="279"/>
      <c r="U1785" s="280"/>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9"/>
      <c r="N1786" s="279"/>
      <c r="O1786" s="279"/>
      <c r="P1786" s="279"/>
      <c r="Q1786" s="279"/>
      <c r="R1786" s="279"/>
      <c r="S1786" s="279"/>
      <c r="T1786" s="279"/>
      <c r="U1786" s="280"/>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9"/>
      <c r="N1787" s="279"/>
      <c r="O1787" s="279"/>
      <c r="P1787" s="279"/>
      <c r="Q1787" s="279"/>
      <c r="R1787" s="279"/>
      <c r="S1787" s="279"/>
      <c r="T1787" s="279"/>
      <c r="U1787" s="280"/>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9"/>
      <c r="N1788" s="279"/>
      <c r="O1788" s="279"/>
      <c r="P1788" s="279"/>
      <c r="Q1788" s="279"/>
      <c r="R1788" s="279"/>
      <c r="S1788" s="279"/>
      <c r="T1788" s="279"/>
      <c r="U1788" s="280"/>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9"/>
      <c r="N1789" s="279"/>
      <c r="O1789" s="279"/>
      <c r="P1789" s="279"/>
      <c r="Q1789" s="279"/>
      <c r="R1789" s="279"/>
      <c r="S1789" s="279"/>
      <c r="T1789" s="279"/>
      <c r="U1789" s="280"/>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9"/>
      <c r="N1790" s="279"/>
      <c r="O1790" s="279"/>
      <c r="P1790" s="279"/>
      <c r="Q1790" s="279"/>
      <c r="R1790" s="279"/>
      <c r="S1790" s="279"/>
      <c r="T1790" s="279"/>
      <c r="U1790" s="280"/>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9"/>
      <c r="N1791" s="279"/>
      <c r="O1791" s="279"/>
      <c r="P1791" s="279"/>
      <c r="Q1791" s="279"/>
      <c r="R1791" s="279"/>
      <c r="S1791" s="279"/>
      <c r="T1791" s="279"/>
      <c r="U1791" s="280"/>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9"/>
      <c r="N1792" s="279"/>
      <c r="O1792" s="279"/>
      <c r="P1792" s="279"/>
      <c r="Q1792" s="279"/>
      <c r="R1792" s="279"/>
      <c r="S1792" s="279"/>
      <c r="T1792" s="279"/>
      <c r="U1792" s="280"/>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9"/>
      <c r="N1793" s="279"/>
      <c r="O1793" s="279"/>
      <c r="P1793" s="279"/>
      <c r="Q1793" s="279"/>
      <c r="R1793" s="279"/>
      <c r="S1793" s="279"/>
      <c r="T1793" s="279"/>
      <c r="U1793" s="280"/>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9"/>
      <c r="N1794" s="279"/>
      <c r="O1794" s="279"/>
      <c r="P1794" s="279"/>
      <c r="Q1794" s="279"/>
      <c r="R1794" s="279"/>
      <c r="S1794" s="279"/>
      <c r="T1794" s="279"/>
      <c r="U1794" s="280"/>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9"/>
      <c r="N1795" s="279"/>
      <c r="O1795" s="279"/>
      <c r="P1795" s="279"/>
      <c r="Q1795" s="279"/>
      <c r="R1795" s="279"/>
      <c r="S1795" s="279"/>
      <c r="T1795" s="279"/>
      <c r="U1795" s="280"/>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9"/>
      <c r="N1796" s="279"/>
      <c r="O1796" s="279"/>
      <c r="P1796" s="279"/>
      <c r="Q1796" s="279"/>
      <c r="R1796" s="279"/>
      <c r="S1796" s="279"/>
      <c r="T1796" s="279"/>
      <c r="U1796" s="280"/>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9"/>
      <c r="N1797" s="279"/>
      <c r="O1797" s="279"/>
      <c r="P1797" s="279"/>
      <c r="Q1797" s="279"/>
      <c r="R1797" s="279"/>
      <c r="S1797" s="279"/>
      <c r="T1797" s="279"/>
      <c r="U1797" s="280"/>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9"/>
      <c r="N1798" s="279"/>
      <c r="O1798" s="279"/>
      <c r="P1798" s="279"/>
      <c r="Q1798" s="279"/>
      <c r="R1798" s="279"/>
      <c r="S1798" s="279"/>
      <c r="T1798" s="279"/>
      <c r="U1798" s="280"/>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9"/>
      <c r="N1799" s="279"/>
      <c r="O1799" s="279"/>
      <c r="P1799" s="279"/>
      <c r="Q1799" s="279"/>
      <c r="R1799" s="279"/>
      <c r="S1799" s="279"/>
      <c r="T1799" s="279"/>
      <c r="U1799" s="280"/>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9"/>
      <c r="N1800" s="279"/>
      <c r="O1800" s="279"/>
      <c r="P1800" s="279"/>
      <c r="Q1800" s="279"/>
      <c r="R1800" s="279"/>
      <c r="S1800" s="279"/>
      <c r="T1800" s="279"/>
      <c r="U1800" s="280"/>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9"/>
      <c r="N1801" s="279"/>
      <c r="O1801" s="279"/>
      <c r="P1801" s="279"/>
      <c r="Q1801" s="279"/>
      <c r="R1801" s="279"/>
      <c r="S1801" s="279"/>
      <c r="T1801" s="279"/>
      <c r="U1801" s="280"/>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9"/>
      <c r="N1802" s="279"/>
      <c r="O1802" s="279"/>
      <c r="P1802" s="279"/>
      <c r="Q1802" s="279"/>
      <c r="R1802" s="279"/>
      <c r="S1802" s="279"/>
      <c r="T1802" s="279"/>
      <c r="U1802" s="280"/>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9"/>
      <c r="N1803" s="279"/>
      <c r="O1803" s="279"/>
      <c r="P1803" s="279"/>
      <c r="Q1803" s="279"/>
      <c r="R1803" s="279"/>
      <c r="S1803" s="279"/>
      <c r="T1803" s="279"/>
      <c r="U1803" s="280"/>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9"/>
      <c r="N1804" s="279"/>
      <c r="O1804" s="279"/>
      <c r="P1804" s="279"/>
      <c r="Q1804" s="279"/>
      <c r="R1804" s="279"/>
      <c r="S1804" s="279"/>
      <c r="T1804" s="279"/>
      <c r="U1804" s="280"/>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0" t="s">
        <v>391</v>
      </c>
      <c r="C1805" s="321"/>
      <c r="D1805" s="79"/>
      <c r="E1805" s="80"/>
      <c r="F1805" s="80"/>
      <c r="G1805" s="81"/>
      <c r="H1805" s="192"/>
      <c r="I1805" s="192"/>
      <c r="J1805" s="192"/>
      <c r="K1805" s="82"/>
      <c r="L1805" s="320" t="s">
        <v>306</v>
      </c>
      <c r="M1805" s="331"/>
      <c r="N1805" s="331"/>
      <c r="O1805" s="331"/>
      <c r="P1805" s="331"/>
      <c r="Q1805" s="331"/>
      <c r="R1805" s="331"/>
      <c r="S1805" s="331"/>
      <c r="T1805" s="331"/>
      <c r="U1805" s="321"/>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0" t="s">
        <v>307</v>
      </c>
      <c r="C1806" s="321"/>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3" t="s">
        <v>222</v>
      </c>
      <c r="C1810" s="314"/>
      <c r="D1810" s="315" t="s">
        <v>223</v>
      </c>
      <c r="E1810" s="306"/>
      <c r="F1810" s="88"/>
      <c r="G1810" s="316" t="s">
        <v>224</v>
      </c>
      <c r="H1810" s="317"/>
      <c r="I1810" s="28">
        <f>SUM(E1821:E1845)</f>
        <v>0</v>
      </c>
      <c r="J1810" s="318" t="s">
        <v>225</v>
      </c>
      <c r="K1810" s="319"/>
      <c r="L1810" s="306"/>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6" t="s">
        <v>226</v>
      </c>
      <c r="AA1810" s="297"/>
      <c r="AB1810" s="298"/>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5" t="s">
        <v>230</v>
      </c>
      <c r="H1811" s="306"/>
      <c r="I1811" s="33">
        <f>E1812-I1810</f>
        <v>0</v>
      </c>
      <c r="J1811" s="290" t="s">
        <v>231</v>
      </c>
      <c r="K1811" s="291"/>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9" t="s">
        <v>232</v>
      </c>
      <c r="AA1811" s="301" t="s">
        <v>233</v>
      </c>
      <c r="AB1811" s="30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2" t="s">
        <v>237</v>
      </c>
      <c r="H1812" s="293"/>
      <c r="I1812" s="35">
        <f>IF(E1812=0,0,12-(MOD(I1810,12)))</f>
        <v>0</v>
      </c>
      <c r="J1812" s="290" t="s">
        <v>238</v>
      </c>
      <c r="K1812" s="291"/>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0"/>
      <c r="AA1812" s="303"/>
      <c r="AB1812" s="30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2" t="s">
        <v>242</v>
      </c>
      <c r="H1813" s="43" t="s">
        <v>243</v>
      </c>
      <c r="I1813" s="35">
        <f>IF(E1813&lt;&gt;0,1,0)</f>
        <v>0</v>
      </c>
      <c r="J1813" s="292" t="s">
        <v>244</v>
      </c>
      <c r="K1813" s="29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3"/>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2" t="s">
        <v>251</v>
      </c>
      <c r="H1815" s="51" t="s">
        <v>252</v>
      </c>
      <c r="I1815" s="112">
        <f>E1814</f>
        <v>0</v>
      </c>
      <c r="J1815" s="324" t="s">
        <v>253</v>
      </c>
      <c r="K1815" s="325"/>
      <c r="L1815" s="32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3"/>
      <c r="H1816" s="47" t="s">
        <v>257</v>
      </c>
      <c r="I1816" s="35" t="str">
        <f>IF(E1814="","0",IF(AND(E1811="EUC",E1812=432), I1815+(203-E1813),IF(E1814=0,0,(E1814+(E1812-E1813)-1))))</f>
        <v>0</v>
      </c>
      <c r="J1816" s="287" t="str">
        <f>IFERROR(IF(OR(E1811="EUC",E1811="SS"),"---",IF(OR(P1810,S1810),"NO 2F Tethers for RPX!",IF(OR(P1812,S1812),"NO 6F Tethers for RPX!","---"))),"---")</f>
        <v>---</v>
      </c>
      <c r="K1816" s="288"/>
      <c r="L1816" s="289"/>
      <c r="M1816" s="287" t="str">
        <f>IF(E1813&gt;60,"Dead Count &gt;60: Consider Downsize","---")</f>
        <v>---</v>
      </c>
      <c r="N1816" s="288"/>
      <c r="O1816" s="288"/>
      <c r="P1816" s="288"/>
      <c r="Q1816" s="288"/>
      <c r="R1816" s="288"/>
      <c r="S1816" s="288"/>
      <c r="T1816" s="288"/>
      <c r="U1816" s="289"/>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7"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8"/>
      <c r="L1817" s="289"/>
      <c r="M1817" s="287" t="str">
        <f>IF(AND(OR(E1811="SS",E1811="RPX",E1811="EUC",E1811="RPX-T"),(OR(C1821="",C1821="Field SPL"))),"Cannot have FlexNap cables without tethers","---")</f>
        <v>---</v>
      </c>
      <c r="N1817" s="288"/>
      <c r="O1817" s="288"/>
      <c r="P1817" s="288"/>
      <c r="Q1817" s="288"/>
      <c r="R1817" s="288"/>
      <c r="S1817" s="288"/>
      <c r="T1817" s="288"/>
      <c r="U1817" s="289"/>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7" t="str">
        <f>IF(AND(OR(E1811="RPX", E1811="RPX-T", E1811="SS"),E1812=216),"NO 216 For RPX, RPX-T, OR SS CABLE","---")</f>
        <v>---</v>
      </c>
      <c r="K1818" s="288"/>
      <c r="L1818" s="289"/>
      <c r="M1818" s="287" t="str" cm="1">
        <f t="array" ref="M1818">IF(AND(E1811="",OR(C1821:C1845="FST",C1821:C1845="REV T",C1821:C1845="DBL REV",C1821:C1845="TPL REV", C1821:C1845="QD REV")),"Non-FlexNap cables cannot have tethers","---")</f>
        <v>---</v>
      </c>
      <c r="N1818" s="288"/>
      <c r="O1818" s="288"/>
      <c r="P1818" s="288"/>
      <c r="Q1818" s="288"/>
      <c r="R1818" s="288"/>
      <c r="S1818" s="288"/>
      <c r="T1818" s="288"/>
      <c r="U1818" s="289"/>
      <c r="V1818" s="25"/>
      <c r="W1818" s="58"/>
      <c r="X1818" s="58"/>
      <c r="Y1818" s="25"/>
      <c r="Z1818" s="45">
        <v>6</v>
      </c>
      <c r="AA1818" s="65">
        <v>61</v>
      </c>
      <c r="AB1818" s="65">
        <v>72</v>
      </c>
      <c r="AC1818" s="25"/>
      <c r="AD1818" s="25"/>
      <c r="BA1818" s="226"/>
    </row>
    <row r="1819" spans="1:53" ht="15.75" customHeight="1" thickBot="1" x14ac:dyDescent="0.3">
      <c r="A1819" s="88"/>
      <c r="B1819" s="322" t="s">
        <v>260</v>
      </c>
      <c r="C1819" s="294" t="s">
        <v>261</v>
      </c>
      <c r="D1819" s="294" t="s">
        <v>262</v>
      </c>
      <c r="E1819" s="307" t="s">
        <v>263</v>
      </c>
      <c r="F1819" s="294" t="s">
        <v>264</v>
      </c>
      <c r="G1819" s="309" t="s">
        <v>265</v>
      </c>
      <c r="H1819" s="309" t="s">
        <v>266</v>
      </c>
      <c r="I1819" s="309" t="s">
        <v>267</v>
      </c>
      <c r="J1819" s="311" t="s">
        <v>268</v>
      </c>
      <c r="K1819" s="294" t="s">
        <v>269</v>
      </c>
      <c r="L1819" s="281" t="s">
        <v>270</v>
      </c>
      <c r="M1819" s="283" t="s">
        <v>271</v>
      </c>
      <c r="N1819" s="283"/>
      <c r="O1819" s="283"/>
      <c r="P1819" s="283"/>
      <c r="Q1819" s="283"/>
      <c r="R1819" s="283"/>
      <c r="S1819" s="283"/>
      <c r="T1819" s="283"/>
      <c r="U1819" s="284"/>
      <c r="V1819" s="107"/>
      <c r="W1819" s="72"/>
      <c r="X1819" s="72"/>
      <c r="Y1819" s="72"/>
      <c r="Z1819" s="45">
        <v>7</v>
      </c>
      <c r="AA1819" s="65">
        <v>73</v>
      </c>
      <c r="AB1819" s="65">
        <v>84</v>
      </c>
      <c r="AC1819" s="25"/>
      <c r="AD1819" s="25"/>
      <c r="BA1819" s="228"/>
    </row>
    <row r="1820" spans="1:53" ht="15.75" thickBot="1" x14ac:dyDescent="0.3">
      <c r="A1820" s="88"/>
      <c r="B1820" s="323"/>
      <c r="C1820" s="295"/>
      <c r="D1820" s="295"/>
      <c r="E1820" s="308"/>
      <c r="F1820" s="295"/>
      <c r="G1820" s="310"/>
      <c r="H1820" s="310"/>
      <c r="I1820" s="310"/>
      <c r="J1820" s="312"/>
      <c r="K1820" s="295"/>
      <c r="L1820" s="282"/>
      <c r="M1820" s="285"/>
      <c r="N1820" s="285"/>
      <c r="O1820" s="285"/>
      <c r="P1820" s="285"/>
      <c r="Q1820" s="285"/>
      <c r="R1820" s="285"/>
      <c r="S1820" s="285"/>
      <c r="T1820" s="285"/>
      <c r="U1820" s="28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9"/>
      <c r="N1821" s="279"/>
      <c r="O1821" s="279"/>
      <c r="P1821" s="279"/>
      <c r="Q1821" s="279"/>
      <c r="R1821" s="279"/>
      <c r="S1821" s="279"/>
      <c r="T1821" s="279"/>
      <c r="U1821" s="280"/>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9"/>
      <c r="N1822" s="279"/>
      <c r="O1822" s="279"/>
      <c r="P1822" s="279"/>
      <c r="Q1822" s="279"/>
      <c r="R1822" s="279"/>
      <c r="S1822" s="279"/>
      <c r="T1822" s="279"/>
      <c r="U1822" s="280"/>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9"/>
      <c r="N1823" s="279"/>
      <c r="O1823" s="279"/>
      <c r="P1823" s="279"/>
      <c r="Q1823" s="279"/>
      <c r="R1823" s="279"/>
      <c r="S1823" s="279"/>
      <c r="T1823" s="279"/>
      <c r="U1823" s="280"/>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9"/>
      <c r="N1824" s="279"/>
      <c r="O1824" s="279"/>
      <c r="P1824" s="279"/>
      <c r="Q1824" s="279"/>
      <c r="R1824" s="279"/>
      <c r="S1824" s="279"/>
      <c r="T1824" s="279"/>
      <c r="U1824" s="280"/>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9"/>
      <c r="N1825" s="279"/>
      <c r="O1825" s="279"/>
      <c r="P1825" s="279"/>
      <c r="Q1825" s="279"/>
      <c r="R1825" s="279"/>
      <c r="S1825" s="279"/>
      <c r="T1825" s="279"/>
      <c r="U1825" s="280"/>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9"/>
      <c r="N1826" s="279"/>
      <c r="O1826" s="279"/>
      <c r="P1826" s="279"/>
      <c r="Q1826" s="279"/>
      <c r="R1826" s="279"/>
      <c r="S1826" s="279"/>
      <c r="T1826" s="279"/>
      <c r="U1826" s="280"/>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9"/>
      <c r="N1827" s="279"/>
      <c r="O1827" s="279"/>
      <c r="P1827" s="279"/>
      <c r="Q1827" s="279"/>
      <c r="R1827" s="279"/>
      <c r="S1827" s="279"/>
      <c r="T1827" s="279"/>
      <c r="U1827" s="280"/>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9"/>
      <c r="N1828" s="279"/>
      <c r="O1828" s="279"/>
      <c r="P1828" s="279"/>
      <c r="Q1828" s="279"/>
      <c r="R1828" s="279"/>
      <c r="S1828" s="279"/>
      <c r="T1828" s="279"/>
      <c r="U1828" s="280"/>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9"/>
      <c r="N1829" s="279"/>
      <c r="O1829" s="279"/>
      <c r="P1829" s="279"/>
      <c r="Q1829" s="279"/>
      <c r="R1829" s="279"/>
      <c r="S1829" s="279"/>
      <c r="T1829" s="279"/>
      <c r="U1829" s="280"/>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9"/>
      <c r="N1830" s="279"/>
      <c r="O1830" s="279"/>
      <c r="P1830" s="279"/>
      <c r="Q1830" s="279"/>
      <c r="R1830" s="279"/>
      <c r="S1830" s="279"/>
      <c r="T1830" s="279"/>
      <c r="U1830" s="280"/>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9"/>
      <c r="N1831" s="279"/>
      <c r="O1831" s="279"/>
      <c r="P1831" s="279"/>
      <c r="Q1831" s="279"/>
      <c r="R1831" s="279"/>
      <c r="S1831" s="279"/>
      <c r="T1831" s="279"/>
      <c r="U1831" s="280"/>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9"/>
      <c r="N1832" s="279"/>
      <c r="O1832" s="279"/>
      <c r="P1832" s="279"/>
      <c r="Q1832" s="279"/>
      <c r="R1832" s="279"/>
      <c r="S1832" s="279"/>
      <c r="T1832" s="279"/>
      <c r="U1832" s="280"/>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9"/>
      <c r="N1833" s="279"/>
      <c r="O1833" s="279"/>
      <c r="P1833" s="279"/>
      <c r="Q1833" s="279"/>
      <c r="R1833" s="279"/>
      <c r="S1833" s="279"/>
      <c r="T1833" s="279"/>
      <c r="U1833" s="280"/>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9"/>
      <c r="N1834" s="279"/>
      <c r="O1834" s="279"/>
      <c r="P1834" s="279"/>
      <c r="Q1834" s="279"/>
      <c r="R1834" s="279"/>
      <c r="S1834" s="279"/>
      <c r="T1834" s="279"/>
      <c r="U1834" s="280"/>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9"/>
      <c r="N1835" s="279"/>
      <c r="O1835" s="279"/>
      <c r="P1835" s="279"/>
      <c r="Q1835" s="279"/>
      <c r="R1835" s="279"/>
      <c r="S1835" s="279"/>
      <c r="T1835" s="279"/>
      <c r="U1835" s="280"/>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9"/>
      <c r="N1836" s="279"/>
      <c r="O1836" s="279"/>
      <c r="P1836" s="279"/>
      <c r="Q1836" s="279"/>
      <c r="R1836" s="279"/>
      <c r="S1836" s="279"/>
      <c r="T1836" s="279"/>
      <c r="U1836" s="280"/>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9"/>
      <c r="N1837" s="279"/>
      <c r="O1837" s="279"/>
      <c r="P1837" s="279"/>
      <c r="Q1837" s="279"/>
      <c r="R1837" s="279"/>
      <c r="S1837" s="279"/>
      <c r="T1837" s="279"/>
      <c r="U1837" s="280"/>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9"/>
      <c r="N1838" s="279"/>
      <c r="O1838" s="279"/>
      <c r="P1838" s="279"/>
      <c r="Q1838" s="279"/>
      <c r="R1838" s="279"/>
      <c r="S1838" s="279"/>
      <c r="T1838" s="279"/>
      <c r="U1838" s="280"/>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9"/>
      <c r="N1839" s="279"/>
      <c r="O1839" s="279"/>
      <c r="P1839" s="279"/>
      <c r="Q1839" s="279"/>
      <c r="R1839" s="279"/>
      <c r="S1839" s="279"/>
      <c r="T1839" s="279"/>
      <c r="U1839" s="280"/>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9"/>
      <c r="N1840" s="279"/>
      <c r="O1840" s="279"/>
      <c r="P1840" s="279"/>
      <c r="Q1840" s="279"/>
      <c r="R1840" s="279"/>
      <c r="S1840" s="279"/>
      <c r="T1840" s="279"/>
      <c r="U1840" s="280"/>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9"/>
      <c r="N1841" s="279"/>
      <c r="O1841" s="279"/>
      <c r="P1841" s="279"/>
      <c r="Q1841" s="279"/>
      <c r="R1841" s="279"/>
      <c r="S1841" s="279"/>
      <c r="T1841" s="279"/>
      <c r="U1841" s="280"/>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9"/>
      <c r="N1842" s="279"/>
      <c r="O1842" s="279"/>
      <c r="P1842" s="279"/>
      <c r="Q1842" s="279"/>
      <c r="R1842" s="279"/>
      <c r="S1842" s="279"/>
      <c r="T1842" s="279"/>
      <c r="U1842" s="280"/>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9"/>
      <c r="N1843" s="279"/>
      <c r="O1843" s="279"/>
      <c r="P1843" s="279"/>
      <c r="Q1843" s="279"/>
      <c r="R1843" s="279"/>
      <c r="S1843" s="279"/>
      <c r="T1843" s="279"/>
      <c r="U1843" s="280"/>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9"/>
      <c r="N1844" s="279"/>
      <c r="O1844" s="279"/>
      <c r="P1844" s="279"/>
      <c r="Q1844" s="279"/>
      <c r="R1844" s="279"/>
      <c r="S1844" s="279"/>
      <c r="T1844" s="279"/>
      <c r="U1844" s="280"/>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9"/>
      <c r="N1845" s="279"/>
      <c r="O1845" s="279"/>
      <c r="P1845" s="279"/>
      <c r="Q1845" s="279"/>
      <c r="R1845" s="279"/>
      <c r="S1845" s="279"/>
      <c r="T1845" s="279"/>
      <c r="U1845" s="280"/>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0" t="s">
        <v>393</v>
      </c>
      <c r="C1846" s="321"/>
      <c r="D1846" s="79"/>
      <c r="E1846" s="80"/>
      <c r="F1846" s="80"/>
      <c r="G1846" s="81"/>
      <c r="H1846" s="192"/>
      <c r="I1846" s="192"/>
      <c r="J1846" s="192"/>
      <c r="K1846" s="82"/>
      <c r="L1846" s="320" t="s">
        <v>306</v>
      </c>
      <c r="M1846" s="331"/>
      <c r="N1846" s="331"/>
      <c r="O1846" s="331"/>
      <c r="P1846" s="331"/>
      <c r="Q1846" s="331"/>
      <c r="R1846" s="331"/>
      <c r="S1846" s="331"/>
      <c r="T1846" s="331"/>
      <c r="U1846" s="321"/>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0" t="s">
        <v>307</v>
      </c>
      <c r="C1847" s="321"/>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3" t="s">
        <v>222</v>
      </c>
      <c r="C1851" s="314"/>
      <c r="D1851" s="315" t="s">
        <v>223</v>
      </c>
      <c r="E1851" s="306"/>
      <c r="F1851" s="88"/>
      <c r="G1851" s="316" t="s">
        <v>224</v>
      </c>
      <c r="H1851" s="317"/>
      <c r="I1851" s="28">
        <f>SUM(E1862:E1886)</f>
        <v>0</v>
      </c>
      <c r="J1851" s="318" t="s">
        <v>225</v>
      </c>
      <c r="K1851" s="319"/>
      <c r="L1851" s="306"/>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6" t="s">
        <v>226</v>
      </c>
      <c r="AA1851" s="297"/>
      <c r="AB1851" s="298"/>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5" t="s">
        <v>230</v>
      </c>
      <c r="H1852" s="306"/>
      <c r="I1852" s="33">
        <f>E1853-I1851</f>
        <v>0</v>
      </c>
      <c r="J1852" s="290" t="s">
        <v>231</v>
      </c>
      <c r="K1852" s="291"/>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9" t="s">
        <v>232</v>
      </c>
      <c r="AA1852" s="301" t="s">
        <v>233</v>
      </c>
      <c r="AB1852" s="30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2" t="s">
        <v>237</v>
      </c>
      <c r="H1853" s="293"/>
      <c r="I1853" s="35">
        <f>IF(E1853=0,0,12-(MOD(I1851,12)))</f>
        <v>0</v>
      </c>
      <c r="J1853" s="290" t="s">
        <v>238</v>
      </c>
      <c r="K1853" s="291"/>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0"/>
      <c r="AA1853" s="303"/>
      <c r="AB1853" s="30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2" t="s">
        <v>242</v>
      </c>
      <c r="H1854" s="43" t="s">
        <v>243</v>
      </c>
      <c r="I1854" s="35">
        <f>IF(E1854&lt;&gt;0,1,0)</f>
        <v>0</v>
      </c>
      <c r="J1854" s="292" t="s">
        <v>244</v>
      </c>
      <c r="K1854" s="29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3"/>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2" t="s">
        <v>251</v>
      </c>
      <c r="H1856" s="51" t="s">
        <v>252</v>
      </c>
      <c r="I1856" s="112">
        <f>E1855</f>
        <v>0</v>
      </c>
      <c r="J1856" s="324" t="s">
        <v>253</v>
      </c>
      <c r="K1856" s="325"/>
      <c r="L1856" s="32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3"/>
      <c r="H1857" s="47" t="s">
        <v>257</v>
      </c>
      <c r="I1857" s="35" t="str">
        <f>IF(E1855="","0",IF(AND(E1852="EUC",E1853=432), I1856+(203-E1854),IF(E1855=0,0,(E1855+(E1853-E1854)-1))))</f>
        <v>0</v>
      </c>
      <c r="J1857" s="287" t="str">
        <f>IFERROR(IF(OR(E1852="EUC",E1852="SS"),"---",IF(OR(P1851,S1851),"NO 2F Tethers for RPX!",IF(OR(P1853,S1853),"NO 6F Tethers for RPX!","---"))),"---")</f>
        <v>---</v>
      </c>
      <c r="K1857" s="288"/>
      <c r="L1857" s="289"/>
      <c r="M1857" s="287" t="str">
        <f>IF(E1854&gt;60,"Dead Count &gt;60: Consider Downsize","---")</f>
        <v>---</v>
      </c>
      <c r="N1857" s="288"/>
      <c r="O1857" s="288"/>
      <c r="P1857" s="288"/>
      <c r="Q1857" s="288"/>
      <c r="R1857" s="288"/>
      <c r="S1857" s="288"/>
      <c r="T1857" s="288"/>
      <c r="U1857" s="289"/>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7"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8"/>
      <c r="L1858" s="289"/>
      <c r="M1858" s="287" t="str">
        <f>IF(AND(OR(E1852="SS",E1852="RPX",E1852="EUC",E1852="RPX-T"),(OR(C1862="",C1862="Field SPL"))),"Cannot have FlexNap cables without tethers","---")</f>
        <v>---</v>
      </c>
      <c r="N1858" s="288"/>
      <c r="O1858" s="288"/>
      <c r="P1858" s="288"/>
      <c r="Q1858" s="288"/>
      <c r="R1858" s="288"/>
      <c r="S1858" s="288"/>
      <c r="T1858" s="288"/>
      <c r="U1858" s="289"/>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7" t="str">
        <f>IF(AND(OR(E1852="RPX", E1852="RPX-T", E1852="SS"),E1853=216),"NO 216 For RPX, RPX-T, OR SS CABLE","---")</f>
        <v>---</v>
      </c>
      <c r="K1859" s="288"/>
      <c r="L1859" s="289"/>
      <c r="M1859" s="287" t="str" cm="1">
        <f t="array" ref="M1859">IF(AND(E1852="",OR(C1862:C1886="FST",C1862:C1886="REV T",C1862:C1886="DBL REV",C1862:C1886="TPL REV", C1862:C1886="QD REV")),"Non-FlexNap cables cannot have tethers","---")</f>
        <v>---</v>
      </c>
      <c r="N1859" s="288"/>
      <c r="O1859" s="288"/>
      <c r="P1859" s="288"/>
      <c r="Q1859" s="288"/>
      <c r="R1859" s="288"/>
      <c r="S1859" s="288"/>
      <c r="T1859" s="288"/>
      <c r="U1859" s="289"/>
      <c r="V1859" s="25"/>
      <c r="W1859" s="58"/>
      <c r="X1859" s="58"/>
      <c r="Y1859" s="25"/>
      <c r="Z1859" s="45">
        <v>6</v>
      </c>
      <c r="AA1859" s="65">
        <v>61</v>
      </c>
      <c r="AB1859" s="65">
        <v>72</v>
      </c>
      <c r="AC1859" s="25"/>
      <c r="AD1859" s="25"/>
      <c r="BA1859" s="226"/>
    </row>
    <row r="1860" spans="1:53" ht="15.75" customHeight="1" thickBot="1" x14ac:dyDescent="0.3">
      <c r="A1860" s="88"/>
      <c r="B1860" s="322" t="s">
        <v>260</v>
      </c>
      <c r="C1860" s="294" t="s">
        <v>261</v>
      </c>
      <c r="D1860" s="294" t="s">
        <v>262</v>
      </c>
      <c r="E1860" s="307" t="s">
        <v>263</v>
      </c>
      <c r="F1860" s="294" t="s">
        <v>264</v>
      </c>
      <c r="G1860" s="309" t="s">
        <v>265</v>
      </c>
      <c r="H1860" s="309" t="s">
        <v>266</v>
      </c>
      <c r="I1860" s="309" t="s">
        <v>267</v>
      </c>
      <c r="J1860" s="311" t="s">
        <v>268</v>
      </c>
      <c r="K1860" s="294" t="s">
        <v>269</v>
      </c>
      <c r="L1860" s="281" t="s">
        <v>270</v>
      </c>
      <c r="M1860" s="283" t="s">
        <v>271</v>
      </c>
      <c r="N1860" s="283"/>
      <c r="O1860" s="283"/>
      <c r="P1860" s="283"/>
      <c r="Q1860" s="283"/>
      <c r="R1860" s="283"/>
      <c r="S1860" s="283"/>
      <c r="T1860" s="283"/>
      <c r="U1860" s="284"/>
      <c r="V1860" s="107"/>
      <c r="W1860" s="72"/>
      <c r="X1860" s="72"/>
      <c r="Y1860" s="72"/>
      <c r="Z1860" s="45">
        <v>7</v>
      </c>
      <c r="AA1860" s="65">
        <v>73</v>
      </c>
      <c r="AB1860" s="65">
        <v>84</v>
      </c>
      <c r="AC1860" s="25"/>
      <c r="AD1860" s="25"/>
      <c r="BA1860" s="228"/>
    </row>
    <row r="1861" spans="1:53" ht="15.75" thickBot="1" x14ac:dyDescent="0.3">
      <c r="A1861" s="88"/>
      <c r="B1861" s="323"/>
      <c r="C1861" s="295"/>
      <c r="D1861" s="295"/>
      <c r="E1861" s="308"/>
      <c r="F1861" s="295"/>
      <c r="G1861" s="310"/>
      <c r="H1861" s="310"/>
      <c r="I1861" s="310"/>
      <c r="J1861" s="312"/>
      <c r="K1861" s="295"/>
      <c r="L1861" s="282"/>
      <c r="M1861" s="285"/>
      <c r="N1861" s="285"/>
      <c r="O1861" s="285"/>
      <c r="P1861" s="285"/>
      <c r="Q1861" s="285"/>
      <c r="R1861" s="285"/>
      <c r="S1861" s="285"/>
      <c r="T1861" s="285"/>
      <c r="U1861" s="28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9"/>
      <c r="N1862" s="279"/>
      <c r="O1862" s="279"/>
      <c r="P1862" s="279"/>
      <c r="Q1862" s="279"/>
      <c r="R1862" s="279"/>
      <c r="S1862" s="279"/>
      <c r="T1862" s="279"/>
      <c r="U1862" s="280"/>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9"/>
      <c r="N1863" s="279"/>
      <c r="O1863" s="279"/>
      <c r="P1863" s="279"/>
      <c r="Q1863" s="279"/>
      <c r="R1863" s="279"/>
      <c r="S1863" s="279"/>
      <c r="T1863" s="279"/>
      <c r="U1863" s="280"/>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9"/>
      <c r="N1864" s="279"/>
      <c r="O1864" s="279"/>
      <c r="P1864" s="279"/>
      <c r="Q1864" s="279"/>
      <c r="R1864" s="279"/>
      <c r="S1864" s="279"/>
      <c r="T1864" s="279"/>
      <c r="U1864" s="280"/>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9"/>
      <c r="N1865" s="279"/>
      <c r="O1865" s="279"/>
      <c r="P1865" s="279"/>
      <c r="Q1865" s="279"/>
      <c r="R1865" s="279"/>
      <c r="S1865" s="279"/>
      <c r="T1865" s="279"/>
      <c r="U1865" s="280"/>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9"/>
      <c r="N1866" s="279"/>
      <c r="O1866" s="279"/>
      <c r="P1866" s="279"/>
      <c r="Q1866" s="279"/>
      <c r="R1866" s="279"/>
      <c r="S1866" s="279"/>
      <c r="T1866" s="279"/>
      <c r="U1866" s="280"/>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9"/>
      <c r="N1867" s="279"/>
      <c r="O1867" s="279"/>
      <c r="P1867" s="279"/>
      <c r="Q1867" s="279"/>
      <c r="R1867" s="279"/>
      <c r="S1867" s="279"/>
      <c r="T1867" s="279"/>
      <c r="U1867" s="280"/>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9"/>
      <c r="N1868" s="279"/>
      <c r="O1868" s="279"/>
      <c r="P1868" s="279"/>
      <c r="Q1868" s="279"/>
      <c r="R1868" s="279"/>
      <c r="S1868" s="279"/>
      <c r="T1868" s="279"/>
      <c r="U1868" s="280"/>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9"/>
      <c r="N1869" s="279"/>
      <c r="O1869" s="279"/>
      <c r="P1869" s="279"/>
      <c r="Q1869" s="279"/>
      <c r="R1869" s="279"/>
      <c r="S1869" s="279"/>
      <c r="T1869" s="279"/>
      <c r="U1869" s="280"/>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9"/>
      <c r="N1870" s="279"/>
      <c r="O1870" s="279"/>
      <c r="P1870" s="279"/>
      <c r="Q1870" s="279"/>
      <c r="R1870" s="279"/>
      <c r="S1870" s="279"/>
      <c r="T1870" s="279"/>
      <c r="U1870" s="280"/>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9"/>
      <c r="N1871" s="279"/>
      <c r="O1871" s="279"/>
      <c r="P1871" s="279"/>
      <c r="Q1871" s="279"/>
      <c r="R1871" s="279"/>
      <c r="S1871" s="279"/>
      <c r="T1871" s="279"/>
      <c r="U1871" s="280"/>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9"/>
      <c r="N1872" s="279"/>
      <c r="O1872" s="279"/>
      <c r="P1872" s="279"/>
      <c r="Q1872" s="279"/>
      <c r="R1872" s="279"/>
      <c r="S1872" s="279"/>
      <c r="T1872" s="279"/>
      <c r="U1872" s="280"/>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9"/>
      <c r="N1873" s="279"/>
      <c r="O1873" s="279"/>
      <c r="P1873" s="279"/>
      <c r="Q1873" s="279"/>
      <c r="R1873" s="279"/>
      <c r="S1873" s="279"/>
      <c r="T1873" s="279"/>
      <c r="U1873" s="280"/>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9"/>
      <c r="N1874" s="279"/>
      <c r="O1874" s="279"/>
      <c r="P1874" s="279"/>
      <c r="Q1874" s="279"/>
      <c r="R1874" s="279"/>
      <c r="S1874" s="279"/>
      <c r="T1874" s="279"/>
      <c r="U1874" s="280"/>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9"/>
      <c r="N1875" s="279"/>
      <c r="O1875" s="279"/>
      <c r="P1875" s="279"/>
      <c r="Q1875" s="279"/>
      <c r="R1875" s="279"/>
      <c r="S1875" s="279"/>
      <c r="T1875" s="279"/>
      <c r="U1875" s="280"/>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9"/>
      <c r="N1876" s="279"/>
      <c r="O1876" s="279"/>
      <c r="P1876" s="279"/>
      <c r="Q1876" s="279"/>
      <c r="R1876" s="279"/>
      <c r="S1876" s="279"/>
      <c r="T1876" s="279"/>
      <c r="U1876" s="280"/>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9"/>
      <c r="N1877" s="279"/>
      <c r="O1877" s="279"/>
      <c r="P1877" s="279"/>
      <c r="Q1877" s="279"/>
      <c r="R1877" s="279"/>
      <c r="S1877" s="279"/>
      <c r="T1877" s="279"/>
      <c r="U1877" s="280"/>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9"/>
      <c r="N1878" s="279"/>
      <c r="O1878" s="279"/>
      <c r="P1878" s="279"/>
      <c r="Q1878" s="279"/>
      <c r="R1878" s="279"/>
      <c r="S1878" s="279"/>
      <c r="T1878" s="279"/>
      <c r="U1878" s="280"/>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9"/>
      <c r="N1879" s="279"/>
      <c r="O1879" s="279"/>
      <c r="P1879" s="279"/>
      <c r="Q1879" s="279"/>
      <c r="R1879" s="279"/>
      <c r="S1879" s="279"/>
      <c r="T1879" s="279"/>
      <c r="U1879" s="280"/>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9"/>
      <c r="N1880" s="279"/>
      <c r="O1880" s="279"/>
      <c r="P1880" s="279"/>
      <c r="Q1880" s="279"/>
      <c r="R1880" s="279"/>
      <c r="S1880" s="279"/>
      <c r="T1880" s="279"/>
      <c r="U1880" s="280"/>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9"/>
      <c r="N1881" s="279"/>
      <c r="O1881" s="279"/>
      <c r="P1881" s="279"/>
      <c r="Q1881" s="279"/>
      <c r="R1881" s="279"/>
      <c r="S1881" s="279"/>
      <c r="T1881" s="279"/>
      <c r="U1881" s="280"/>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9"/>
      <c r="N1882" s="279"/>
      <c r="O1882" s="279"/>
      <c r="P1882" s="279"/>
      <c r="Q1882" s="279"/>
      <c r="R1882" s="279"/>
      <c r="S1882" s="279"/>
      <c r="T1882" s="279"/>
      <c r="U1882" s="280"/>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9"/>
      <c r="N1883" s="279"/>
      <c r="O1883" s="279"/>
      <c r="P1883" s="279"/>
      <c r="Q1883" s="279"/>
      <c r="R1883" s="279"/>
      <c r="S1883" s="279"/>
      <c r="T1883" s="279"/>
      <c r="U1883" s="280"/>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9"/>
      <c r="N1884" s="279"/>
      <c r="O1884" s="279"/>
      <c r="P1884" s="279"/>
      <c r="Q1884" s="279"/>
      <c r="R1884" s="279"/>
      <c r="S1884" s="279"/>
      <c r="T1884" s="279"/>
      <c r="U1884" s="280"/>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9"/>
      <c r="N1885" s="279"/>
      <c r="O1885" s="279"/>
      <c r="P1885" s="279"/>
      <c r="Q1885" s="279"/>
      <c r="R1885" s="279"/>
      <c r="S1885" s="279"/>
      <c r="T1885" s="279"/>
      <c r="U1885" s="280"/>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9"/>
      <c r="N1886" s="279"/>
      <c r="O1886" s="279"/>
      <c r="P1886" s="279"/>
      <c r="Q1886" s="279"/>
      <c r="R1886" s="279"/>
      <c r="S1886" s="279"/>
      <c r="T1886" s="279"/>
      <c r="U1886" s="280"/>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0" t="s">
        <v>395</v>
      </c>
      <c r="C1887" s="321"/>
      <c r="D1887" s="79"/>
      <c r="E1887" s="80"/>
      <c r="F1887" s="80"/>
      <c r="G1887" s="81"/>
      <c r="H1887" s="192"/>
      <c r="I1887" s="192"/>
      <c r="J1887" s="192"/>
      <c r="K1887" s="82"/>
      <c r="L1887" s="320" t="s">
        <v>306</v>
      </c>
      <c r="M1887" s="331"/>
      <c r="N1887" s="331"/>
      <c r="O1887" s="331"/>
      <c r="P1887" s="331"/>
      <c r="Q1887" s="331"/>
      <c r="R1887" s="331"/>
      <c r="S1887" s="331"/>
      <c r="T1887" s="331"/>
      <c r="U1887" s="321"/>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0" t="s">
        <v>307</v>
      </c>
      <c r="C1888" s="321"/>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3" t="s">
        <v>222</v>
      </c>
      <c r="C1892" s="314"/>
      <c r="D1892" s="315" t="s">
        <v>223</v>
      </c>
      <c r="E1892" s="306"/>
      <c r="F1892" s="88"/>
      <c r="G1892" s="316" t="s">
        <v>224</v>
      </c>
      <c r="H1892" s="317"/>
      <c r="I1892" s="28">
        <f>SUM(E1903:E1927)</f>
        <v>0</v>
      </c>
      <c r="J1892" s="318" t="s">
        <v>225</v>
      </c>
      <c r="K1892" s="319"/>
      <c r="L1892" s="306"/>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6" t="s">
        <v>226</v>
      </c>
      <c r="AA1892" s="297"/>
      <c r="AB1892" s="298"/>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5" t="s">
        <v>230</v>
      </c>
      <c r="H1893" s="306"/>
      <c r="I1893" s="33">
        <f>E1894-I1892</f>
        <v>0</v>
      </c>
      <c r="J1893" s="290" t="s">
        <v>231</v>
      </c>
      <c r="K1893" s="291"/>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9" t="s">
        <v>232</v>
      </c>
      <c r="AA1893" s="301" t="s">
        <v>233</v>
      </c>
      <c r="AB1893" s="30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2" t="s">
        <v>237</v>
      </c>
      <c r="H1894" s="293"/>
      <c r="I1894" s="35">
        <f>IF(E1894=0,0,12-(MOD(I1892,12)))</f>
        <v>0</v>
      </c>
      <c r="J1894" s="290" t="s">
        <v>238</v>
      </c>
      <c r="K1894" s="291"/>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0"/>
      <c r="AA1894" s="303"/>
      <c r="AB1894" s="30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2" t="s">
        <v>242</v>
      </c>
      <c r="H1895" s="43" t="s">
        <v>243</v>
      </c>
      <c r="I1895" s="35">
        <f>IF(E1895&lt;&gt;0,1,0)</f>
        <v>0</v>
      </c>
      <c r="J1895" s="292" t="s">
        <v>244</v>
      </c>
      <c r="K1895" s="29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3"/>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2" t="s">
        <v>251</v>
      </c>
      <c r="H1897" s="51" t="s">
        <v>252</v>
      </c>
      <c r="I1897" s="112">
        <f>E1896</f>
        <v>0</v>
      </c>
      <c r="J1897" s="324" t="s">
        <v>253</v>
      </c>
      <c r="K1897" s="325"/>
      <c r="L1897" s="32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3"/>
      <c r="H1898" s="47" t="s">
        <v>257</v>
      </c>
      <c r="I1898" s="35" t="str">
        <f>IF(E1896="","0",IF(AND(E1893="EUC",E1894=432), I1897+(203-E1895),IF(E1896=0,0,(E1896+(E1894-E1895)-1))))</f>
        <v>0</v>
      </c>
      <c r="J1898" s="287" t="str">
        <f>IFERROR(IF(OR(E1893="EUC",E1893="SS"),"---",IF(OR(P1892,S1892),"NO 2F Tethers for RPX!",IF(OR(P1894,S1894),"NO 6F Tethers for RPX!","---"))),"---")</f>
        <v>---</v>
      </c>
      <c r="K1898" s="288"/>
      <c r="L1898" s="289"/>
      <c r="M1898" s="287" t="str">
        <f>IF(E1895&gt;60,"Dead Count &gt;60: Consider Downsize","---")</f>
        <v>---</v>
      </c>
      <c r="N1898" s="288"/>
      <c r="O1898" s="288"/>
      <c r="P1898" s="288"/>
      <c r="Q1898" s="288"/>
      <c r="R1898" s="288"/>
      <c r="S1898" s="288"/>
      <c r="T1898" s="288"/>
      <c r="U1898" s="289"/>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7"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8"/>
      <c r="L1899" s="289"/>
      <c r="M1899" s="287" t="str">
        <f>IF(AND(OR(E1893="SS",E1893="RPX",E1893="EUC",E1893="RPX-T"),(OR(C1903="",C1903="Field SPL"))),"Cannot have FlexNap cables without tethers","---")</f>
        <v>---</v>
      </c>
      <c r="N1899" s="288"/>
      <c r="O1899" s="288"/>
      <c r="P1899" s="288"/>
      <c r="Q1899" s="288"/>
      <c r="R1899" s="288"/>
      <c r="S1899" s="288"/>
      <c r="T1899" s="288"/>
      <c r="U1899" s="289"/>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7" t="str">
        <f>IF(AND(OR(E1893="RPX", E1893="RPX-T", E1893="SS"),E1894=216),"NO 216 For RPX, RPX-T, OR SS CABLE","---")</f>
        <v>---</v>
      </c>
      <c r="K1900" s="288"/>
      <c r="L1900" s="289"/>
      <c r="M1900" s="287" t="str" cm="1">
        <f t="array" ref="M1900">IF(AND(E1893="",OR(C1903:C1927="FST",C1903:C1927="REV T",C1903:C1927="DBL REV",C1903:C1927="TPL REV", C1903:C1927="QD REV")),"Non-FlexNap cables cannot have tethers","---")</f>
        <v>---</v>
      </c>
      <c r="N1900" s="288"/>
      <c r="O1900" s="288"/>
      <c r="P1900" s="288"/>
      <c r="Q1900" s="288"/>
      <c r="R1900" s="288"/>
      <c r="S1900" s="288"/>
      <c r="T1900" s="288"/>
      <c r="U1900" s="289"/>
      <c r="V1900" s="25"/>
      <c r="W1900" s="58"/>
      <c r="X1900" s="58"/>
      <c r="Y1900" s="25"/>
      <c r="Z1900" s="45">
        <v>6</v>
      </c>
      <c r="AA1900" s="65">
        <v>61</v>
      </c>
      <c r="AB1900" s="65">
        <v>72</v>
      </c>
      <c r="AC1900" s="25"/>
      <c r="AD1900" s="25"/>
      <c r="BA1900" s="226"/>
    </row>
    <row r="1901" spans="1:53" ht="15.75" customHeight="1" thickBot="1" x14ac:dyDescent="0.3">
      <c r="A1901" s="88"/>
      <c r="B1901" s="322" t="s">
        <v>260</v>
      </c>
      <c r="C1901" s="294" t="s">
        <v>261</v>
      </c>
      <c r="D1901" s="294" t="s">
        <v>262</v>
      </c>
      <c r="E1901" s="307" t="s">
        <v>263</v>
      </c>
      <c r="F1901" s="294" t="s">
        <v>264</v>
      </c>
      <c r="G1901" s="309" t="s">
        <v>265</v>
      </c>
      <c r="H1901" s="309" t="s">
        <v>266</v>
      </c>
      <c r="I1901" s="309" t="s">
        <v>267</v>
      </c>
      <c r="J1901" s="311" t="s">
        <v>268</v>
      </c>
      <c r="K1901" s="294" t="s">
        <v>269</v>
      </c>
      <c r="L1901" s="281" t="s">
        <v>270</v>
      </c>
      <c r="M1901" s="283" t="s">
        <v>271</v>
      </c>
      <c r="N1901" s="283"/>
      <c r="O1901" s="283"/>
      <c r="P1901" s="283"/>
      <c r="Q1901" s="283"/>
      <c r="R1901" s="283"/>
      <c r="S1901" s="283"/>
      <c r="T1901" s="283"/>
      <c r="U1901" s="284"/>
      <c r="V1901" s="107"/>
      <c r="W1901" s="72"/>
      <c r="X1901" s="72"/>
      <c r="Y1901" s="72"/>
      <c r="Z1901" s="45">
        <v>7</v>
      </c>
      <c r="AA1901" s="65">
        <v>73</v>
      </c>
      <c r="AB1901" s="65">
        <v>84</v>
      </c>
      <c r="AC1901" s="25"/>
      <c r="AD1901" s="25"/>
      <c r="BA1901" s="228"/>
    </row>
    <row r="1902" spans="1:53" ht="15.75" thickBot="1" x14ac:dyDescent="0.3">
      <c r="A1902" s="88"/>
      <c r="B1902" s="323"/>
      <c r="C1902" s="295"/>
      <c r="D1902" s="295"/>
      <c r="E1902" s="308"/>
      <c r="F1902" s="295"/>
      <c r="G1902" s="310"/>
      <c r="H1902" s="310"/>
      <c r="I1902" s="310"/>
      <c r="J1902" s="312"/>
      <c r="K1902" s="295"/>
      <c r="L1902" s="282"/>
      <c r="M1902" s="285"/>
      <c r="N1902" s="285"/>
      <c r="O1902" s="285"/>
      <c r="P1902" s="285"/>
      <c r="Q1902" s="285"/>
      <c r="R1902" s="285"/>
      <c r="S1902" s="285"/>
      <c r="T1902" s="285"/>
      <c r="U1902" s="28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9"/>
      <c r="N1903" s="279"/>
      <c r="O1903" s="279"/>
      <c r="P1903" s="279"/>
      <c r="Q1903" s="279"/>
      <c r="R1903" s="279"/>
      <c r="S1903" s="279"/>
      <c r="T1903" s="279"/>
      <c r="U1903" s="280"/>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9"/>
      <c r="N1904" s="279"/>
      <c r="O1904" s="279"/>
      <c r="P1904" s="279"/>
      <c r="Q1904" s="279"/>
      <c r="R1904" s="279"/>
      <c r="S1904" s="279"/>
      <c r="T1904" s="279"/>
      <c r="U1904" s="280"/>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9"/>
      <c r="N1905" s="279"/>
      <c r="O1905" s="279"/>
      <c r="P1905" s="279"/>
      <c r="Q1905" s="279"/>
      <c r="R1905" s="279"/>
      <c r="S1905" s="279"/>
      <c r="T1905" s="279"/>
      <c r="U1905" s="280"/>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9"/>
      <c r="N1906" s="279"/>
      <c r="O1906" s="279"/>
      <c r="P1906" s="279"/>
      <c r="Q1906" s="279"/>
      <c r="R1906" s="279"/>
      <c r="S1906" s="279"/>
      <c r="T1906" s="279"/>
      <c r="U1906" s="280"/>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9"/>
      <c r="N1907" s="279"/>
      <c r="O1907" s="279"/>
      <c r="P1907" s="279"/>
      <c r="Q1907" s="279"/>
      <c r="R1907" s="279"/>
      <c r="S1907" s="279"/>
      <c r="T1907" s="279"/>
      <c r="U1907" s="280"/>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9"/>
      <c r="N1908" s="279"/>
      <c r="O1908" s="279"/>
      <c r="P1908" s="279"/>
      <c r="Q1908" s="279"/>
      <c r="R1908" s="279"/>
      <c r="S1908" s="279"/>
      <c r="T1908" s="279"/>
      <c r="U1908" s="280"/>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9"/>
      <c r="N1909" s="279"/>
      <c r="O1909" s="279"/>
      <c r="P1909" s="279"/>
      <c r="Q1909" s="279"/>
      <c r="R1909" s="279"/>
      <c r="S1909" s="279"/>
      <c r="T1909" s="279"/>
      <c r="U1909" s="280"/>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9"/>
      <c r="N1910" s="279"/>
      <c r="O1910" s="279"/>
      <c r="P1910" s="279"/>
      <c r="Q1910" s="279"/>
      <c r="R1910" s="279"/>
      <c r="S1910" s="279"/>
      <c r="T1910" s="279"/>
      <c r="U1910" s="280"/>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9"/>
      <c r="N1911" s="279"/>
      <c r="O1911" s="279"/>
      <c r="P1911" s="279"/>
      <c r="Q1911" s="279"/>
      <c r="R1911" s="279"/>
      <c r="S1911" s="279"/>
      <c r="T1911" s="279"/>
      <c r="U1911" s="280"/>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9"/>
      <c r="N1912" s="279"/>
      <c r="O1912" s="279"/>
      <c r="P1912" s="279"/>
      <c r="Q1912" s="279"/>
      <c r="R1912" s="279"/>
      <c r="S1912" s="279"/>
      <c r="T1912" s="279"/>
      <c r="U1912" s="280"/>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9"/>
      <c r="N1913" s="279"/>
      <c r="O1913" s="279"/>
      <c r="P1913" s="279"/>
      <c r="Q1913" s="279"/>
      <c r="R1913" s="279"/>
      <c r="S1913" s="279"/>
      <c r="T1913" s="279"/>
      <c r="U1913" s="280"/>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9"/>
      <c r="N1914" s="279"/>
      <c r="O1914" s="279"/>
      <c r="P1914" s="279"/>
      <c r="Q1914" s="279"/>
      <c r="R1914" s="279"/>
      <c r="S1914" s="279"/>
      <c r="T1914" s="279"/>
      <c r="U1914" s="280"/>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9"/>
      <c r="N1915" s="279"/>
      <c r="O1915" s="279"/>
      <c r="P1915" s="279"/>
      <c r="Q1915" s="279"/>
      <c r="R1915" s="279"/>
      <c r="S1915" s="279"/>
      <c r="T1915" s="279"/>
      <c r="U1915" s="280"/>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9"/>
      <c r="N1916" s="279"/>
      <c r="O1916" s="279"/>
      <c r="P1916" s="279"/>
      <c r="Q1916" s="279"/>
      <c r="R1916" s="279"/>
      <c r="S1916" s="279"/>
      <c r="T1916" s="279"/>
      <c r="U1916" s="280"/>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9"/>
      <c r="N1917" s="279"/>
      <c r="O1917" s="279"/>
      <c r="P1917" s="279"/>
      <c r="Q1917" s="279"/>
      <c r="R1917" s="279"/>
      <c r="S1917" s="279"/>
      <c r="T1917" s="279"/>
      <c r="U1917" s="280"/>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9"/>
      <c r="N1918" s="279"/>
      <c r="O1918" s="279"/>
      <c r="P1918" s="279"/>
      <c r="Q1918" s="279"/>
      <c r="R1918" s="279"/>
      <c r="S1918" s="279"/>
      <c r="T1918" s="279"/>
      <c r="U1918" s="280"/>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9"/>
      <c r="N1919" s="279"/>
      <c r="O1919" s="279"/>
      <c r="P1919" s="279"/>
      <c r="Q1919" s="279"/>
      <c r="R1919" s="279"/>
      <c r="S1919" s="279"/>
      <c r="T1919" s="279"/>
      <c r="U1919" s="280"/>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9"/>
      <c r="N1920" s="279"/>
      <c r="O1920" s="279"/>
      <c r="P1920" s="279"/>
      <c r="Q1920" s="279"/>
      <c r="R1920" s="279"/>
      <c r="S1920" s="279"/>
      <c r="T1920" s="279"/>
      <c r="U1920" s="280"/>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9"/>
      <c r="N1921" s="279"/>
      <c r="O1921" s="279"/>
      <c r="P1921" s="279"/>
      <c r="Q1921" s="279"/>
      <c r="R1921" s="279"/>
      <c r="S1921" s="279"/>
      <c r="T1921" s="279"/>
      <c r="U1921" s="280"/>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9"/>
      <c r="N1922" s="279"/>
      <c r="O1922" s="279"/>
      <c r="P1922" s="279"/>
      <c r="Q1922" s="279"/>
      <c r="R1922" s="279"/>
      <c r="S1922" s="279"/>
      <c r="T1922" s="279"/>
      <c r="U1922" s="280"/>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9"/>
      <c r="N1923" s="279"/>
      <c r="O1923" s="279"/>
      <c r="P1923" s="279"/>
      <c r="Q1923" s="279"/>
      <c r="R1923" s="279"/>
      <c r="S1923" s="279"/>
      <c r="T1923" s="279"/>
      <c r="U1923" s="280"/>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9"/>
      <c r="N1924" s="279"/>
      <c r="O1924" s="279"/>
      <c r="P1924" s="279"/>
      <c r="Q1924" s="279"/>
      <c r="R1924" s="279"/>
      <c r="S1924" s="279"/>
      <c r="T1924" s="279"/>
      <c r="U1924" s="280"/>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9"/>
      <c r="N1925" s="279"/>
      <c r="O1925" s="279"/>
      <c r="P1925" s="279"/>
      <c r="Q1925" s="279"/>
      <c r="R1925" s="279"/>
      <c r="S1925" s="279"/>
      <c r="T1925" s="279"/>
      <c r="U1925" s="280"/>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9"/>
      <c r="N1926" s="279"/>
      <c r="O1926" s="279"/>
      <c r="P1926" s="279"/>
      <c r="Q1926" s="279"/>
      <c r="R1926" s="279"/>
      <c r="S1926" s="279"/>
      <c r="T1926" s="279"/>
      <c r="U1926" s="280"/>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9"/>
      <c r="N1927" s="279"/>
      <c r="O1927" s="279"/>
      <c r="P1927" s="279"/>
      <c r="Q1927" s="279"/>
      <c r="R1927" s="279"/>
      <c r="S1927" s="279"/>
      <c r="T1927" s="279"/>
      <c r="U1927" s="280"/>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0" t="s">
        <v>397</v>
      </c>
      <c r="C1928" s="321"/>
      <c r="D1928" s="79"/>
      <c r="E1928" s="80"/>
      <c r="F1928" s="80"/>
      <c r="G1928" s="81"/>
      <c r="H1928" s="192"/>
      <c r="I1928" s="192"/>
      <c r="J1928" s="192"/>
      <c r="K1928" s="82"/>
      <c r="L1928" s="320" t="s">
        <v>306</v>
      </c>
      <c r="M1928" s="331"/>
      <c r="N1928" s="331"/>
      <c r="O1928" s="331"/>
      <c r="P1928" s="331"/>
      <c r="Q1928" s="331"/>
      <c r="R1928" s="331"/>
      <c r="S1928" s="331"/>
      <c r="T1928" s="331"/>
      <c r="U1928" s="321"/>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0" t="s">
        <v>307</v>
      </c>
      <c r="C1929" s="321"/>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3" t="s">
        <v>222</v>
      </c>
      <c r="C1933" s="314"/>
      <c r="D1933" s="315" t="s">
        <v>223</v>
      </c>
      <c r="E1933" s="306"/>
      <c r="F1933" s="88"/>
      <c r="G1933" s="316" t="s">
        <v>224</v>
      </c>
      <c r="H1933" s="317"/>
      <c r="I1933" s="28">
        <f>SUM(E1944:E1968)</f>
        <v>0</v>
      </c>
      <c r="J1933" s="318" t="s">
        <v>225</v>
      </c>
      <c r="K1933" s="319"/>
      <c r="L1933" s="306"/>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6" t="s">
        <v>226</v>
      </c>
      <c r="AA1933" s="297"/>
      <c r="AB1933" s="298"/>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5" t="s">
        <v>230</v>
      </c>
      <c r="H1934" s="306"/>
      <c r="I1934" s="33">
        <f>E1935-I1933</f>
        <v>0</v>
      </c>
      <c r="J1934" s="290" t="s">
        <v>231</v>
      </c>
      <c r="K1934" s="291"/>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9" t="s">
        <v>232</v>
      </c>
      <c r="AA1934" s="301" t="s">
        <v>233</v>
      </c>
      <c r="AB1934" s="30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2" t="s">
        <v>237</v>
      </c>
      <c r="H1935" s="293"/>
      <c r="I1935" s="35">
        <f>IF(E1935=0,0,12-(MOD(I1933,12)))</f>
        <v>0</v>
      </c>
      <c r="J1935" s="290" t="s">
        <v>238</v>
      </c>
      <c r="K1935" s="291"/>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0"/>
      <c r="AA1935" s="303"/>
      <c r="AB1935" s="30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2" t="s">
        <v>242</v>
      </c>
      <c r="H1936" s="43" t="s">
        <v>243</v>
      </c>
      <c r="I1936" s="35">
        <f>IF(E1936&lt;&gt;0,1,0)</f>
        <v>0</v>
      </c>
      <c r="J1936" s="292" t="s">
        <v>244</v>
      </c>
      <c r="K1936" s="29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3"/>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2" t="s">
        <v>251</v>
      </c>
      <c r="H1938" s="51" t="s">
        <v>252</v>
      </c>
      <c r="I1938" s="112">
        <f>E1937</f>
        <v>0</v>
      </c>
      <c r="J1938" s="324" t="s">
        <v>253</v>
      </c>
      <c r="K1938" s="325"/>
      <c r="L1938" s="32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3"/>
      <c r="H1939" s="47" t="s">
        <v>257</v>
      </c>
      <c r="I1939" s="35" t="str">
        <f>IF(E1937="","0",IF(AND(E1934="EUC",E1935=432), I1938+(203-E1936),IF(E1937=0,0,(E1937+(E1935-E1936)-1))))</f>
        <v>0</v>
      </c>
      <c r="J1939" s="287" t="str">
        <f>IFERROR(IF(OR(E1934="EUC",E1934="SS"),"---",IF(OR(P1933,S1933),"NO 2F Tethers for RPX!",IF(OR(P1935,S1935),"NO 6F Tethers for RPX!","---"))),"---")</f>
        <v>---</v>
      </c>
      <c r="K1939" s="288"/>
      <c r="L1939" s="289"/>
      <c r="M1939" s="287" t="str">
        <f>IF(E1936&gt;60,"Dead Count &gt;60: Consider Downsize","---")</f>
        <v>---</v>
      </c>
      <c r="N1939" s="288"/>
      <c r="O1939" s="288"/>
      <c r="P1939" s="288"/>
      <c r="Q1939" s="288"/>
      <c r="R1939" s="288"/>
      <c r="S1939" s="288"/>
      <c r="T1939" s="288"/>
      <c r="U1939" s="289"/>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7"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8"/>
      <c r="L1940" s="289"/>
      <c r="M1940" s="287" t="str">
        <f>IF(AND(OR(E1934="SS",E1934="RPX",E1934="EUC",E1934="RPX-T"),(OR(C1944="",C1944="Field SPL"))),"Cannot have FlexNap cables without tethers","---")</f>
        <v>---</v>
      </c>
      <c r="N1940" s="288"/>
      <c r="O1940" s="288"/>
      <c r="P1940" s="288"/>
      <c r="Q1940" s="288"/>
      <c r="R1940" s="288"/>
      <c r="S1940" s="288"/>
      <c r="T1940" s="288"/>
      <c r="U1940" s="289"/>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7" t="str">
        <f>IF(AND(OR(E1934="RPX", E1934="RPX-T", E1934="SS"),E1935=216),"NO 216 For RPX, RPX-T, OR SS CABLE","---")</f>
        <v>---</v>
      </c>
      <c r="K1941" s="288"/>
      <c r="L1941" s="289"/>
      <c r="M1941" s="287" t="str" cm="1">
        <f t="array" ref="M1941">IF(AND(E1934="",OR(C1944:C1968="FST",C1944:C1968="REV T",C1944:C1968="DBL REV",C1944:C1968="TPL REV", C1944:C1968="QD REV")),"Non-FlexNap cables cannot have tethers","---")</f>
        <v>---</v>
      </c>
      <c r="N1941" s="288"/>
      <c r="O1941" s="288"/>
      <c r="P1941" s="288"/>
      <c r="Q1941" s="288"/>
      <c r="R1941" s="288"/>
      <c r="S1941" s="288"/>
      <c r="T1941" s="288"/>
      <c r="U1941" s="289"/>
      <c r="V1941" s="25"/>
      <c r="W1941" s="58"/>
      <c r="X1941" s="58"/>
      <c r="Y1941" s="25"/>
      <c r="Z1941" s="45">
        <v>6</v>
      </c>
      <c r="AA1941" s="65">
        <v>61</v>
      </c>
      <c r="AB1941" s="65">
        <v>72</v>
      </c>
      <c r="AC1941" s="25"/>
      <c r="AD1941" s="25"/>
      <c r="BA1941" s="226"/>
    </row>
    <row r="1942" spans="1:53" ht="15.75" customHeight="1" thickBot="1" x14ac:dyDescent="0.3">
      <c r="A1942" s="88"/>
      <c r="B1942" s="322" t="s">
        <v>260</v>
      </c>
      <c r="C1942" s="294" t="s">
        <v>261</v>
      </c>
      <c r="D1942" s="294" t="s">
        <v>262</v>
      </c>
      <c r="E1942" s="307" t="s">
        <v>263</v>
      </c>
      <c r="F1942" s="294" t="s">
        <v>264</v>
      </c>
      <c r="G1942" s="309" t="s">
        <v>265</v>
      </c>
      <c r="H1942" s="309" t="s">
        <v>266</v>
      </c>
      <c r="I1942" s="309" t="s">
        <v>267</v>
      </c>
      <c r="J1942" s="311" t="s">
        <v>268</v>
      </c>
      <c r="K1942" s="294" t="s">
        <v>269</v>
      </c>
      <c r="L1942" s="281" t="s">
        <v>270</v>
      </c>
      <c r="M1942" s="283" t="s">
        <v>271</v>
      </c>
      <c r="N1942" s="283"/>
      <c r="O1942" s="283"/>
      <c r="P1942" s="283"/>
      <c r="Q1942" s="283"/>
      <c r="R1942" s="283"/>
      <c r="S1942" s="283"/>
      <c r="T1942" s="283"/>
      <c r="U1942" s="284"/>
      <c r="V1942" s="107"/>
      <c r="W1942" s="72"/>
      <c r="X1942" s="72"/>
      <c r="Y1942" s="72"/>
      <c r="Z1942" s="45">
        <v>7</v>
      </c>
      <c r="AA1942" s="65">
        <v>73</v>
      </c>
      <c r="AB1942" s="65">
        <v>84</v>
      </c>
      <c r="AC1942" s="25"/>
      <c r="AD1942" s="25"/>
      <c r="BA1942" s="228"/>
    </row>
    <row r="1943" spans="1:53" ht="15.75" thickBot="1" x14ac:dyDescent="0.3">
      <c r="A1943" s="88"/>
      <c r="B1943" s="323"/>
      <c r="C1943" s="295"/>
      <c r="D1943" s="295"/>
      <c r="E1943" s="308"/>
      <c r="F1943" s="295"/>
      <c r="G1943" s="310"/>
      <c r="H1943" s="310"/>
      <c r="I1943" s="310"/>
      <c r="J1943" s="312"/>
      <c r="K1943" s="295"/>
      <c r="L1943" s="282"/>
      <c r="M1943" s="285"/>
      <c r="N1943" s="285"/>
      <c r="O1943" s="285"/>
      <c r="P1943" s="285"/>
      <c r="Q1943" s="285"/>
      <c r="R1943" s="285"/>
      <c r="S1943" s="285"/>
      <c r="T1943" s="285"/>
      <c r="U1943" s="28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9"/>
      <c r="N1944" s="279"/>
      <c r="O1944" s="279"/>
      <c r="P1944" s="279"/>
      <c r="Q1944" s="279"/>
      <c r="R1944" s="279"/>
      <c r="S1944" s="279"/>
      <c r="T1944" s="279"/>
      <c r="U1944" s="280"/>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9"/>
      <c r="N1945" s="279"/>
      <c r="O1945" s="279"/>
      <c r="P1945" s="279"/>
      <c r="Q1945" s="279"/>
      <c r="R1945" s="279"/>
      <c r="S1945" s="279"/>
      <c r="T1945" s="279"/>
      <c r="U1945" s="280"/>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9"/>
      <c r="N1946" s="279"/>
      <c r="O1946" s="279"/>
      <c r="P1946" s="279"/>
      <c r="Q1946" s="279"/>
      <c r="R1946" s="279"/>
      <c r="S1946" s="279"/>
      <c r="T1946" s="279"/>
      <c r="U1946" s="280"/>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9"/>
      <c r="N1947" s="279"/>
      <c r="O1947" s="279"/>
      <c r="P1947" s="279"/>
      <c r="Q1947" s="279"/>
      <c r="R1947" s="279"/>
      <c r="S1947" s="279"/>
      <c r="T1947" s="279"/>
      <c r="U1947" s="280"/>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9"/>
      <c r="N1948" s="279"/>
      <c r="O1948" s="279"/>
      <c r="P1948" s="279"/>
      <c r="Q1948" s="279"/>
      <c r="R1948" s="279"/>
      <c r="S1948" s="279"/>
      <c r="T1948" s="279"/>
      <c r="U1948" s="280"/>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9"/>
      <c r="N1949" s="279"/>
      <c r="O1949" s="279"/>
      <c r="P1949" s="279"/>
      <c r="Q1949" s="279"/>
      <c r="R1949" s="279"/>
      <c r="S1949" s="279"/>
      <c r="T1949" s="279"/>
      <c r="U1949" s="280"/>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9"/>
      <c r="N1950" s="279"/>
      <c r="O1950" s="279"/>
      <c r="P1950" s="279"/>
      <c r="Q1950" s="279"/>
      <c r="R1950" s="279"/>
      <c r="S1950" s="279"/>
      <c r="T1950" s="279"/>
      <c r="U1950" s="280"/>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9"/>
      <c r="N1951" s="279"/>
      <c r="O1951" s="279"/>
      <c r="P1951" s="279"/>
      <c r="Q1951" s="279"/>
      <c r="R1951" s="279"/>
      <c r="S1951" s="279"/>
      <c r="T1951" s="279"/>
      <c r="U1951" s="280"/>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9"/>
      <c r="N1952" s="279"/>
      <c r="O1952" s="279"/>
      <c r="P1952" s="279"/>
      <c r="Q1952" s="279"/>
      <c r="R1952" s="279"/>
      <c r="S1952" s="279"/>
      <c r="T1952" s="279"/>
      <c r="U1952" s="280"/>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9"/>
      <c r="N1953" s="279"/>
      <c r="O1953" s="279"/>
      <c r="P1953" s="279"/>
      <c r="Q1953" s="279"/>
      <c r="R1953" s="279"/>
      <c r="S1953" s="279"/>
      <c r="T1953" s="279"/>
      <c r="U1953" s="280"/>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9"/>
      <c r="N1954" s="279"/>
      <c r="O1954" s="279"/>
      <c r="P1954" s="279"/>
      <c r="Q1954" s="279"/>
      <c r="R1954" s="279"/>
      <c r="S1954" s="279"/>
      <c r="T1954" s="279"/>
      <c r="U1954" s="280"/>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9"/>
      <c r="N1955" s="279"/>
      <c r="O1955" s="279"/>
      <c r="P1955" s="279"/>
      <c r="Q1955" s="279"/>
      <c r="R1955" s="279"/>
      <c r="S1955" s="279"/>
      <c r="T1955" s="279"/>
      <c r="U1955" s="280"/>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9"/>
      <c r="N1956" s="279"/>
      <c r="O1956" s="279"/>
      <c r="P1956" s="279"/>
      <c r="Q1956" s="279"/>
      <c r="R1956" s="279"/>
      <c r="S1956" s="279"/>
      <c r="T1956" s="279"/>
      <c r="U1956" s="280"/>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9"/>
      <c r="N1957" s="279"/>
      <c r="O1957" s="279"/>
      <c r="P1957" s="279"/>
      <c r="Q1957" s="279"/>
      <c r="R1957" s="279"/>
      <c r="S1957" s="279"/>
      <c r="T1957" s="279"/>
      <c r="U1957" s="280"/>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9"/>
      <c r="N1958" s="279"/>
      <c r="O1958" s="279"/>
      <c r="P1958" s="279"/>
      <c r="Q1958" s="279"/>
      <c r="R1958" s="279"/>
      <c r="S1958" s="279"/>
      <c r="T1958" s="279"/>
      <c r="U1958" s="280"/>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9"/>
      <c r="N1959" s="279"/>
      <c r="O1959" s="279"/>
      <c r="P1959" s="279"/>
      <c r="Q1959" s="279"/>
      <c r="R1959" s="279"/>
      <c r="S1959" s="279"/>
      <c r="T1959" s="279"/>
      <c r="U1959" s="280"/>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9"/>
      <c r="N1960" s="279"/>
      <c r="O1960" s="279"/>
      <c r="P1960" s="279"/>
      <c r="Q1960" s="279"/>
      <c r="R1960" s="279"/>
      <c r="S1960" s="279"/>
      <c r="T1960" s="279"/>
      <c r="U1960" s="280"/>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9"/>
      <c r="N1961" s="279"/>
      <c r="O1961" s="279"/>
      <c r="P1961" s="279"/>
      <c r="Q1961" s="279"/>
      <c r="R1961" s="279"/>
      <c r="S1961" s="279"/>
      <c r="T1961" s="279"/>
      <c r="U1961" s="280"/>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9"/>
      <c r="N1962" s="279"/>
      <c r="O1962" s="279"/>
      <c r="P1962" s="279"/>
      <c r="Q1962" s="279"/>
      <c r="R1962" s="279"/>
      <c r="S1962" s="279"/>
      <c r="T1962" s="279"/>
      <c r="U1962" s="280"/>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9"/>
      <c r="N1963" s="279"/>
      <c r="O1963" s="279"/>
      <c r="P1963" s="279"/>
      <c r="Q1963" s="279"/>
      <c r="R1963" s="279"/>
      <c r="S1963" s="279"/>
      <c r="T1963" s="279"/>
      <c r="U1963" s="280"/>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9"/>
      <c r="N1964" s="279"/>
      <c r="O1964" s="279"/>
      <c r="P1964" s="279"/>
      <c r="Q1964" s="279"/>
      <c r="R1964" s="279"/>
      <c r="S1964" s="279"/>
      <c r="T1964" s="279"/>
      <c r="U1964" s="280"/>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9"/>
      <c r="N1965" s="279"/>
      <c r="O1965" s="279"/>
      <c r="P1965" s="279"/>
      <c r="Q1965" s="279"/>
      <c r="R1965" s="279"/>
      <c r="S1965" s="279"/>
      <c r="T1965" s="279"/>
      <c r="U1965" s="280"/>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9"/>
      <c r="N1966" s="279"/>
      <c r="O1966" s="279"/>
      <c r="P1966" s="279"/>
      <c r="Q1966" s="279"/>
      <c r="R1966" s="279"/>
      <c r="S1966" s="279"/>
      <c r="T1966" s="279"/>
      <c r="U1966" s="280"/>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9"/>
      <c r="N1967" s="279"/>
      <c r="O1967" s="279"/>
      <c r="P1967" s="279"/>
      <c r="Q1967" s="279"/>
      <c r="R1967" s="279"/>
      <c r="S1967" s="279"/>
      <c r="T1967" s="279"/>
      <c r="U1967" s="280"/>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9"/>
      <c r="N1968" s="279"/>
      <c r="O1968" s="279"/>
      <c r="P1968" s="279"/>
      <c r="Q1968" s="279"/>
      <c r="R1968" s="279"/>
      <c r="S1968" s="279"/>
      <c r="T1968" s="279"/>
      <c r="U1968" s="280"/>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0" t="s">
        <v>399</v>
      </c>
      <c r="C1969" s="321"/>
      <c r="D1969" s="79"/>
      <c r="E1969" s="80"/>
      <c r="F1969" s="80"/>
      <c r="G1969" s="81"/>
      <c r="H1969" s="192"/>
      <c r="I1969" s="192"/>
      <c r="J1969" s="192"/>
      <c r="K1969" s="82"/>
      <c r="L1969" s="320" t="s">
        <v>306</v>
      </c>
      <c r="M1969" s="331"/>
      <c r="N1969" s="331"/>
      <c r="O1969" s="331"/>
      <c r="P1969" s="331"/>
      <c r="Q1969" s="331"/>
      <c r="R1969" s="331"/>
      <c r="S1969" s="331"/>
      <c r="T1969" s="331"/>
      <c r="U1969" s="321"/>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0" t="s">
        <v>307</v>
      </c>
      <c r="C1970" s="321"/>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3" t="s">
        <v>222</v>
      </c>
      <c r="C1974" s="314"/>
      <c r="D1974" s="315" t="s">
        <v>223</v>
      </c>
      <c r="E1974" s="306"/>
      <c r="F1974" s="88"/>
      <c r="G1974" s="316" t="s">
        <v>224</v>
      </c>
      <c r="H1974" s="317"/>
      <c r="I1974" s="28">
        <f>SUM(E1985:E2009)</f>
        <v>0</v>
      </c>
      <c r="J1974" s="318" t="s">
        <v>225</v>
      </c>
      <c r="K1974" s="319"/>
      <c r="L1974" s="306"/>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6" t="s">
        <v>226</v>
      </c>
      <c r="AA1974" s="297"/>
      <c r="AB1974" s="298"/>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5" t="s">
        <v>230</v>
      </c>
      <c r="H1975" s="306"/>
      <c r="I1975" s="33">
        <f>E1976-I1974</f>
        <v>0</v>
      </c>
      <c r="J1975" s="290" t="s">
        <v>231</v>
      </c>
      <c r="K1975" s="291"/>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9" t="s">
        <v>232</v>
      </c>
      <c r="AA1975" s="301" t="s">
        <v>233</v>
      </c>
      <c r="AB1975" s="30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2" t="s">
        <v>237</v>
      </c>
      <c r="H1976" s="293"/>
      <c r="I1976" s="35">
        <f>IF(E1976=0,0,12-(MOD(I1974,12)))</f>
        <v>0</v>
      </c>
      <c r="J1976" s="290" t="s">
        <v>238</v>
      </c>
      <c r="K1976" s="291"/>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0"/>
      <c r="AA1976" s="303"/>
      <c r="AB1976" s="30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2" t="s">
        <v>242</v>
      </c>
      <c r="H1977" s="43" t="s">
        <v>243</v>
      </c>
      <c r="I1977" s="35">
        <f>IF(E1977&lt;&gt;0,1,0)</f>
        <v>0</v>
      </c>
      <c r="J1977" s="292" t="s">
        <v>244</v>
      </c>
      <c r="K1977" s="29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3"/>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2" t="s">
        <v>251</v>
      </c>
      <c r="H1979" s="51" t="s">
        <v>252</v>
      </c>
      <c r="I1979" s="112">
        <f>E1978</f>
        <v>0</v>
      </c>
      <c r="J1979" s="324" t="s">
        <v>253</v>
      </c>
      <c r="K1979" s="325"/>
      <c r="L1979" s="32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3"/>
      <c r="H1980" s="47" t="s">
        <v>257</v>
      </c>
      <c r="I1980" s="35" t="str">
        <f>IF(E1978="","0",IF(AND(E1975="EUC",E1976=432), I1979+(203-E1977),IF(E1978=0,0,(E1978+(E1976-E1977)-1))))</f>
        <v>0</v>
      </c>
      <c r="J1980" s="287" t="str">
        <f>IFERROR(IF(OR(E1975="EUC",E1975="SS"),"---",IF(OR(P1974,S1974),"NO 2F Tethers for RPX!",IF(OR(P1976,S1976),"NO 6F Tethers for RPX!","---"))),"---")</f>
        <v>---</v>
      </c>
      <c r="K1980" s="288"/>
      <c r="L1980" s="289"/>
      <c r="M1980" s="287" t="str">
        <f>IF(E1977&gt;60,"Dead Count &gt;60: Consider Downsize","---")</f>
        <v>---</v>
      </c>
      <c r="N1980" s="288"/>
      <c r="O1980" s="288"/>
      <c r="P1980" s="288"/>
      <c r="Q1980" s="288"/>
      <c r="R1980" s="288"/>
      <c r="S1980" s="288"/>
      <c r="T1980" s="288"/>
      <c r="U1980" s="289"/>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7"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8"/>
      <c r="L1981" s="289"/>
      <c r="M1981" s="287" t="str">
        <f>IF(AND(OR(E1975="SS",E1975="RPX",E1975="EUC",E1975="RPX-T"),(OR(C1985="",C1985="Field SPL"))),"Cannot have FlexNap cables without tethers","---")</f>
        <v>---</v>
      </c>
      <c r="N1981" s="288"/>
      <c r="O1981" s="288"/>
      <c r="P1981" s="288"/>
      <c r="Q1981" s="288"/>
      <c r="R1981" s="288"/>
      <c r="S1981" s="288"/>
      <c r="T1981" s="288"/>
      <c r="U1981" s="289"/>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7" t="str">
        <f>IF(AND(OR(E1975="RPX", E1975="RPX-T", E1975="SS"),E1976=216),"NO 216 For RPX, RPX-T, OR SS CABLE","---")</f>
        <v>---</v>
      </c>
      <c r="K1982" s="288"/>
      <c r="L1982" s="289"/>
      <c r="M1982" s="287" t="str" cm="1">
        <f t="array" ref="M1982">IF(AND(E1975="",OR(C1985:C2009="FST",C1985:C2009="REV T",C1985:C2009="DBL REV",C1985:C2009="TPL REV", C1985:C2009="QD REV")),"Non-FlexNap cables cannot have tethers","---")</f>
        <v>---</v>
      </c>
      <c r="N1982" s="288"/>
      <c r="O1982" s="288"/>
      <c r="P1982" s="288"/>
      <c r="Q1982" s="288"/>
      <c r="R1982" s="288"/>
      <c r="S1982" s="288"/>
      <c r="T1982" s="288"/>
      <c r="U1982" s="289"/>
      <c r="V1982" s="25"/>
      <c r="W1982" s="58"/>
      <c r="X1982" s="58"/>
      <c r="Y1982" s="25"/>
      <c r="Z1982" s="45">
        <v>6</v>
      </c>
      <c r="AA1982" s="65">
        <v>61</v>
      </c>
      <c r="AB1982" s="65">
        <v>72</v>
      </c>
      <c r="AC1982" s="25"/>
      <c r="AD1982" s="25"/>
      <c r="BA1982" s="226"/>
    </row>
    <row r="1983" spans="1:53" ht="15.75" customHeight="1" thickBot="1" x14ac:dyDescent="0.3">
      <c r="A1983" s="88"/>
      <c r="B1983" s="322" t="s">
        <v>260</v>
      </c>
      <c r="C1983" s="294" t="s">
        <v>261</v>
      </c>
      <c r="D1983" s="294" t="s">
        <v>262</v>
      </c>
      <c r="E1983" s="307" t="s">
        <v>263</v>
      </c>
      <c r="F1983" s="294" t="s">
        <v>264</v>
      </c>
      <c r="G1983" s="309" t="s">
        <v>265</v>
      </c>
      <c r="H1983" s="309" t="s">
        <v>266</v>
      </c>
      <c r="I1983" s="309" t="s">
        <v>267</v>
      </c>
      <c r="J1983" s="311" t="s">
        <v>268</v>
      </c>
      <c r="K1983" s="294" t="s">
        <v>269</v>
      </c>
      <c r="L1983" s="281" t="s">
        <v>270</v>
      </c>
      <c r="M1983" s="283" t="s">
        <v>271</v>
      </c>
      <c r="N1983" s="283"/>
      <c r="O1983" s="283"/>
      <c r="P1983" s="283"/>
      <c r="Q1983" s="283"/>
      <c r="R1983" s="283"/>
      <c r="S1983" s="283"/>
      <c r="T1983" s="283"/>
      <c r="U1983" s="284"/>
      <c r="V1983" s="107"/>
      <c r="W1983" s="72"/>
      <c r="X1983" s="72"/>
      <c r="Y1983" s="72"/>
      <c r="Z1983" s="45">
        <v>7</v>
      </c>
      <c r="AA1983" s="65">
        <v>73</v>
      </c>
      <c r="AB1983" s="65">
        <v>84</v>
      </c>
      <c r="AC1983" s="25"/>
      <c r="AD1983" s="25"/>
      <c r="BA1983" s="228"/>
    </row>
    <row r="1984" spans="1:53" ht="15.75" thickBot="1" x14ac:dyDescent="0.3">
      <c r="A1984" s="88"/>
      <c r="B1984" s="323"/>
      <c r="C1984" s="295"/>
      <c r="D1984" s="295"/>
      <c r="E1984" s="308"/>
      <c r="F1984" s="295"/>
      <c r="G1984" s="310"/>
      <c r="H1984" s="310"/>
      <c r="I1984" s="310"/>
      <c r="J1984" s="312"/>
      <c r="K1984" s="295"/>
      <c r="L1984" s="282"/>
      <c r="M1984" s="285"/>
      <c r="N1984" s="285"/>
      <c r="O1984" s="285"/>
      <c r="P1984" s="285"/>
      <c r="Q1984" s="285"/>
      <c r="R1984" s="285"/>
      <c r="S1984" s="285"/>
      <c r="T1984" s="285"/>
      <c r="U1984" s="28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9"/>
      <c r="N1985" s="279"/>
      <c r="O1985" s="279"/>
      <c r="P1985" s="279"/>
      <c r="Q1985" s="279"/>
      <c r="R1985" s="279"/>
      <c r="S1985" s="279"/>
      <c r="T1985" s="279"/>
      <c r="U1985" s="280"/>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9"/>
      <c r="N1986" s="279"/>
      <c r="O1986" s="279"/>
      <c r="P1986" s="279"/>
      <c r="Q1986" s="279"/>
      <c r="R1986" s="279"/>
      <c r="S1986" s="279"/>
      <c r="T1986" s="279"/>
      <c r="U1986" s="280"/>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9"/>
      <c r="N1987" s="279"/>
      <c r="O1987" s="279"/>
      <c r="P1987" s="279"/>
      <c r="Q1987" s="279"/>
      <c r="R1987" s="279"/>
      <c r="S1987" s="279"/>
      <c r="T1987" s="279"/>
      <c r="U1987" s="280"/>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9"/>
      <c r="N1988" s="279"/>
      <c r="O1988" s="279"/>
      <c r="P1988" s="279"/>
      <c r="Q1988" s="279"/>
      <c r="R1988" s="279"/>
      <c r="S1988" s="279"/>
      <c r="T1988" s="279"/>
      <c r="U1988" s="280"/>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9"/>
      <c r="N1989" s="279"/>
      <c r="O1989" s="279"/>
      <c r="P1989" s="279"/>
      <c r="Q1989" s="279"/>
      <c r="R1989" s="279"/>
      <c r="S1989" s="279"/>
      <c r="T1989" s="279"/>
      <c r="U1989" s="280"/>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9"/>
      <c r="N1990" s="279"/>
      <c r="O1990" s="279"/>
      <c r="P1990" s="279"/>
      <c r="Q1990" s="279"/>
      <c r="R1990" s="279"/>
      <c r="S1990" s="279"/>
      <c r="T1990" s="279"/>
      <c r="U1990" s="280"/>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9"/>
      <c r="N1991" s="279"/>
      <c r="O1991" s="279"/>
      <c r="P1991" s="279"/>
      <c r="Q1991" s="279"/>
      <c r="R1991" s="279"/>
      <c r="S1991" s="279"/>
      <c r="T1991" s="279"/>
      <c r="U1991" s="280"/>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9"/>
      <c r="N1992" s="279"/>
      <c r="O1992" s="279"/>
      <c r="P1992" s="279"/>
      <c r="Q1992" s="279"/>
      <c r="R1992" s="279"/>
      <c r="S1992" s="279"/>
      <c r="T1992" s="279"/>
      <c r="U1992" s="280"/>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9"/>
      <c r="N1993" s="279"/>
      <c r="O1993" s="279"/>
      <c r="P1993" s="279"/>
      <c r="Q1993" s="279"/>
      <c r="R1993" s="279"/>
      <c r="S1993" s="279"/>
      <c r="T1993" s="279"/>
      <c r="U1993" s="280"/>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9"/>
      <c r="N1994" s="279"/>
      <c r="O1994" s="279"/>
      <c r="P1994" s="279"/>
      <c r="Q1994" s="279"/>
      <c r="R1994" s="279"/>
      <c r="S1994" s="279"/>
      <c r="T1994" s="279"/>
      <c r="U1994" s="280"/>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9"/>
      <c r="N1995" s="279"/>
      <c r="O1995" s="279"/>
      <c r="P1995" s="279"/>
      <c r="Q1995" s="279"/>
      <c r="R1995" s="279"/>
      <c r="S1995" s="279"/>
      <c r="T1995" s="279"/>
      <c r="U1995" s="280"/>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9"/>
      <c r="N1996" s="279"/>
      <c r="O1996" s="279"/>
      <c r="P1996" s="279"/>
      <c r="Q1996" s="279"/>
      <c r="R1996" s="279"/>
      <c r="S1996" s="279"/>
      <c r="T1996" s="279"/>
      <c r="U1996" s="280"/>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9"/>
      <c r="N1997" s="279"/>
      <c r="O1997" s="279"/>
      <c r="P1997" s="279"/>
      <c r="Q1997" s="279"/>
      <c r="R1997" s="279"/>
      <c r="S1997" s="279"/>
      <c r="T1997" s="279"/>
      <c r="U1997" s="280"/>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9"/>
      <c r="N1998" s="279"/>
      <c r="O1998" s="279"/>
      <c r="P1998" s="279"/>
      <c r="Q1998" s="279"/>
      <c r="R1998" s="279"/>
      <c r="S1998" s="279"/>
      <c r="T1998" s="279"/>
      <c r="U1998" s="280"/>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9"/>
      <c r="N1999" s="279"/>
      <c r="O1999" s="279"/>
      <c r="P1999" s="279"/>
      <c r="Q1999" s="279"/>
      <c r="R1999" s="279"/>
      <c r="S1999" s="279"/>
      <c r="T1999" s="279"/>
      <c r="U1999" s="280"/>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9"/>
      <c r="N2000" s="279"/>
      <c r="O2000" s="279"/>
      <c r="P2000" s="279"/>
      <c r="Q2000" s="279"/>
      <c r="R2000" s="279"/>
      <c r="S2000" s="279"/>
      <c r="T2000" s="279"/>
      <c r="U2000" s="280"/>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9"/>
      <c r="N2001" s="279"/>
      <c r="O2001" s="279"/>
      <c r="P2001" s="279"/>
      <c r="Q2001" s="279"/>
      <c r="R2001" s="279"/>
      <c r="S2001" s="279"/>
      <c r="T2001" s="279"/>
      <c r="U2001" s="280"/>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9"/>
      <c r="N2002" s="279"/>
      <c r="O2002" s="279"/>
      <c r="P2002" s="279"/>
      <c r="Q2002" s="279"/>
      <c r="R2002" s="279"/>
      <c r="S2002" s="279"/>
      <c r="T2002" s="279"/>
      <c r="U2002" s="280"/>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9"/>
      <c r="N2003" s="279"/>
      <c r="O2003" s="279"/>
      <c r="P2003" s="279"/>
      <c r="Q2003" s="279"/>
      <c r="R2003" s="279"/>
      <c r="S2003" s="279"/>
      <c r="T2003" s="279"/>
      <c r="U2003" s="280"/>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9"/>
      <c r="N2004" s="279"/>
      <c r="O2004" s="279"/>
      <c r="P2004" s="279"/>
      <c r="Q2004" s="279"/>
      <c r="R2004" s="279"/>
      <c r="S2004" s="279"/>
      <c r="T2004" s="279"/>
      <c r="U2004" s="280"/>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9"/>
      <c r="N2005" s="279"/>
      <c r="O2005" s="279"/>
      <c r="P2005" s="279"/>
      <c r="Q2005" s="279"/>
      <c r="R2005" s="279"/>
      <c r="S2005" s="279"/>
      <c r="T2005" s="279"/>
      <c r="U2005" s="280"/>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9"/>
      <c r="N2006" s="279"/>
      <c r="O2006" s="279"/>
      <c r="P2006" s="279"/>
      <c r="Q2006" s="279"/>
      <c r="R2006" s="279"/>
      <c r="S2006" s="279"/>
      <c r="T2006" s="279"/>
      <c r="U2006" s="280"/>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9"/>
      <c r="N2007" s="279"/>
      <c r="O2007" s="279"/>
      <c r="P2007" s="279"/>
      <c r="Q2007" s="279"/>
      <c r="R2007" s="279"/>
      <c r="S2007" s="279"/>
      <c r="T2007" s="279"/>
      <c r="U2007" s="280"/>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9"/>
      <c r="N2008" s="279"/>
      <c r="O2008" s="279"/>
      <c r="P2008" s="279"/>
      <c r="Q2008" s="279"/>
      <c r="R2008" s="279"/>
      <c r="S2008" s="279"/>
      <c r="T2008" s="279"/>
      <c r="U2008" s="280"/>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9"/>
      <c r="N2009" s="279"/>
      <c r="O2009" s="279"/>
      <c r="P2009" s="279"/>
      <c r="Q2009" s="279"/>
      <c r="R2009" s="279"/>
      <c r="S2009" s="279"/>
      <c r="T2009" s="279"/>
      <c r="U2009" s="280"/>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0" t="s">
        <v>401</v>
      </c>
      <c r="C2010" s="321"/>
      <c r="D2010" s="79"/>
      <c r="E2010" s="80"/>
      <c r="F2010" s="80"/>
      <c r="G2010" s="81"/>
      <c r="H2010" s="192"/>
      <c r="I2010" s="192"/>
      <c r="J2010" s="192"/>
      <c r="K2010" s="82"/>
      <c r="L2010" s="320" t="s">
        <v>306</v>
      </c>
      <c r="M2010" s="331"/>
      <c r="N2010" s="331"/>
      <c r="O2010" s="331"/>
      <c r="P2010" s="331"/>
      <c r="Q2010" s="331"/>
      <c r="R2010" s="331"/>
      <c r="S2010" s="331"/>
      <c r="T2010" s="331"/>
      <c r="U2010" s="321"/>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0" t="s">
        <v>307</v>
      </c>
      <c r="C2011" s="321"/>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3" t="s">
        <v>222</v>
      </c>
      <c r="C2015" s="314"/>
      <c r="D2015" s="315" t="s">
        <v>223</v>
      </c>
      <c r="E2015" s="306"/>
      <c r="F2015" s="88"/>
      <c r="G2015" s="316" t="s">
        <v>224</v>
      </c>
      <c r="H2015" s="317"/>
      <c r="I2015" s="28">
        <f>SUM(E2026:E2050)</f>
        <v>0</v>
      </c>
      <c r="J2015" s="318" t="s">
        <v>225</v>
      </c>
      <c r="K2015" s="319"/>
      <c r="L2015" s="306"/>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6" t="s">
        <v>226</v>
      </c>
      <c r="AA2015" s="297"/>
      <c r="AB2015" s="298"/>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5" t="s">
        <v>230</v>
      </c>
      <c r="H2016" s="306"/>
      <c r="I2016" s="33">
        <f>E2017-I2015</f>
        <v>0</v>
      </c>
      <c r="J2016" s="290" t="s">
        <v>231</v>
      </c>
      <c r="K2016" s="291"/>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9" t="s">
        <v>232</v>
      </c>
      <c r="AA2016" s="301" t="s">
        <v>233</v>
      </c>
      <c r="AB2016" s="30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2" t="s">
        <v>237</v>
      </c>
      <c r="H2017" s="293"/>
      <c r="I2017" s="35">
        <f>IF(E2017=0,0,12-(MOD(I2015,12)))</f>
        <v>0</v>
      </c>
      <c r="J2017" s="290" t="s">
        <v>238</v>
      </c>
      <c r="K2017" s="291"/>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0"/>
      <c r="AA2017" s="303"/>
      <c r="AB2017" s="30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2" t="s">
        <v>242</v>
      </c>
      <c r="H2018" s="43" t="s">
        <v>243</v>
      </c>
      <c r="I2018" s="35">
        <f>IF(E2018&lt;&gt;0,1,0)</f>
        <v>0</v>
      </c>
      <c r="J2018" s="292" t="s">
        <v>244</v>
      </c>
      <c r="K2018" s="29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3"/>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2" t="s">
        <v>251</v>
      </c>
      <c r="H2020" s="51" t="s">
        <v>252</v>
      </c>
      <c r="I2020" s="112">
        <f>E2019</f>
        <v>0</v>
      </c>
      <c r="J2020" s="324" t="s">
        <v>253</v>
      </c>
      <c r="K2020" s="325"/>
      <c r="L2020" s="32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3"/>
      <c r="H2021" s="47" t="s">
        <v>257</v>
      </c>
      <c r="I2021" s="35" t="str">
        <f>IF(E2019="","0",IF(AND(E2016="EUC",E2017=432), I2020+(203-E2018),IF(E2019=0,0,(E2019+(E2017-E2018)-1))))</f>
        <v>0</v>
      </c>
      <c r="J2021" s="287" t="str">
        <f>IFERROR(IF(OR(E2016="EUC",E2016="SS"),"---",IF(OR(P2015,S2015),"NO 2F Tethers for RPX!",IF(OR(P2017,S2017),"NO 6F Tethers for RPX!","---"))),"---")</f>
        <v>---</v>
      </c>
      <c r="K2021" s="288"/>
      <c r="L2021" s="289"/>
      <c r="M2021" s="287" t="str">
        <f>IF(E2018&gt;60,"Dead Count &gt;60: Consider Downsize","---")</f>
        <v>---</v>
      </c>
      <c r="N2021" s="288"/>
      <c r="O2021" s="288"/>
      <c r="P2021" s="288"/>
      <c r="Q2021" s="288"/>
      <c r="R2021" s="288"/>
      <c r="S2021" s="288"/>
      <c r="T2021" s="288"/>
      <c r="U2021" s="289"/>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7"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8"/>
      <c r="L2022" s="289"/>
      <c r="M2022" s="287" t="str">
        <f>IF(AND(OR(E2016="SS",E2016="RPX",E2016="EUC",E2016="RPX-T"),(OR(C2026="",C2026="Field SPL"))),"Cannot have FlexNap cables without tethers","---")</f>
        <v>---</v>
      </c>
      <c r="N2022" s="288"/>
      <c r="O2022" s="288"/>
      <c r="P2022" s="288"/>
      <c r="Q2022" s="288"/>
      <c r="R2022" s="288"/>
      <c r="S2022" s="288"/>
      <c r="T2022" s="288"/>
      <c r="U2022" s="289"/>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7" t="str">
        <f>IF(AND(OR(E2016="RPX", E2016="RPX-T", E2016="SS"),E2017=216),"NO 216 For RPX, RPX-T, OR SS CABLE","---")</f>
        <v>---</v>
      </c>
      <c r="K2023" s="288"/>
      <c r="L2023" s="289"/>
      <c r="M2023" s="287" t="str" cm="1">
        <f t="array" ref="M2023">IF(AND(E2016="",OR(C2026:C2050="FST",C2026:C2050="REV T",C2026:C2050="DBL REV",C2026:C2050="TPL REV", C2026:C2050="QD REV")),"Non-FlexNap cables cannot have tethers","---")</f>
        <v>---</v>
      </c>
      <c r="N2023" s="288"/>
      <c r="O2023" s="288"/>
      <c r="P2023" s="288"/>
      <c r="Q2023" s="288"/>
      <c r="R2023" s="288"/>
      <c r="S2023" s="288"/>
      <c r="T2023" s="288"/>
      <c r="U2023" s="289"/>
      <c r="V2023" s="25"/>
      <c r="W2023" s="58"/>
      <c r="X2023" s="58"/>
      <c r="Y2023" s="25"/>
      <c r="Z2023" s="45">
        <v>6</v>
      </c>
      <c r="AA2023" s="65">
        <v>61</v>
      </c>
      <c r="AB2023" s="65">
        <v>72</v>
      </c>
      <c r="AC2023" s="25"/>
      <c r="AD2023" s="25"/>
      <c r="BA2023" s="226"/>
    </row>
    <row r="2024" spans="1:53" ht="15.75" customHeight="1" thickBot="1" x14ac:dyDescent="0.3">
      <c r="A2024" s="88"/>
      <c r="B2024" s="322" t="s">
        <v>260</v>
      </c>
      <c r="C2024" s="294" t="s">
        <v>261</v>
      </c>
      <c r="D2024" s="294" t="s">
        <v>262</v>
      </c>
      <c r="E2024" s="307" t="s">
        <v>263</v>
      </c>
      <c r="F2024" s="294" t="s">
        <v>264</v>
      </c>
      <c r="G2024" s="309" t="s">
        <v>265</v>
      </c>
      <c r="H2024" s="309" t="s">
        <v>266</v>
      </c>
      <c r="I2024" s="309" t="s">
        <v>267</v>
      </c>
      <c r="J2024" s="311" t="s">
        <v>268</v>
      </c>
      <c r="K2024" s="294" t="s">
        <v>269</v>
      </c>
      <c r="L2024" s="281" t="s">
        <v>270</v>
      </c>
      <c r="M2024" s="283" t="s">
        <v>271</v>
      </c>
      <c r="N2024" s="283"/>
      <c r="O2024" s="283"/>
      <c r="P2024" s="283"/>
      <c r="Q2024" s="283"/>
      <c r="R2024" s="283"/>
      <c r="S2024" s="283"/>
      <c r="T2024" s="283"/>
      <c r="U2024" s="284"/>
      <c r="V2024" s="107"/>
      <c r="W2024" s="72"/>
      <c r="X2024" s="72"/>
      <c r="Y2024" s="72"/>
      <c r="Z2024" s="45">
        <v>7</v>
      </c>
      <c r="AA2024" s="65">
        <v>73</v>
      </c>
      <c r="AB2024" s="65">
        <v>84</v>
      </c>
      <c r="AC2024" s="25"/>
      <c r="AD2024" s="25"/>
      <c r="BA2024" s="228"/>
    </row>
    <row r="2025" spans="1:53" ht="15.75" thickBot="1" x14ac:dyDescent="0.3">
      <c r="A2025" s="88"/>
      <c r="B2025" s="323"/>
      <c r="C2025" s="295"/>
      <c r="D2025" s="295"/>
      <c r="E2025" s="308"/>
      <c r="F2025" s="295"/>
      <c r="G2025" s="310"/>
      <c r="H2025" s="310"/>
      <c r="I2025" s="310"/>
      <c r="J2025" s="312"/>
      <c r="K2025" s="295"/>
      <c r="L2025" s="282"/>
      <c r="M2025" s="285"/>
      <c r="N2025" s="285"/>
      <c r="O2025" s="285"/>
      <c r="P2025" s="285"/>
      <c r="Q2025" s="285"/>
      <c r="R2025" s="285"/>
      <c r="S2025" s="285"/>
      <c r="T2025" s="285"/>
      <c r="U2025" s="28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9"/>
      <c r="N2026" s="279"/>
      <c r="O2026" s="279"/>
      <c r="P2026" s="279"/>
      <c r="Q2026" s="279"/>
      <c r="R2026" s="279"/>
      <c r="S2026" s="279"/>
      <c r="T2026" s="279"/>
      <c r="U2026" s="280"/>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9"/>
      <c r="N2027" s="279"/>
      <c r="O2027" s="279"/>
      <c r="P2027" s="279"/>
      <c r="Q2027" s="279"/>
      <c r="R2027" s="279"/>
      <c r="S2027" s="279"/>
      <c r="T2027" s="279"/>
      <c r="U2027" s="280"/>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9"/>
      <c r="N2028" s="279"/>
      <c r="O2028" s="279"/>
      <c r="P2028" s="279"/>
      <c r="Q2028" s="279"/>
      <c r="R2028" s="279"/>
      <c r="S2028" s="279"/>
      <c r="T2028" s="279"/>
      <c r="U2028" s="280"/>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9"/>
      <c r="N2029" s="279"/>
      <c r="O2029" s="279"/>
      <c r="P2029" s="279"/>
      <c r="Q2029" s="279"/>
      <c r="R2029" s="279"/>
      <c r="S2029" s="279"/>
      <c r="T2029" s="279"/>
      <c r="U2029" s="280"/>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9"/>
      <c r="N2030" s="279"/>
      <c r="O2030" s="279"/>
      <c r="P2030" s="279"/>
      <c r="Q2030" s="279"/>
      <c r="R2030" s="279"/>
      <c r="S2030" s="279"/>
      <c r="T2030" s="279"/>
      <c r="U2030" s="280"/>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9"/>
      <c r="N2031" s="279"/>
      <c r="O2031" s="279"/>
      <c r="P2031" s="279"/>
      <c r="Q2031" s="279"/>
      <c r="R2031" s="279"/>
      <c r="S2031" s="279"/>
      <c r="T2031" s="279"/>
      <c r="U2031" s="280"/>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9"/>
      <c r="N2032" s="279"/>
      <c r="O2032" s="279"/>
      <c r="P2032" s="279"/>
      <c r="Q2032" s="279"/>
      <c r="R2032" s="279"/>
      <c r="S2032" s="279"/>
      <c r="T2032" s="279"/>
      <c r="U2032" s="280"/>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9"/>
      <c r="N2033" s="279"/>
      <c r="O2033" s="279"/>
      <c r="P2033" s="279"/>
      <c r="Q2033" s="279"/>
      <c r="R2033" s="279"/>
      <c r="S2033" s="279"/>
      <c r="T2033" s="279"/>
      <c r="U2033" s="280"/>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9"/>
      <c r="N2034" s="279"/>
      <c r="O2034" s="279"/>
      <c r="P2034" s="279"/>
      <c r="Q2034" s="279"/>
      <c r="R2034" s="279"/>
      <c r="S2034" s="279"/>
      <c r="T2034" s="279"/>
      <c r="U2034" s="280"/>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9"/>
      <c r="N2035" s="279"/>
      <c r="O2035" s="279"/>
      <c r="P2035" s="279"/>
      <c r="Q2035" s="279"/>
      <c r="R2035" s="279"/>
      <c r="S2035" s="279"/>
      <c r="T2035" s="279"/>
      <c r="U2035" s="280"/>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9"/>
      <c r="N2036" s="279"/>
      <c r="O2036" s="279"/>
      <c r="P2036" s="279"/>
      <c r="Q2036" s="279"/>
      <c r="R2036" s="279"/>
      <c r="S2036" s="279"/>
      <c r="T2036" s="279"/>
      <c r="U2036" s="280"/>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9"/>
      <c r="N2037" s="279"/>
      <c r="O2037" s="279"/>
      <c r="P2037" s="279"/>
      <c r="Q2037" s="279"/>
      <c r="R2037" s="279"/>
      <c r="S2037" s="279"/>
      <c r="T2037" s="279"/>
      <c r="U2037" s="280"/>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9"/>
      <c r="N2038" s="279"/>
      <c r="O2038" s="279"/>
      <c r="P2038" s="279"/>
      <c r="Q2038" s="279"/>
      <c r="R2038" s="279"/>
      <c r="S2038" s="279"/>
      <c r="T2038" s="279"/>
      <c r="U2038" s="280"/>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9"/>
      <c r="N2039" s="279"/>
      <c r="O2039" s="279"/>
      <c r="P2039" s="279"/>
      <c r="Q2039" s="279"/>
      <c r="R2039" s="279"/>
      <c r="S2039" s="279"/>
      <c r="T2039" s="279"/>
      <c r="U2039" s="280"/>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9"/>
      <c r="N2040" s="279"/>
      <c r="O2040" s="279"/>
      <c r="P2040" s="279"/>
      <c r="Q2040" s="279"/>
      <c r="R2040" s="279"/>
      <c r="S2040" s="279"/>
      <c r="T2040" s="279"/>
      <c r="U2040" s="280"/>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9"/>
      <c r="N2041" s="279"/>
      <c r="O2041" s="279"/>
      <c r="P2041" s="279"/>
      <c r="Q2041" s="279"/>
      <c r="R2041" s="279"/>
      <c r="S2041" s="279"/>
      <c r="T2041" s="279"/>
      <c r="U2041" s="280"/>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9"/>
      <c r="N2042" s="279"/>
      <c r="O2042" s="279"/>
      <c r="P2042" s="279"/>
      <c r="Q2042" s="279"/>
      <c r="R2042" s="279"/>
      <c r="S2042" s="279"/>
      <c r="T2042" s="279"/>
      <c r="U2042" s="280"/>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9"/>
      <c r="N2043" s="279"/>
      <c r="O2043" s="279"/>
      <c r="P2043" s="279"/>
      <c r="Q2043" s="279"/>
      <c r="R2043" s="279"/>
      <c r="S2043" s="279"/>
      <c r="T2043" s="279"/>
      <c r="U2043" s="280"/>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9"/>
      <c r="N2044" s="279"/>
      <c r="O2044" s="279"/>
      <c r="P2044" s="279"/>
      <c r="Q2044" s="279"/>
      <c r="R2044" s="279"/>
      <c r="S2044" s="279"/>
      <c r="T2044" s="279"/>
      <c r="U2044" s="280"/>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9"/>
      <c r="N2045" s="279"/>
      <c r="O2045" s="279"/>
      <c r="P2045" s="279"/>
      <c r="Q2045" s="279"/>
      <c r="R2045" s="279"/>
      <c r="S2045" s="279"/>
      <c r="T2045" s="279"/>
      <c r="U2045" s="280"/>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9"/>
      <c r="N2046" s="279"/>
      <c r="O2046" s="279"/>
      <c r="P2046" s="279"/>
      <c r="Q2046" s="279"/>
      <c r="R2046" s="279"/>
      <c r="S2046" s="279"/>
      <c r="T2046" s="279"/>
      <c r="U2046" s="280"/>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9"/>
      <c r="N2047" s="279"/>
      <c r="O2047" s="279"/>
      <c r="P2047" s="279"/>
      <c r="Q2047" s="279"/>
      <c r="R2047" s="279"/>
      <c r="S2047" s="279"/>
      <c r="T2047" s="279"/>
      <c r="U2047" s="280"/>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9"/>
      <c r="N2048" s="279"/>
      <c r="O2048" s="279"/>
      <c r="P2048" s="279"/>
      <c r="Q2048" s="279"/>
      <c r="R2048" s="279"/>
      <c r="S2048" s="279"/>
      <c r="T2048" s="279"/>
      <c r="U2048" s="280"/>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9"/>
      <c r="N2049" s="279"/>
      <c r="O2049" s="279"/>
      <c r="P2049" s="279"/>
      <c r="Q2049" s="279"/>
      <c r="R2049" s="279"/>
      <c r="S2049" s="279"/>
      <c r="T2049" s="279"/>
      <c r="U2049" s="280"/>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9"/>
      <c r="N2050" s="279"/>
      <c r="O2050" s="279"/>
      <c r="P2050" s="279"/>
      <c r="Q2050" s="279"/>
      <c r="R2050" s="279"/>
      <c r="S2050" s="279"/>
      <c r="T2050" s="279"/>
      <c r="U2050" s="280"/>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0" t="s">
        <v>307</v>
      </c>
      <c r="C2051" s="321"/>
      <c r="D2051" s="79"/>
      <c r="E2051" s="80"/>
      <c r="F2051" s="80"/>
      <c r="G2051" s="81"/>
      <c r="H2051" s="192"/>
      <c r="I2051" s="192"/>
      <c r="J2051" s="192"/>
      <c r="K2051" s="82"/>
      <c r="L2051" s="320" t="s">
        <v>306</v>
      </c>
      <c r="M2051" s="331"/>
      <c r="N2051" s="331"/>
      <c r="O2051" s="331"/>
      <c r="P2051" s="331"/>
      <c r="Q2051" s="331"/>
      <c r="R2051" s="331"/>
      <c r="S2051" s="331"/>
      <c r="T2051" s="331"/>
      <c r="U2051" s="321"/>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7348.4500000000007</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14972.72</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164.92000000000002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41</v>
      </c>
      <c r="F2" s="186">
        <f t="shared" ref="F2:F5" si="0">PRODUCT(D2:E2)</f>
        <v>4598.1500000000005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38</v>
      </c>
      <c r="K2" s="180">
        <f>COUNTIFS('Assignment Tool'!$E$17:$E$2050, "4",'Assignment Tool'!$F$17:$F$2050,"PED", 'Assignment Tool'!$C$17:$C$2050, "FST",'Assignment Tool'!$K$17:$K$2050,"")</f>
        <v>0</v>
      </c>
      <c r="L2" s="180">
        <f>COUNTIFS('Assignment Tool'!$E$17:$E$2050, "4",'Assignment Tool'!$F$17:$F$2050,"HH", 'Assignment Tool'!$C$17:$C$2050, "FST",'Assignment Tool'!$K$17:$K$2050,"")</f>
        <v>3</v>
      </c>
      <c r="N2" s="181">
        <f>PRODUCT(SUM(G2,J2),D2)</f>
        <v>4261.7</v>
      </c>
      <c r="O2" s="180">
        <f>PRODUCT(SUM(H2:I2,K2:L2),D2)</f>
        <v>336.45000000000005</v>
      </c>
      <c r="P2" s="183">
        <f>SUM(N2:N5,F11:F16,F27:F36,F43:F46,F51:F54,N88:N135)</f>
        <v>14972.72</v>
      </c>
      <c r="Q2" s="182">
        <f>SUM(O2:O5,F17:F26,F37:F42,F47:F50,F55:F58,F60:F67,O88:O135)</f>
        <v>7348.4500000000007</v>
      </c>
      <c r="R2" s="126">
        <f>SUM(F69:F71)</f>
        <v>164.92000000000002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11</v>
      </c>
      <c r="F4" s="186">
        <f t="shared" si="0"/>
        <v>1867.47</v>
      </c>
      <c r="G4" s="181">
        <f>COUNTIFS('Assignment Tool'!$E$17:$E$2050, "8", 'Assignment Tool'!$F$17:$F$2050, "POLE", 'Assignment Tool'!$C$17:$C$2050, "FST",'Assignment Tool'!$K$17:$K$2050,"")</f>
        <v>10</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1697.7</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2</v>
      </c>
      <c r="F5" s="186">
        <f t="shared" si="0"/>
        <v>455.9</v>
      </c>
      <c r="G5" s="181">
        <f>COUNTIFS('Assignment Tool'!$E$17:$E$2050, "12", 'Assignment Tool'!$F$17:$F$2050, "POLE", 'Assignment Tool'!$C$17:$C$2050, "FST",'Assignment Tool'!$K$17:$K$2050,"")</f>
        <v>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455.9</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1</v>
      </c>
      <c r="F11" s="181">
        <f>E11*D11</f>
        <v>247.18</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9</v>
      </c>
      <c r="F12" s="181">
        <f t="shared" ref="F12:F58" si="5">E12*D12</f>
        <v>1936.3500000000001</v>
      </c>
      <c r="Q12" s="21"/>
      <c r="R12" s="21"/>
      <c r="Y12" s="1">
        <v>72</v>
      </c>
      <c r="AA12" s="1">
        <f t="shared" si="4"/>
        <v>132</v>
      </c>
      <c r="AC12" s="1">
        <v>900</v>
      </c>
    </row>
    <row r="13" spans="1:29" x14ac:dyDescent="0.25">
      <c r="A13" s="181">
        <v>100083493</v>
      </c>
      <c r="B13" s="181"/>
      <c r="C13" s="181" t="s">
        <v>505</v>
      </c>
      <c r="D13" s="1">
        <v>183.1</v>
      </c>
      <c r="E13" s="162">
        <f>'Construction Exempt Material'!B19</f>
        <v>24</v>
      </c>
      <c r="F13" s="181">
        <f t="shared" si="5"/>
        <v>4394.3999999999996</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6</v>
      </c>
      <c r="F17" s="180">
        <f t="shared" si="5"/>
        <v>1600.62</v>
      </c>
      <c r="Q17" s="21"/>
      <c r="Y17" s="1">
        <v>132</v>
      </c>
      <c r="AA17" s="1">
        <f t="shared" si="4"/>
        <v>192</v>
      </c>
    </row>
    <row r="18" spans="1:27" x14ac:dyDescent="0.25">
      <c r="A18" s="180">
        <v>100083594</v>
      </c>
      <c r="B18" s="180"/>
      <c r="C18" s="180" t="s">
        <v>510</v>
      </c>
      <c r="D18" s="1">
        <v>233.96</v>
      </c>
      <c r="E18" s="162">
        <f>'Construction Exempt Material'!B24</f>
        <v>2</v>
      </c>
      <c r="F18" s="180">
        <f t="shared" si="5"/>
        <v>467.92</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17</v>
      </c>
      <c r="F20" s="180">
        <f t="shared" si="5"/>
        <v>3397.6200000000003</v>
      </c>
      <c r="AA20" s="1">
        <f t="shared" si="4"/>
        <v>228</v>
      </c>
    </row>
    <row r="21" spans="1:27" x14ac:dyDescent="0.25">
      <c r="A21" s="180">
        <v>200008456</v>
      </c>
      <c r="B21" s="180"/>
      <c r="C21" s="180" t="s">
        <v>513</v>
      </c>
      <c r="D21" s="1">
        <v>201.13</v>
      </c>
      <c r="E21" s="162">
        <f>'Construction Exempt Material'!B27</f>
        <v>0</v>
      </c>
      <c r="F21" s="180">
        <f t="shared" si="5"/>
        <v>0</v>
      </c>
      <c r="AA21" s="1">
        <f t="shared" si="4"/>
        <v>240</v>
      </c>
    </row>
    <row r="22" spans="1:27" x14ac:dyDescent="0.25">
      <c r="A22" s="180">
        <v>100089396</v>
      </c>
      <c r="B22" s="180"/>
      <c r="C22" s="180" t="s">
        <v>514</v>
      </c>
      <c r="D22" s="1">
        <v>266.77</v>
      </c>
      <c r="E22" s="162">
        <f>'Construction Exempt Material'!B28</f>
        <v>3</v>
      </c>
      <c r="F22" s="180">
        <f t="shared" si="5"/>
        <v>800.31</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2</v>
      </c>
      <c r="F43" s="181">
        <f t="shared" si="5"/>
        <v>494.88</v>
      </c>
    </row>
    <row r="44" spans="1:6" x14ac:dyDescent="0.25">
      <c r="A44" s="181">
        <v>100088380</v>
      </c>
      <c r="B44" s="181"/>
      <c r="C44" s="181" t="s">
        <v>536</v>
      </c>
      <c r="D44" s="1">
        <v>494.87</v>
      </c>
      <c r="E44" s="162">
        <f>'Construction Exempt Material'!B50</f>
        <v>3</v>
      </c>
      <c r="F44" s="181">
        <f t="shared" si="5"/>
        <v>1484.6100000000001</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4</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4</v>
      </c>
      <c r="F62" s="180">
        <f t="shared" si="6"/>
        <v>575.76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2</v>
      </c>
      <c r="F69" s="126">
        <f>E69*D69</f>
        <v>45.32</v>
      </c>
    </row>
    <row r="70" spans="1:16" x14ac:dyDescent="0.25">
      <c r="A70" s="1">
        <v>100069989</v>
      </c>
      <c r="B70" s="1" t="s">
        <v>565</v>
      </c>
      <c r="C70" s="1" t="s">
        <v>566</v>
      </c>
      <c r="D70" s="1">
        <v>0.65</v>
      </c>
      <c r="E70" s="1">
        <f>'Construction Exempt Material'!B69</f>
        <v>184</v>
      </c>
      <c r="F70" s="126">
        <f>E70*D70</f>
        <v>119.60000000000001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0" sqref="B10"/>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41</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4</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1</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9</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24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6</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17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3</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2</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3</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184</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2024-05-24T19:53:19Z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