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updateLinks="never" codeName="ThisWorkbook" defaultThemeVersion="124226"/>
  <mc:AlternateContent xmlns:mc="http://schemas.openxmlformats.org/markup-compatibility/2006">
    <mc:Choice Requires="x15">
      <x15ac:absPath xmlns:x15ac="http://schemas.microsoft.com/office/spreadsheetml/2010/11/ac" url="D:\5.-LIGHTGIG\1.-TRABAJOS ONY\30.-A02SZL1 (F2) (ALABAMA)\4.-PARA ATT\New folder\"/>
    </mc:Choice>
  </mc:AlternateContent>
  <xr:revisionPtr revIDLastSave="0" documentId="13_ncr:1_{3BEBC3BB-B85F-438E-8B7D-A1CDE4B3885B}" xr6:coauthVersionLast="47" xr6:coauthVersionMax="47" xr10:uidLastSave="{00000000-0000-0000-0000-000000000000}"/>
  <bookViews>
    <workbookView xWindow="-28920" yWindow="-90"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20" i="29"/>
  <c r="J819" i="29"/>
  <c r="J818" i="29"/>
  <c r="J817" i="29"/>
  <c r="J816" i="29"/>
  <c r="J815" i="29"/>
  <c r="J814" i="29"/>
  <c r="J813" i="29"/>
  <c r="J812" i="29"/>
  <c r="J811" i="29"/>
  <c r="J810" i="29"/>
  <c r="J809" i="29"/>
  <c r="J808" i="29"/>
  <c r="J807" i="29"/>
  <c r="J806" i="29"/>
  <c r="J805" i="29"/>
  <c r="J804" i="29"/>
  <c r="J803" i="29"/>
  <c r="J802" i="29"/>
  <c r="J801" i="29"/>
  <c r="J800" i="29"/>
  <c r="J798" i="29"/>
  <c r="J797" i="29"/>
  <c r="J779" i="29"/>
  <c r="J778" i="29"/>
  <c r="J777" i="29"/>
  <c r="J776" i="29"/>
  <c r="J775" i="29"/>
  <c r="J774" i="29"/>
  <c r="J773" i="29"/>
  <c r="J772" i="29"/>
  <c r="J771" i="29"/>
  <c r="J770" i="29"/>
  <c r="J769" i="29"/>
  <c r="J768" i="29"/>
  <c r="J767" i="29"/>
  <c r="J766" i="29"/>
  <c r="J765" i="29"/>
  <c r="J764" i="29"/>
  <c r="J763" i="29"/>
  <c r="J762" i="29"/>
  <c r="J761"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33" i="29"/>
  <c r="J532" i="29"/>
  <c r="J531" i="29"/>
  <c r="J530" i="29"/>
  <c r="J529" i="29"/>
  <c r="J528" i="29"/>
  <c r="J527" i="29"/>
  <c r="J526" i="29"/>
  <c r="J525" i="29"/>
  <c r="J524" i="29"/>
  <c r="J523" i="29"/>
  <c r="J522" i="29"/>
  <c r="J521" i="29"/>
  <c r="J520" i="29"/>
  <c r="J519" i="29"/>
  <c r="J518" i="29"/>
  <c r="J517" i="29"/>
  <c r="J516" i="29"/>
  <c r="J515" i="29"/>
  <c r="J514" i="29"/>
  <c r="J513"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09" i="29"/>
  <c r="J308" i="29"/>
  <c r="J307" i="29"/>
  <c r="J287" i="29"/>
  <c r="J286" i="29"/>
  <c r="J285" i="29"/>
  <c r="J284" i="29"/>
  <c r="J283" i="29"/>
  <c r="J282" i="29"/>
  <c r="J281" i="29"/>
  <c r="J280" i="29"/>
  <c r="J279" i="29"/>
  <c r="J278" i="29"/>
  <c r="J277" i="29"/>
  <c r="J276" i="29"/>
  <c r="J275" i="29"/>
  <c r="J274" i="29"/>
  <c r="J273" i="29"/>
  <c r="J272" i="29"/>
  <c r="J271" i="29"/>
  <c r="J268" i="29"/>
  <c r="J267" i="29"/>
  <c r="J246" i="29"/>
  <c r="J245" i="29"/>
  <c r="J244" i="29"/>
  <c r="J243" i="29"/>
  <c r="J242" i="29"/>
  <c r="J241" i="29"/>
  <c r="J240" i="29"/>
  <c r="J239" i="29"/>
  <c r="J238" i="29"/>
  <c r="J237" i="29"/>
  <c r="J236" i="29"/>
  <c r="J235" i="29"/>
  <c r="J234"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I422" i="29" s="1"/>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I438" i="29" s="1"/>
  <c r="H438" i="29" s="1"/>
  <c r="E381" i="29"/>
  <c r="E376" i="29"/>
  <c r="AI389" i="29" s="1"/>
  <c r="E340" i="29"/>
  <c r="E335" i="29"/>
  <c r="AL349" i="29" s="1"/>
  <c r="E299" i="29"/>
  <c r="E294" i="29"/>
  <c r="AK306" i="29" s="1"/>
  <c r="E258" i="29"/>
  <c r="E253" i="29"/>
  <c r="I258" i="29" s="1"/>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X1032" i="29"/>
  <c r="W1032" i="29"/>
  <c r="R1032" i="29"/>
  <c r="L1032" i="29"/>
  <c r="AK1044" i="29"/>
  <c r="X1031" i="29"/>
  <c r="W1031" i="29"/>
  <c r="R1031" i="29"/>
  <c r="I1031" i="29"/>
  <c r="I1033" i="29" s="1"/>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X909" i="29"/>
  <c r="W909" i="29"/>
  <c r="R909" i="29"/>
  <c r="X908" i="29"/>
  <c r="W908" i="29"/>
  <c r="R908" i="29"/>
  <c r="I908" i="29"/>
  <c r="I910" i="29" s="1"/>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Z434" i="29"/>
  <c r="Z435" i="29" s="1"/>
  <c r="Z436" i="29" s="1"/>
  <c r="AB431" i="29"/>
  <c r="AA432" i="29" s="1"/>
  <c r="AA431" i="29"/>
  <c r="W422" i="29"/>
  <c r="M422" i="29"/>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Z360" i="29" s="1"/>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s="1"/>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W175" i="29"/>
  <c r="I175" i="29"/>
  <c r="L171" i="29" s="1"/>
  <c r="E175" i="29"/>
  <c r="X174" i="29"/>
  <c r="W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Y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148" i="29" l="1"/>
  <c r="I1156" i="29"/>
  <c r="AA1188"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S174" i="29"/>
  <c r="L1484"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AK471"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AA1143" i="29"/>
  <c r="I1074" i="29"/>
  <c r="Z1055" i="29"/>
  <c r="AA981" i="29"/>
  <c r="Z982" i="29"/>
  <c r="Z940" i="29"/>
  <c r="AA894" i="29"/>
  <c r="AA897" i="29"/>
  <c r="Z899" i="29"/>
  <c r="Z858" i="29"/>
  <c r="AA810" i="29"/>
  <c r="I787" i="29"/>
  <c r="I746" i="29"/>
  <c r="Z735" i="29"/>
  <c r="AA697" i="29"/>
  <c r="AA609" i="29"/>
  <c r="I500" i="29"/>
  <c r="AA446" i="29"/>
  <c r="Z400" i="29"/>
  <c r="AA281"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151" i="29" s="1"/>
  <c r="H151" i="29" s="1"/>
  <c r="I152" i="29" s="1"/>
  <c r="H152" i="29" s="1"/>
  <c r="P133" i="29"/>
  <c r="AA163" i="29"/>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U297"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AI223" i="29"/>
  <c r="AI226" i="29"/>
  <c r="AJ223" i="29"/>
  <c r="AJ226" i="29"/>
  <c r="AK223" i="29"/>
  <c r="AK226" i="29"/>
  <c r="AL223" i="29"/>
  <c r="AL226" i="29"/>
  <c r="AI224" i="29"/>
  <c r="AJ224" i="29"/>
  <c r="AK224" i="29"/>
  <c r="AL224" i="29"/>
  <c r="AI22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T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Q830" i="29"/>
  <c r="AC862" i="29"/>
  <c r="AC821" i="29"/>
  <c r="S789" i="29"/>
  <c r="AB802" i="29"/>
  <c r="W809" i="29"/>
  <c r="AA812" i="29" s="1"/>
  <c r="U789" i="29"/>
  <c r="Z809" i="29"/>
  <c r="Z811" i="29"/>
  <c r="Z813" i="29"/>
  <c r="W808" i="29"/>
  <c r="AA811" i="29" s="1"/>
  <c r="W817" i="29"/>
  <c r="AA820" i="29" s="1"/>
  <c r="S748" i="29"/>
  <c r="AB761" i="29"/>
  <c r="W768" i="29"/>
  <c r="AA771" i="29" s="1"/>
  <c r="Z773" i="29"/>
  <c r="C751" i="29"/>
  <c r="Z76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Q707" i="29"/>
  <c r="AA679" i="29"/>
  <c r="AB679" i="29"/>
  <c r="T666" i="29"/>
  <c r="W688" i="29"/>
  <c r="AA691" i="29" s="1"/>
  <c r="W693" i="29"/>
  <c r="AA696" i="29" s="1"/>
  <c r="W696" i="29"/>
  <c r="Z696" i="29"/>
  <c r="J670" i="29"/>
  <c r="AA678" i="29"/>
  <c r="N666" i="29"/>
  <c r="M670" i="29" a="1"/>
  <c r="M670" i="29" s="1"/>
  <c r="Z692"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W284" i="29"/>
  <c r="AA287" i="29" s="1"/>
  <c r="AA228" i="29"/>
  <c r="AB228" i="29"/>
  <c r="W235" i="29"/>
  <c r="AA238" i="29" s="1"/>
  <c r="Z240" i="29"/>
  <c r="Z235" i="29"/>
  <c r="Z237" i="29"/>
  <c r="Z242" i="29"/>
  <c r="M218" i="29"/>
  <c r="Z239" i="29"/>
  <c r="J219" i="29"/>
  <c r="AA227" i="29"/>
  <c r="N215" i="29"/>
  <c r="M219" i="29" a="1"/>
  <c r="M219" i="29" s="1"/>
  <c r="O215" i="29"/>
  <c r="AC247"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172" i="29" l="1"/>
  <c r="L131" i="29"/>
  <c r="L295" i="29"/>
  <c r="L336" i="29"/>
  <c r="L213"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3" i="34" s="1"/>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DF5" i="34" l="1"/>
  <c r="EJ5" i="34"/>
  <c r="AX3" i="34"/>
  <c r="DF3" i="34"/>
  <c r="DE3" i="34" s="1"/>
  <c r="L870" i="29" s="1"/>
  <c r="DU3" i="34"/>
  <c r="GB2" i="34"/>
  <c r="L1485" i="29"/>
  <c r="GL2" i="34"/>
  <c r="L1567" i="29"/>
  <c r="GV2" i="34"/>
  <c r="L1649" i="29"/>
  <c r="HF2" i="34"/>
  <c r="L1731" i="29"/>
  <c r="HP2" i="34"/>
  <c r="L1813" i="29"/>
  <c r="HZ2" i="34"/>
  <c r="L1895" i="29"/>
  <c r="IJ2" i="34"/>
  <c r="L1977" i="29"/>
  <c r="DP3" i="34"/>
  <c r="DO3" i="34" s="1"/>
  <c r="GG2" i="34"/>
  <c r="L1526" i="29"/>
  <c r="GQ2" i="34"/>
  <c r="L1608" i="29"/>
  <c r="HA2" i="34"/>
  <c r="L1690" i="29"/>
  <c r="HK2" i="34"/>
  <c r="L1772" i="29"/>
  <c r="HU2" i="34"/>
  <c r="L1854" i="29"/>
  <c r="IE2" i="34"/>
  <c r="L1936" i="29"/>
  <c r="BM3" i="34"/>
  <c r="EE3" i="34"/>
  <c r="DZ3" i="34"/>
  <c r="DA3" i="34"/>
  <c r="CZ3" i="34" s="1"/>
  <c r="CZ2" i="34" s="1"/>
  <c r="CV3" i="34"/>
  <c r="CU3" i="34" s="1"/>
  <c r="L788" i="29" s="1"/>
  <c r="CQ3" i="34"/>
  <c r="CP3" i="34" s="1"/>
  <c r="CP2" i="34" s="1"/>
  <c r="CL3" i="34"/>
  <c r="CK3" i="34" s="1"/>
  <c r="CK2" i="34" s="1"/>
  <c r="CB3" i="34"/>
  <c r="BW3" i="34"/>
  <c r="BV3" i="34" s="1"/>
  <c r="BV2" i="34" s="1"/>
  <c r="BR3" i="34"/>
  <c r="BQ3" i="34" s="1"/>
  <c r="L542" i="29" s="1"/>
  <c r="BH3" i="34"/>
  <c r="BG3" i="34" s="1"/>
  <c r="BG2" i="34" s="1"/>
  <c r="DZ5" i="34"/>
  <c r="DK5" i="34"/>
  <c r="BW5" i="34"/>
  <c r="FC3" i="34"/>
  <c r="FC2" i="34" s="1"/>
  <c r="EN3" i="34"/>
  <c r="L1157" i="29" s="1"/>
  <c r="FS3" i="34"/>
  <c r="FR3" i="34" s="1"/>
  <c r="FR2" i="34" s="1"/>
  <c r="FX5" i="34"/>
  <c r="FW3" i="34" s="1"/>
  <c r="FM2" i="34"/>
  <c r="L1362" i="29"/>
  <c r="FH3" i="34"/>
  <c r="FH2" i="34" s="1"/>
  <c r="EX3" i="34"/>
  <c r="EX2" i="34" s="1"/>
  <c r="ET3" i="34"/>
  <c r="ES3" i="34" s="1"/>
  <c r="L1198" i="29" s="1"/>
  <c r="EJ3" i="34"/>
  <c r="DK3" i="34"/>
  <c r="DJ3" i="34" s="1"/>
  <c r="DJ2" i="34" s="1"/>
  <c r="EE5" i="34"/>
  <c r="DU5" i="34"/>
  <c r="DT3" i="34" s="1"/>
  <c r="DT2" i="34" s="1"/>
  <c r="DO2" i="34"/>
  <c r="L952" i="29"/>
  <c r="CG3" i="34"/>
  <c r="CF3" i="34" s="1"/>
  <c r="CF2" i="34" s="1"/>
  <c r="CB5" i="34"/>
  <c r="AN5" i="34"/>
  <c r="BC3" i="34"/>
  <c r="AX5" i="34"/>
  <c r="AW3" i="34" s="1"/>
  <c r="O5" i="34"/>
  <c r="AI5" i="34"/>
  <c r="BC5" i="34"/>
  <c r="BM5" i="34"/>
  <c r="AS5" i="34"/>
  <c r="AR3" i="34" s="1"/>
  <c r="Y5" i="34"/>
  <c r="AI3" i="34"/>
  <c r="AD3" i="34"/>
  <c r="T5" i="34"/>
  <c r="Y3" i="34"/>
  <c r="AN3" i="34"/>
  <c r="AM3" i="34" s="1"/>
  <c r="AD5" i="34"/>
  <c r="T3" i="34"/>
  <c r="O3" i="34"/>
  <c r="J3" i="34"/>
  <c r="I3" i="34" s="1"/>
  <c r="IP3" i="34"/>
  <c r="IO3" i="34" s="1"/>
  <c r="E12" i="29"/>
  <c r="E7" i="29"/>
  <c r="E9" i="34"/>
  <c r="E7" i="34"/>
  <c r="E6" i="34" s="1"/>
  <c r="EI3" i="34" l="1"/>
  <c r="EI2" i="34" s="1"/>
  <c r="IO2" i="34"/>
  <c r="L2018" i="29"/>
  <c r="DY3" i="34"/>
  <c r="L1034" i="29" s="1"/>
  <c r="BL3" i="34"/>
  <c r="BL2" i="34" s="1"/>
  <c r="ED3" i="34"/>
  <c r="CA3" i="34"/>
  <c r="CA2" i="34" s="1"/>
  <c r="L1321" i="29"/>
  <c r="L1280" i="29"/>
  <c r="EN2" i="34"/>
  <c r="L1075" i="29"/>
  <c r="ED2" i="34"/>
  <c r="L993" i="29"/>
  <c r="DE2" i="34"/>
  <c r="L829" i="29"/>
  <c r="CU2" i="34"/>
  <c r="L747" i="29"/>
  <c r="L706" i="29"/>
  <c r="L624" i="29"/>
  <c r="L583" i="29"/>
  <c r="BQ2" i="34"/>
  <c r="N3" i="34"/>
  <c r="L91" i="29" s="1"/>
  <c r="L1403" i="29"/>
  <c r="FW2" i="34"/>
  <c r="L1444" i="29"/>
  <c r="L1239" i="29"/>
  <c r="ES2" i="34"/>
  <c r="L911" i="29"/>
  <c r="L665" i="29"/>
  <c r="L460" i="29"/>
  <c r="BB3" i="34"/>
  <c r="BB2" i="34" s="1"/>
  <c r="L378" i="29"/>
  <c r="AW2" i="34"/>
  <c r="AH3" i="34"/>
  <c r="AH2" i="34" s="1"/>
  <c r="L337" i="29"/>
  <c r="AR2" i="34"/>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1116" i="29" l="1"/>
  <c r="DY2" i="34"/>
  <c r="L501"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Q1117" i="29" l="1"/>
  <c r="V748" i="29"/>
  <c r="Q256" i="29"/>
  <c r="V215"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P830" i="29" s="1"/>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X827" i="29"/>
  <c r="AX829" i="29"/>
  <c r="AU828" i="29"/>
  <c r="AX828" i="29"/>
  <c r="AU827" i="29"/>
  <c r="AU829"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S829" i="29"/>
  <c r="AS828" i="29"/>
  <c r="AS991" i="29"/>
  <c r="AS993" i="29"/>
  <c r="AS992" i="29"/>
  <c r="AS1155" i="29"/>
  <c r="AS1157" i="29"/>
  <c r="AS1156" i="29"/>
  <c r="AS1319" i="29"/>
  <c r="AS1320" i="29"/>
  <c r="AS1321" i="29"/>
  <c r="AS1485" i="29"/>
  <c r="AS1483" i="29"/>
  <c r="AS1484" i="29"/>
  <c r="AW829" i="29" l="1"/>
  <c r="AV829" i="29"/>
  <c r="AW827" i="29"/>
  <c r="AV827" i="29"/>
  <c r="E1284" i="29"/>
  <c r="AW828" i="29"/>
  <c r="AV828" i="29"/>
  <c r="E1120"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J1126" i="29" s="1"/>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J841" i="29" s="1"/>
  <c r="BA839" i="29"/>
  <c r="J840" i="29" s="1"/>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S871" i="29" s="1"/>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P256" i="29" s="1"/>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P584" i="29" s="1"/>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P1117" i="29" s="1"/>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P789" i="29" s="1"/>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G732" i="29"/>
  <c r="AW705" i="29"/>
  <c r="AX704" i="29"/>
  <c r="AU706"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U254"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G450" i="29"/>
  <c r="AU418" i="29"/>
  <c r="AU417" i="29"/>
  <c r="AU419"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W582" i="29"/>
  <c r="AU582" i="29"/>
  <c r="AW583" i="29"/>
  <c r="AU581" i="29"/>
  <c r="AW581" i="29"/>
  <c r="AU583"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X745" i="29"/>
  <c r="AX747" i="29"/>
  <c r="AU746" i="29"/>
  <c r="AX746" i="29"/>
  <c r="AU745" i="29"/>
  <c r="AU747"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X663" i="29"/>
  <c r="AX665" i="29"/>
  <c r="AU664" i="29"/>
  <c r="AX664" i="29"/>
  <c r="AU663"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G242" i="29"/>
  <c r="AU212" i="29"/>
  <c r="AU213"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W294" i="29"/>
  <c r="AW296" i="29"/>
  <c r="AW295"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W459" i="29"/>
  <c r="AX458"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G807" i="29"/>
  <c r="AW787" i="29"/>
  <c r="AX786" i="29"/>
  <c r="AU788"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915" i="29" l="1"/>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V213" i="29" s="1"/>
  <c r="AS212" i="29"/>
  <c r="AV212" i="29" s="1"/>
  <c r="AS214" i="29"/>
  <c r="AV214" i="29" s="1"/>
  <c r="AS378" i="29"/>
  <c r="AV378" i="29" s="1"/>
  <c r="AS376" i="29"/>
  <c r="AS377" i="29"/>
  <c r="AV377" i="29" s="1"/>
  <c r="AS542" i="29"/>
  <c r="AV542" i="29" s="1"/>
  <c r="AS540" i="29"/>
  <c r="AS541" i="29"/>
  <c r="AV541" i="29" s="1"/>
  <c r="AS706" i="29"/>
  <c r="AV706" i="29" s="1"/>
  <c r="AS704" i="29"/>
  <c r="AV704" i="29" s="1"/>
  <c r="AS705" i="29"/>
  <c r="AV705" i="29" s="1"/>
  <c r="AS254" i="29"/>
  <c r="AV254" i="29" s="1"/>
  <c r="AS255" i="29"/>
  <c r="AV255" i="29" s="1"/>
  <c r="AS253" i="29"/>
  <c r="AV253" i="29" s="1"/>
  <c r="AS581" i="29"/>
  <c r="AS583" i="29"/>
  <c r="AS582" i="29"/>
  <c r="AS132" i="29"/>
  <c r="AU132" i="29" s="1"/>
  <c r="AS131" i="29"/>
  <c r="AU131" i="29" s="1"/>
  <c r="AS130" i="29"/>
  <c r="AU130" i="29" s="1"/>
  <c r="AS295" i="29"/>
  <c r="AV295" i="29" s="1"/>
  <c r="AS296" i="29"/>
  <c r="AV296" i="29" s="1"/>
  <c r="AS294" i="29"/>
  <c r="AS460" i="29"/>
  <c r="AS458" i="29"/>
  <c r="AS459" i="29"/>
  <c r="AS624" i="29"/>
  <c r="AW624" i="29" s="1"/>
  <c r="AS622" i="29"/>
  <c r="AW622" i="29" s="1"/>
  <c r="AS623" i="29"/>
  <c r="AW623" i="29" s="1"/>
  <c r="AS788" i="29"/>
  <c r="AV788" i="29" s="1"/>
  <c r="AS786" i="29"/>
  <c r="AV786" i="29" s="1"/>
  <c r="AS787" i="29"/>
  <c r="AV787" i="29" s="1"/>
  <c r="AS90" i="29"/>
  <c r="AS89" i="29"/>
  <c r="AV89" i="29" s="1"/>
  <c r="AS91" i="29"/>
  <c r="AV91" i="29" s="1"/>
  <c r="AS417" i="29"/>
  <c r="AV417" i="29" s="1"/>
  <c r="AS419" i="29"/>
  <c r="AV419" i="29" s="1"/>
  <c r="AS418" i="29"/>
  <c r="AV418" i="29" s="1"/>
  <c r="AS745" i="29"/>
  <c r="AS747" i="29"/>
  <c r="AS746" i="29"/>
  <c r="AS172" i="29"/>
  <c r="AW172" i="29" s="1"/>
  <c r="AS173" i="29"/>
  <c r="AW173" i="29" s="1"/>
  <c r="AS171" i="29"/>
  <c r="AS335" i="29"/>
  <c r="AS337" i="29"/>
  <c r="AS336" i="29"/>
  <c r="AS499" i="29"/>
  <c r="AW499" i="29" s="1"/>
  <c r="AS501" i="29"/>
  <c r="AW501" i="29" s="1"/>
  <c r="AS500" i="29"/>
  <c r="AW500" i="29" s="1"/>
  <c r="AS663" i="29"/>
  <c r="AS665" i="29"/>
  <c r="AS664" i="29"/>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J799" i="29" s="1"/>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J760" i="29" s="1"/>
  <c r="BA758" i="29"/>
  <c r="J759" i="29" s="1"/>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J716" i="29" s="1"/>
  <c r="AE714" i="29"/>
  <c r="BA714" i="29"/>
  <c r="J715" i="29" s="1"/>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J512" i="29" s="1"/>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J438" i="29" s="1"/>
  <c r="BA436" i="29"/>
  <c r="J437" i="29" s="1"/>
  <c r="BA435" i="29"/>
  <c r="J436" i="29" s="1"/>
  <c r="BA434" i="29"/>
  <c r="J435" i="29" s="1"/>
  <c r="BA433" i="29"/>
  <c r="J434" i="29" s="1"/>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J311" i="29" s="1"/>
  <c r="BA309" i="29"/>
  <c r="J310" i="29" s="1"/>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J270" i="29" s="1"/>
  <c r="BA268" i="29"/>
  <c r="J269" i="29" s="1"/>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J233" i="29" s="1"/>
  <c r="BA231" i="29"/>
  <c r="J232" i="29" s="1"/>
  <c r="BA230" i="29"/>
  <c r="J231" i="29" s="1"/>
  <c r="BA229" i="29"/>
  <c r="J230" i="29" s="1"/>
  <c r="BA228" i="29"/>
  <c r="J229" i="29" s="1"/>
  <c r="BA227" i="29"/>
  <c r="J228" i="29" s="1"/>
  <c r="BA226" i="29"/>
  <c r="J227" i="29" s="1"/>
  <c r="BA225" i="29"/>
  <c r="J226" i="29" s="1"/>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W665" i="29" l="1"/>
  <c r="AV665" i="29"/>
  <c r="AV747" i="29"/>
  <c r="AW747" i="29"/>
  <c r="AX583" i="29"/>
  <c r="AV583" i="29"/>
  <c r="AW663" i="29"/>
  <c r="AV663" i="29"/>
  <c r="AV745" i="29"/>
  <c r="AW745" i="29"/>
  <c r="AX581" i="29"/>
  <c r="AV581" i="29"/>
  <c r="AW664" i="29"/>
  <c r="AV664" i="29"/>
  <c r="AV746" i="29"/>
  <c r="AW746" i="29"/>
  <c r="AX582" i="29"/>
  <c r="AV582" i="29"/>
  <c r="AU460" i="29"/>
  <c r="AV460" i="29"/>
  <c r="AU459" i="29"/>
  <c r="AV459" i="29"/>
  <c r="AU458" i="29"/>
  <c r="AV458"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<sst xmlns="http://schemas.openxmlformats.org/spreadsheetml/2006/main" count="8046" uniqueCount="830">
  <si>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</si>
  <si>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</si>
  <si>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</si>
  <si>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</si>
  <si>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</si>
  <si>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</si>
  <si>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</si>
  <si>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</si>
  <si>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</si>
  <si>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</si>
  <si>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</si>
  <si>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</si>
  <si>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</si>
  <si>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</si>
  <si>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</si>
  <si>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</si>
  <si>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</si>
  <si>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</si>
  <si>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</si>
  <si>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</si>
  <si>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</si>
  <si>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</si>
  <si>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</si>
  <si>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</si>
  <si>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</si>
  <si>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</si>
  <si>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</si>
  <si>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</si>
  <si>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</si>
  <si>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</si>
  <si>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</si>
  <si>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</si>
  <si>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</si>
  <si>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</si>
  <si>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</si>
  <si>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</si>
  <si>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</si>
  <si>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</si>
  <si>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</si>
  <si>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</si>
  <si>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</si>
  <si>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</si>
  <si>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</si>
  <si>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</si>
  <si>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</si>
  <si>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</si>
  <si>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</si>
  <si>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</si>
  <si>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</si>
  <si>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</si>
  <si>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</si>
  <si>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</si>
  <si>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</si>
  <si>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</si>
  <si>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</si>
  <si>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</si>
  <si>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</si>
  <si>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</si>
  <si>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</si>
  <si>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</si>
  <si>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</si>
  <si>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</si>
  <si>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</si>
  <si>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</si>
  <si>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</si>
  <si>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</si>
  <si>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</si>
  <si>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</si>
  <si>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</si>
  <si>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</si>
  <si>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</si>
  <si>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</si>
  <si>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</si>
  <si>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</si>
  <si>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</si>
  <si>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</si>
  <si>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</si>
  <si>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</si>
  <si>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</si>
  <si>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</si>
  <si>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</si>
  <si>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</si>
  <si>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</si>
  <si>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</si>
  <si>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</si>
  <si>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</si>
  <si>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</si>
  <si>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</si>
  <si>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</si>
  <si>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</si>
  <si>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</si>
  <si>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</si>
  <si>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</si>
  <si>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</si>
  <si>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</si>
  <si>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</si>
  <si>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</si>
  <si>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</si>
  <si>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</si>
  <si>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</si>
  <si>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</si>
  <si>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</si>
  <si>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</si>
  <si>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</si>
  <si>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</si>
  <si>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</si>
  <si>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</si>
  <si>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</si>
  <si>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</si>
  <si>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</si>
  <si>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</si>
  <si>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</si>
  <si>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</si>
  <si>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</si>
  <si>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</si>
  <si>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</si>
  <si>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</si>
  <si>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</si>
  <si>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</si>
  <si>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</si>
  <si>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</si>
  <si>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</si>
  <si>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</si>
  <si>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</si>
  <si>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</si>
  <si>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</si>
  <si>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</si>
  <si>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</si>
  <si>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</si>
  <si>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</si>
  <si>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</si>
  <si>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</si>
  <si>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</si>
  <si>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</si>
  <si>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</si>
  <si>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</si>
  <si>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</si>
  <si>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</si>
  <si>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</si>
  <si>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</si>
  <si>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</si>
  <si>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</si>
  <si>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</si>
  <si>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</si>
  <si>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</si>
  <si>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</si>
  <si>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</si>
  <si>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</si>
  <si>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</si>
  <si>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</si>
  <si>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</si>
  <si>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</si>
  <si>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</si>
  <si>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</si>
  <si>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</si>
  <si>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</si>
  <si>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</si>
  <si>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</si>
  <si>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</si>
  <si>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</si>
  <si>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</si>
  <si>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</si>
  <si>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</si>
  <si>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</si>
  <si>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</si>
  <si>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</si>
  <si>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</si>
  <si>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</si>
  <si>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</si>
  <si>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</si>
  <si>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</si>
  <si>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</si>
  <si>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</si>
  <si>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</si>
  <si>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</si>
  <si>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</si>
  <si>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</si>
  <si>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</si>
  <si>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</si>
  <si>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</si>
  <si>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</si>
  <si>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</si>
  <si>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</si>
  <si>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</si>
  <si>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</si>
  <si>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</si>
  <si>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</si>
  <si>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</si>
  <si>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</si>
  <si>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</si>
  <si>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</si>
  <si>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</si>
  <si>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</si>
  <si>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</si>
  <si>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</si>
  <si>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</si>
  <si>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</si>
  <si>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</si>
  <si>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</si>
  <si>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</si>
  <si>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</si>
  <si>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</si>
  <si>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</si>
  <si>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</si>
  <si>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</si>
  <si>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</si>
  <si>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</si>
  <si>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</si>
  <si>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</si>
  <si>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</si>
  <si>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</si>
  <si>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</si>
  <si>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</si>
  <si>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</si>
  <si>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</si>
  <si>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</si>
  <si>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</si>
  <si>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</si>
  <si>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</si>
  <si>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</si>
  <si>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</si>
  <si>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</si>
  <si>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</si>
  <si>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</si>
  <si>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</si>
  <si>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</si>
  <si>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</si>
  <si>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</si>
  <si>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</si>
  <si>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</si>
  <si>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</si>
  <si>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</si>
  <si>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</si>
  <si>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</si>
  <si>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</si>
  <si>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</si>
  <si>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</si>
  <si>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</si>
  <si>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</si>
  <si>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</si>
  <si>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</si>
  <si>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</si>
  <si>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</si>
  <si>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</si>
  <si>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</si>
  <si>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</si>
  <si>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</si>
  <si>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</si>
  <si>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</si>
  <si>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</si>
  <si>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</si>
  <si>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</si>
  <si>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</si>
  <si>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</si>
  <si>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</si>
  <si>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</si>
  <si>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</si>
  <si>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</si>
  <si>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</si>
  <si>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</si>
  <si>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</si>
  <si>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</si>
  <si>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</si>
  <si>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</si>
  <si>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</si>
  <si>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</si>
  <si>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</si>
  <si>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</si>
  <si>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</si>
  <si>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</si>
  <si>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</si>
  <si>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</si>
  <si>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</si>
  <si>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</si>
  <si>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</si>
  <si>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</si>
  <si>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</si>
  <si>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</si>
  <si>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</si>
  <si>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</si>
  <si>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</si>
  <si>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</si>
  <si>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</si>
  <si>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</si>
  <si>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</si>
  <si>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</si>
  <si>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</si>
  <si>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</si>
  <si>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</si>
  <si>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</si>
  <si>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</si>
  <si>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</si>
  <si>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</si>
  <si>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</si>
  <si>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</si>
  <si>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</si>
  <si>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</si>
  <si>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</si>
  <si>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</si>
  <si>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</si>
  <si>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</si>
  <si>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</si>
  <si>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</si>
  <si>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</si>
  <si>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</si>
  <si>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</si>
  <si>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</si>
  <si>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</si>
  <si>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</si>
  <si>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</si>
  <si>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</si>
  <si>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</si>
  <si>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</si>
  <si>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</si>
  <si>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</si>
  <si>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</si>
  <si>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</si>
  <si>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</si>
  <si>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</si>
  <si>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</si>
  <si>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</si>
  <si>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</si>
  <si>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</si>
  <si>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</si>
  <si>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</si>
  <si>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</si>
  <si>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</si>
  <si>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</si>
  <si>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</si>
  <si>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</si>
  <si>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</si>
  <si>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</si>
  <si>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</si>
  <si>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</si>
  <si>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</si>
  <si>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</si>
  <si>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</si>
  <si>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</si>
  <si>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</si>
  <si>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</si>
  <si>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</si>
  <si>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</si>
  <si>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</si>
  <si>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</si>
  <si>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</si>
  <si>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</si>
  <si>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</si>
  <si>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</si>
  <si>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</si>
  <si>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</si>
  <si>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</si>
  <si>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</si>
  <si>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</si>
  <si>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</si>
  <si>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</si>
  <si>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</si>
  <si>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</si>
  <si>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</si>
  <si>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</si>
  <si>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</si>
  <si>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</si>
  <si>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</si>
  <si>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</si>
  <si>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</si>
  <si>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</si>
  <si>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</si>
  <si>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</si>
  <si>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</si>
  <si>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</si>
  <si>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</si>
  <si>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</si>
  <si>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</si>
  <si>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</si>
  <si>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</si>
  <si>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</si>
  <si>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</si>
  <si>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</si>
  <si>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</si>
  <si>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</si>
  <si>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</si>
  <si>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</si>
  <si>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</si>
  <si>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</si>
  <si>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</si>
  <si>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</si>
  <si>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</si>
  <si>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</si>
  <si>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</si>
  <si>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</si>
  <si>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</si>
  <si>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</si>
  <si>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</si>
  <si>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</si>
  <si>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</si>
  <si>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</si>
  <si>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</si>
  <si>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</si>
  <si>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</si>
  <si>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</si>
  <si>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</si>
  <si>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</si>
  <si>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</si>
  <si>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</si>
  <si>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</si>
  <si>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</si>
  <si>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</si>
  <si>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</si>
  <si>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</si>
  <si>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</si>
  <si>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</si>
  <si>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</si>
  <si>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</si>
  <si>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</si>
  <si>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</si>
  <si>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</si>
  <si>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</si>
  <si>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</si>
  <si>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</si>
  <si>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</si>
  <si>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</si>
  <si>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</si>
  <si>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</si>
  <si>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</si>
  <si>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</si>
  <si>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</si>
  <si>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</si>
  <si>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</si>
  <si>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</si>
  <si>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</si>
  <si>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</si>
  <si>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</si>
  <si>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</si>
  <si>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</si>
  <si>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</si>
  <si>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</si>
  <si>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</si>
  <si>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</si>
  <si>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</si>
  <si>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</si>
  <si>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</si>
  <si>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</si>
  <si>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</si>
  <si>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</si>
  <si>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</si>
  <si>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</si>
  <si>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</si>
  <si>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</si>
  <si>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</si>
  <si>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</si>
  <si>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</si>
  <si>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</si>
  <si>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</si>
  <si>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</si>
  <si>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</si>
  <si>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</si>
  <si>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</si>
  <si>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</si>
  <si>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</si>
  <si>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</si>
  <si>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</si>
  <si>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</si>
  <si>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</si>
  <si>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</si>
  <si>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</si>
  <si>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</si>
  <si>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</si>
  <si>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</si>
  <si>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</si>
  <si>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</si>
  <si>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</si>
  <si>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</si>
  <si>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</si>
  <si>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</si>
  <si>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</si>
  <si>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</si>
  <si>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</si>
  <si>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</si>
  <si>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</si>
  <si>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</si>
  <si>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</si>
  <si>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</si>
  <si>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</si>
  <si>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</si>
  <si>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</si>
  <si>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</si>
  <si>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</si>
  <si>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</si>
  <si>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</si>
  <si>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</si>
  <si>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</si>
  <si>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</si>
  <si>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</si>
  <si>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</si>
  <si>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</si>
  <si>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</si>
  <si>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</si>
  <si>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</si>
  <si>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</si>
  <si>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</si>
  <si>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</si>
  <si>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</si>
  <si>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</si>
  <si>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</si>
  <si>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</si>
  <si>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</si>
  <si>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</si>
  <si>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</si>
  <si>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</si>
  <si>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</si>
  <si>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</si>
  <si>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</si>
  <si>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</si>
  <si>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</si>
  <si>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</si>
  <si>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</si>
  <si>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</si>
  <si>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</si>
  <si>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</si>
  <si>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</si>
  <si>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</si>
  <si>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</si>
  <si>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</si>
  <si>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</si>
  <si>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</si>
  <si>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</si>
  <si>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</si>
  <si>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</si>
  <si>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</si>
  <si>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</si>
  <si>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</si>
  <si>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</si>
  <si>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</si>
  <si>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</si>
  <si>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</si>
  <si>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</si>
  <si>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</si>
  <si>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</si>
  <si>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</si>
  <si>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</si>
  <si>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</si>
  <si>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</si>
  <si>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</si>
  <si>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</si>
  <si>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</si>
  <si>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</si>
  <si>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</si>
  <si>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</si>
  <si>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</si>
  <si>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</si>
  <si>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</si>
  <si>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</si>
  <si>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</si>
  <si>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</si>
  <si>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</si>
  <si>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</si>
  <si>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</si>
  <si>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</si>
  <si>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</si>
  <si>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</si>
  <si>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</si>
  <si>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</si>
  <si>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</si>
  <si>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</si>
  <si>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</si>
  <si>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</si>
  <si>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</si>
  <si>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</si>
  <si>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</si>
  <si>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</si>
  <si>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</si>
  <si>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</si>
  <si>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</si>
  <si>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</si>
  <si>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</si>
  <si>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</si>
  <si>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</si>
  <si>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</si>
  <si>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</si>
  <si>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</si>
  <si>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</si>
  <si>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</si>
  <si>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</si>
  <si>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</si>
  <si>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</si>
  <si>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</si>
  <si>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</si>
  <si>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</si>
  <si>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</si>
  <si>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</si>
  <si>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</si>
  <si>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</si>
  <si>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</si>
  <si>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</si>
  <si>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</si>
  <si>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</si>
  <si>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</si>
  <si>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</si>
  <si>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</si>
  <si>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</si>
  <si>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</si>
  <si>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</si>
  <si>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</si>
  <si>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</si>
  <si>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</si>
  <si>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</si>
  <si>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</si>
  <si>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</si>
  <si>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</si>
  <si>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</si>
  <si>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</si>
  <si>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</si>
  <si>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</si>
  <si>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</si>
  <si>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</si>
  <si>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</si>
  <si>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</si>
  <si>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</si>
  <si>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</si>
  <si>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</si>
  <si>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</si>
  <si>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</si>
  <si>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</si>
  <si>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</si>
  <si>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</si>
  <si>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</si>
  <si>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</si>
  <si>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</si>
  <si>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</si>
  <si>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</si>
  <si>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</si>
  <si>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</si>
  <si>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</si>
  <si>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</si>
  <si>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</si>
  <si>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</si>
  <si>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</si>
  <si>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</si>
  <si>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</si>
  <si>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</si>
  <si>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</si>
  <si>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</si>
  <si>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</si>
  <si>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</si>
  <si>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</si>
  <si>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</si>
  <si>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</si>
  <si>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</si>
  <si>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</si>
  <si>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</si>
  <si>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</si>
  <si>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</si>
  <si>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</si>
  <si>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</si>
  <si>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</si>
  <si>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</si>
  <si>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</si>
  <si>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</si>
  <si>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</si>
  <si>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</si>
  <si>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</si>
  <si>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</si>
  <si>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</si>
  <si>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</si>
  <si>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</si>
  <si>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</si>
  <si>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</si>
  <si>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</si>
  <si>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</si>
  <si>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</si>
  <si>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</si>
  <si>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</si>
  <si>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</si>
  <si>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</si>
  <si>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</si>
  <si>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</si>
  <si>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</si>
  <si>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</si>
  <si>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</si>
  <si>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</si>
  <si>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</si>
  <si>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</si>
  <si>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</si>
  <si>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</si>
  <si>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</si>
  <si>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</si>
  <si>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</si>
  <si>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</si>
  <si>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</si>
  <si>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</si>
  <si>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</si>
  <si>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</si>
  <si>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</si>
  <si>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</si>
  <si>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</si>
  <si>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</si>
  <si>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</si>
  <si>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</si>
  <si>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</si>
  <si>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</si>
  <si>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</si>
  <si>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</si>
  <si>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</si>
  <si>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</si>
  <si>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</si>
  <si>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</si>
  <si>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</si>
  <si>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</si>
  <si>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</si>
  <si>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</si>
  <si>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</si>
  <si>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</si>
  <si>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</si>
  <si>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</si>
  <si>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</si>
  <si>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</si>
  <si>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</si>
  <si>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</si>
  <si>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</si>
  <si>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</si>
  <si>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</si>
  <si>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</si>
  <si>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</si>
  <si>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</si>
  <si>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</si>
  <si>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</si>
  <si>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</si>
  <si>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</si>
  <si>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</si>
  <si>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</si>
  <si>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</si>
  <si>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</si>
  <si>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 xml:space="preserve">A02SZL1 </t>
  </si>
  <si>
    <t>F 144 REID RD</t>
  </si>
  <si>
    <t>F 144-1 REID RD</t>
  </si>
  <si>
    <t>F 25489-1 STATE HWY 79</t>
  </si>
  <si>
    <t>OPP 26035-1 STATE HWY 79</t>
  </si>
  <si>
    <t>F 25920-1 STATE HWY 79</t>
  </si>
  <si>
    <t>F 26016-1 STATE HWY 79</t>
  </si>
  <si>
    <t>OPP 26127-1 STATE HWY 79</t>
  </si>
  <si>
    <t>F 26052-1 STATE HWY 79</t>
  </si>
  <si>
    <t>OPP 26225-1 STATE HWY 79</t>
  </si>
  <si>
    <t>F 26246-1 STATE HWY 79</t>
  </si>
  <si>
    <t>R 71-1 YOUNGBLOOD DR</t>
  </si>
  <si>
    <t>OPP 253-1 REID RD</t>
  </si>
  <si>
    <t>OPP 357-1 REID RD</t>
  </si>
  <si>
    <t>F 387-1 REID RD</t>
  </si>
  <si>
    <t>F 495-1 REID RD</t>
  </si>
  <si>
    <t>F 535-1 REID RD</t>
  </si>
  <si>
    <t>F 19-1 GROUNDHOG LN</t>
  </si>
  <si>
    <t>F 609-1 REID RD</t>
  </si>
  <si>
    <t>S 647-1 REID RD</t>
  </si>
  <si>
    <t>F 614-1 REID RD</t>
  </si>
  <si>
    <t>F 840-1 REID RD</t>
  </si>
  <si>
    <t>OPP 857-1 REID RD</t>
  </si>
  <si>
    <t>F 425-1 SPOONHANDLE RD</t>
  </si>
  <si>
    <t>F 184-1 TAWBUSH RD</t>
  </si>
  <si>
    <t>F 242-1 TAWBUSH RD</t>
  </si>
  <si>
    <t>F 248-1 TAWBUSH RD</t>
  </si>
  <si>
    <t>S 266-1 TAWBUSH RD</t>
  </si>
  <si>
    <t>F 496-1 TAWBUSH RD</t>
  </si>
  <si>
    <t>F 56-1 TAWBUSH LN</t>
  </si>
  <si>
    <t>F 131-1 TAWBUSH LN</t>
  </si>
  <si>
    <t>OPP 375-1 SPOONHANDLE RD</t>
  </si>
  <si>
    <t>F 489-1 SPOONHANDLE RD</t>
  </si>
  <si>
    <t>F 461-1 SPOONHANDLE RD</t>
  </si>
  <si>
    <t>F 545-1 SPOONHANDLE RD</t>
  </si>
  <si>
    <t>F 610-1 SPOONHANDLE RD</t>
  </si>
  <si>
    <t>F 95-1 GROUNDHOG LN</t>
  </si>
  <si>
    <t>OPP 38-1 MADISON DR</t>
  </si>
  <si>
    <t>F 80-1 MADISON DR</t>
  </si>
  <si>
    <t>F 889-1 REID RD</t>
  </si>
  <si>
    <t>OPP 933-1 REID RD</t>
  </si>
  <si>
    <t>OPP 1045-1 REID RD</t>
  </si>
  <si>
    <t>F 1091-1 REID RD</t>
  </si>
  <si>
    <t>OPP 1177-1 REID RD</t>
  </si>
  <si>
    <t>F 1172-1 REID RD</t>
  </si>
  <si>
    <t>OPP 1225-1 REID RD</t>
  </si>
  <si>
    <t>OPP 2985-1 REID RD</t>
  </si>
  <si>
    <t>F 526-1 TAWBUSH RD</t>
  </si>
  <si>
    <t>F 576-1 TAWBUSH RD</t>
  </si>
  <si>
    <t>F 61-1 HOLT DR</t>
  </si>
  <si>
    <t>F 115-1 HOLT DR</t>
  </si>
  <si>
    <t>F 342-1 HOLT DR</t>
  </si>
  <si>
    <t>OPP 160-1 HOLT DR</t>
  </si>
  <si>
    <t>F 26481-1 STATE HWY 79</t>
  </si>
  <si>
    <t>F 26661-1 STATE HWY 79</t>
  </si>
  <si>
    <t>F 49-1 WATER OAK DR</t>
  </si>
  <si>
    <t>F 106-1 WATER OAK DR</t>
  </si>
  <si>
    <t>F 133-1 WATER OAK DR</t>
  </si>
  <si>
    <t>F 2948-1 SPUNKY HOLLOW RD</t>
  </si>
  <si>
    <t>F 2838-1 SPUNKY HOLLOW RD</t>
  </si>
  <si>
    <t>F 2768-1 SPUNKY HOLLOW RD</t>
  </si>
  <si>
    <t>OPP 3060-1 SPUNKY HOLLOW RD</t>
  </si>
  <si>
    <t>F 3288-1 SPUNKY HOLLOW RD</t>
  </si>
  <si>
    <t>OPP 26676-1 STATE HWY 79</t>
  </si>
  <si>
    <t>F 26819-1 STATE HWY 79</t>
  </si>
  <si>
    <t>OPP 26966-1 STATE HWY 79</t>
  </si>
  <si>
    <t>F 2662-1 SPUNKY HOLLOW RD</t>
  </si>
  <si>
    <t>F 2610-1 SPUNKY HOLLOW RD</t>
  </si>
  <si>
    <t>F 2562-1 SPUNKY HOLLOW RD</t>
  </si>
  <si>
    <t>F 2524-1 SPUNKY HOLLOW RD</t>
  </si>
  <si>
    <t>OPP 109-1 PINE VIEW DR</t>
  </si>
  <si>
    <t>OPP 198-1 PINE VIEW DR</t>
  </si>
  <si>
    <t>F 280-1 PINE VIEW DR</t>
  </si>
  <si>
    <t>OPP 3461-1 SPUNKY HOLLOW RD</t>
  </si>
  <si>
    <t>F 3418-1 SPUNKY HOLLOW RD</t>
  </si>
  <si>
    <t>F 3530-1 SPUNKY HOLLOW RD</t>
  </si>
  <si>
    <t>F 151-1 HONEYCUTT RD</t>
  </si>
  <si>
    <t>F 183-1 HONEYCUTT RD</t>
  </si>
  <si>
    <t>F 3585-1 SPUNKY HOLLOW RD</t>
  </si>
  <si>
    <t>F 3745-1 SPUNKY HOLLOW RD</t>
  </si>
  <si>
    <t>F 3590-1 SPUNKY HOLLOW RD</t>
  </si>
  <si>
    <t>F 3945-1 SPUNKY HOLLOW RD</t>
  </si>
  <si>
    <t>OPP 3616-1 SPUNKY HOLLOW RD</t>
  </si>
  <si>
    <t>F 3983-1 SPUNKY HOLLOW RD</t>
  </si>
  <si>
    <t>F 4075-1 SPUNKY HOLLOW RD</t>
  </si>
  <si>
    <t>OPP 25609-1 STATE HWY 79</t>
  </si>
  <si>
    <t>(397-612) REEL 6</t>
  </si>
  <si>
    <t>(613-672) REEL 6</t>
  </si>
  <si>
    <t>(397-612) REEL 11</t>
  </si>
  <si>
    <t>STUB</t>
  </si>
  <si>
    <t>S 118-1 TAWBUSH LN</t>
  </si>
  <si>
    <t>F 55-1 HONEYCUTT RD</t>
  </si>
  <si>
    <t>F 81-1 PINE VIEW DR</t>
  </si>
  <si>
    <t>R 215-1 HONEYCUTT RD</t>
  </si>
  <si>
    <t>OPP 26520-1 STATE HWY 79</t>
  </si>
  <si>
    <t>OPP 3042-1 SPUNKY HOLLOW RD</t>
  </si>
  <si>
    <t>1214PA</t>
  </si>
  <si>
    <t>PON1214PA</t>
  </si>
  <si>
    <t>S 375-1 SPOONHANDLE 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</si>
</sst>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6">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0" borderId="0" xfId="0" applyProtection="1">
      <protection locked="0" hidden="1"/>
    </xf>
    <xf numFmtId="0" fontId="17" fillId="0" borderId="0" xfId="6" applyProtection="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0">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19" dataDxfId="1617" headerRowBorderDxfId="1618" tableBorderDxfId="1616" totalsRowBorderDxfId="1615">
  <autoFilter ref="A1:AP499" xr:uid="{00000000-0009-0000-0100-000003000000}"/>
  <tableColumns count="42">
    <tableColumn id="1" xr3:uid="{00000000-0010-0000-0000-000001000000}" name="DWG#" dataDxfId="1614"/>
    <tableColumn id="61" xr3:uid="{00000000-0010-0000-0000-00003D000000}" name="10x15 HH" dataDxfId="1613"/>
    <tableColumn id="9" xr3:uid="{00000000-0010-0000-0000-000009000000}" name="IDUCT 1" dataDxfId="1612"/>
    <tableColumn id="10" xr3:uid="{00000000-0010-0000-0000-00000A000000}" name="IDUCT 2" dataDxfId="1611"/>
    <tableColumn id="11" xr3:uid="{00000000-0010-0000-0000-00000B000000}" name="IDUCT 3" dataDxfId="1610"/>
    <tableColumn id="12" xr3:uid="{00000000-0010-0000-0000-00000C000000}" name="IDUCT 4" dataDxfId="1609"/>
    <tableColumn id="13" xr3:uid="{00000000-0010-0000-0000-00000D000000}" name="IDUCT 5" dataDxfId="1608"/>
    <tableColumn id="14" xr3:uid="{00000000-0010-0000-0000-00000E000000}" name="IDUCT 6" dataDxfId="1607"/>
    <tableColumn id="15" xr3:uid="{00000000-0010-0000-0000-00000F000000}" name="IDUCT 7" dataDxfId="1606"/>
    <tableColumn id="16" xr3:uid="{00000000-0010-0000-0000-000010000000}" name="IDUCT 8" dataDxfId="1605"/>
    <tableColumn id="17" xr3:uid="{00000000-0010-0000-0000-000011000000}" name="IDUCT 9" dataDxfId="1604"/>
    <tableColumn id="18" xr3:uid="{00000000-0010-0000-0000-000012000000}" name="IDUCT 10" dataDxfId="1603"/>
    <tableColumn id="19" xr3:uid="{00000000-0010-0000-0000-000013000000}" name="IDUCT 11" dataDxfId="1602"/>
    <tableColumn id="20" xr3:uid="{00000000-0010-0000-0000-000014000000}" name="IDUCT 12" dataDxfId="1601"/>
    <tableColumn id="21" xr3:uid="{00000000-0010-0000-0000-000015000000}" name="IDUCT 13" dataDxfId="1600"/>
    <tableColumn id="22" xr3:uid="{00000000-0010-0000-0000-000016000000}" name="IDUCT 14" dataDxfId="1599"/>
    <tableColumn id="23" xr3:uid="{00000000-0010-0000-0000-000017000000}" name="IDUCT 15" dataDxfId="1598"/>
    <tableColumn id="24" xr3:uid="{00000000-0010-0000-0000-000018000000}" name="IDUCT 16" dataDxfId="1597"/>
    <tableColumn id="25" xr3:uid="{00000000-0010-0000-0000-000019000000}" name="IDUCT 17" dataDxfId="1596"/>
    <tableColumn id="26" xr3:uid="{00000000-0010-0000-0000-00001A000000}" name="IDUCT 18" dataDxfId="1595"/>
    <tableColumn id="27" xr3:uid="{00000000-0010-0000-0000-00001B000000}" name="IDUCT 19" dataDxfId="1594"/>
    <tableColumn id="28" xr3:uid="{00000000-0010-0000-0000-00001C000000}" name="IDUCT 20" dataDxfId="1593"/>
    <tableColumn id="29" xr3:uid="{00000000-0010-0000-0000-00001D000000}" name="Pullback IDUCT 1" dataDxfId="1592"/>
    <tableColumn id="30" xr3:uid="{00000000-0010-0000-0000-00001E000000}" name="Pullback IDUCT 2" dataDxfId="1591"/>
    <tableColumn id="31" xr3:uid="{00000000-0010-0000-0000-00001F000000}" name="Pullback IDUCT 3" dataDxfId="1590"/>
    <tableColumn id="32" xr3:uid="{00000000-0010-0000-0000-000020000000}" name="Pullback IDUCT 4" dataDxfId="1589"/>
    <tableColumn id="33" xr3:uid="{00000000-0010-0000-0000-000021000000}" name="Pullback IDUCT 5" dataDxfId="1588"/>
    <tableColumn id="34" xr3:uid="{00000000-0010-0000-0000-000022000000}" name="Pullback IDUCT 6" dataDxfId="1587"/>
    <tableColumn id="35" xr3:uid="{00000000-0010-0000-0000-000023000000}" name="Pullback IDUCT 7" dataDxfId="1586"/>
    <tableColumn id="36" xr3:uid="{00000000-0010-0000-0000-000024000000}" name="Pullback IDUCT 8" dataDxfId="1585"/>
    <tableColumn id="37" xr3:uid="{00000000-0010-0000-0000-000025000000}" name="Pullback IDUCT 9" dataDxfId="1584"/>
    <tableColumn id="38" xr3:uid="{00000000-0010-0000-0000-000026000000}" name="Pullback IDUCT 10" dataDxfId="1583"/>
    <tableColumn id="49" xr3:uid="{00000000-0010-0000-0000-000031000000}" name="ROD Duct 1" dataDxfId="1582"/>
    <tableColumn id="50" xr3:uid="{00000000-0010-0000-0000-000032000000}" name="ROD Duct 2" dataDxfId="1581"/>
    <tableColumn id="51" xr3:uid="{00000000-0010-0000-0000-000033000000}" name="ROD Duct 3" dataDxfId="1580"/>
    <tableColumn id="52" xr3:uid="{00000000-0010-0000-0000-000034000000}" name="ROD Duct 4" dataDxfId="1579"/>
    <tableColumn id="53" xr3:uid="{00000000-0010-0000-0000-000035000000}" name="ROD Duct 5" dataDxfId="1578"/>
    <tableColumn id="54" xr3:uid="{00000000-0010-0000-0000-000036000000}" name="ROD Duct 6" dataDxfId="1577"/>
    <tableColumn id="55" xr3:uid="{00000000-0010-0000-0000-000037000000}" name="ROD Duct 7" dataDxfId="1576"/>
    <tableColumn id="56" xr3:uid="{00000000-0010-0000-0000-000038000000}" name="ROD Duct 8" dataDxfId="1575"/>
    <tableColumn id="57" xr3:uid="{00000000-0010-0000-0000-000039000000}" name="ROD Duct 9" dataDxfId="1574"/>
    <tableColumn id="58" xr3:uid="{00000000-0010-0000-0000-00003A000000}" name="ROD Duct 10" dataDxfId="157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J2" sqref="J2"/>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2" t="s">
        <v>0</v>
      </c>
      <c r="C1" s="262"/>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0" t="s">
        <v>8</v>
      </c>
      <c r="H19" s="261"/>
      <c r="I19" s="261"/>
      <c r="J19" s="261"/>
      <c r="K19" s="261"/>
      <c r="L19" s="261"/>
      <c r="M19" s="261"/>
      <c r="N19" s="261"/>
      <c r="O19" s="261"/>
      <c r="P19" s="261"/>
      <c r="Q19" s="176"/>
    </row>
    <row r="20" spans="2:17" x14ac:dyDescent="0.25">
      <c r="G20" s="261"/>
      <c r="H20" s="261"/>
      <c r="I20" s="261"/>
      <c r="J20" s="261"/>
      <c r="K20" s="261"/>
      <c r="L20" s="261"/>
      <c r="M20" s="261"/>
      <c r="N20" s="261"/>
      <c r="O20" s="261"/>
      <c r="P20" s="261"/>
      <c r="Q20" s="176"/>
    </row>
    <row r="21" spans="2:17" x14ac:dyDescent="0.25">
      <c r="G21" s="261"/>
      <c r="H21" s="261"/>
      <c r="I21" s="261"/>
      <c r="J21" s="261"/>
      <c r="K21" s="261"/>
      <c r="L21" s="261"/>
      <c r="M21" s="261"/>
      <c r="N21" s="261"/>
      <c r="O21" s="261"/>
      <c r="P21" s="261"/>
      <c r="Q21" s="176"/>
    </row>
    <row r="22" spans="2:17" ht="15" customHeight="1" x14ac:dyDescent="0.25">
      <c r="G22" s="261"/>
      <c r="H22" s="261"/>
      <c r="I22" s="261"/>
      <c r="J22" s="261"/>
      <c r="K22" s="261"/>
      <c r="L22" s="261"/>
      <c r="M22" s="261"/>
      <c r="N22" s="261"/>
      <c r="O22" s="261"/>
      <c r="P22" s="261"/>
      <c r="Q22" s="176"/>
    </row>
    <row r="23" spans="2:17" x14ac:dyDescent="0.25">
      <c r="G23" s="261"/>
      <c r="H23" s="261"/>
      <c r="I23" s="261"/>
      <c r="J23" s="261"/>
      <c r="K23" s="261"/>
      <c r="L23" s="261"/>
      <c r="M23" s="261"/>
      <c r="N23" s="261"/>
      <c r="O23" s="261"/>
      <c r="P23" s="261"/>
      <c r="Q23" s="176"/>
    </row>
    <row r="24" spans="2:17" x14ac:dyDescent="0.25">
      <c r="G24" s="261"/>
      <c r="H24" s="261"/>
      <c r="I24" s="261"/>
      <c r="J24" s="261"/>
      <c r="K24" s="261"/>
      <c r="L24" s="261"/>
      <c r="M24" s="261"/>
      <c r="N24" s="261"/>
      <c r="O24" s="261"/>
      <c r="P24" s="261"/>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9" t="s">
        <v>10</v>
      </c>
      <c r="G35" s="259"/>
      <c r="H35" s="259"/>
      <c r="I35" s="259"/>
      <c r="J35" s="259"/>
      <c r="K35" s="259"/>
      <c r="L35" s="259"/>
      <c r="M35" s="259"/>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6" t="s">
        <v>15</v>
      </c>
      <c r="C147" s="257"/>
      <c r="D147" s="257"/>
      <c r="E147" s="257"/>
      <c r="F147" s="257"/>
      <c r="G147" s="257"/>
      <c r="H147" s="257"/>
      <c r="I147" s="257"/>
      <c r="J147" s="257"/>
      <c r="K147" s="257"/>
      <c r="L147" s="257"/>
      <c r="M147" s="257"/>
      <c r="N147" s="257"/>
      <c r="O147" s="257"/>
      <c r="P147" s="258"/>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144-1 REID RD</v>
      </c>
      <c r="B1" s="118"/>
      <c r="C1" s="118"/>
      <c r="D1" s="118"/>
      <c r="E1" s="118"/>
      <c r="G1" t="str">
        <f>IF('Assignment Tool'!C1="","",IF('Assignment Tool'!C1="FST",'Assignment Tool'!D1,""))</f>
        <v/>
      </c>
      <c r="H1">
        <v>1</v>
      </c>
      <c r="I1">
        <v>1</v>
      </c>
      <c r="J1" t="str">
        <f t="array" ref="J1">IFERROR(INDEX($G$2:$G$2050,_xlfn.AGGREGATE(15,6,(ROW($G$2:$G$2050)-ROW($G$2)+1)/($G$2:$G$2050&lt;&gt;""),ROWS(J$1:J1))),"")</f>
        <v>F 144-1 REID RD</v>
      </c>
      <c r="K1">
        <f>IF(J1="","",INDEX('Assignment Tool'!E17:E2050,MATCH(FA_DATA!J1,'Assignment Tool'!D17:D2050,0)))</f>
        <v>4</v>
      </c>
    </row>
    <row r="2" spans="1:11" x14ac:dyDescent="0.25">
      <c r="A2" s="118" t="str">
        <f t="shared" ref="A2:A65" si="0">VLOOKUP(H2,$I$1:$J$1000,2)</f>
        <v>F 144-1 REID RD</v>
      </c>
      <c r="G2" t="str">
        <f>IF('Assignment Tool'!C2="","",IF('Assignment Tool'!C2="FST",'Assignment Tool'!D2,""))</f>
        <v/>
      </c>
      <c r="H2">
        <v>2</v>
      </c>
      <c r="I2">
        <f>IFERROR((I1+K1),"")</f>
        <v>5</v>
      </c>
      <c r="J2" t="str">
        <f t="array" ref="J2">IFERROR(INDEX($G$2:$G$2050,_xlfn.AGGREGATE(15,6,(ROW($G$2:$G$2050)-ROW($G$2)+1)/($G$2:$G$2050&lt;&gt;""),ROWS(J$1:J2))),"")</f>
        <v>F 25489-1 STATE HWY 79</v>
      </c>
      <c r="K2">
        <f>IF(J2="","",INDEX('Assignment Tool'!E18:E2051,MATCH(FA_DATA!J2,'Assignment Tool'!D18:D2051,0)))</f>
        <v>4</v>
      </c>
    </row>
    <row r="3" spans="1:11" x14ac:dyDescent="0.25">
      <c r="A3" s="118" t="str">
        <f t="shared" si="0"/>
        <v>F 144-1 REID RD</v>
      </c>
      <c r="G3" t="str">
        <f>IF('Assignment Tool'!C3="","",IF('Assignment Tool'!C3="FST",'Assignment Tool'!D3,""))</f>
        <v/>
      </c>
      <c r="H3">
        <v>3</v>
      </c>
      <c r="I3">
        <f t="shared" ref="I3:I66" si="1">IFERROR((I2+K2),"")</f>
        <v>9</v>
      </c>
      <c r="J3" t="str">
        <f t="array" ref="J3">IFERROR(INDEX($G$2:$G$2050,_xlfn.AGGREGATE(15,6,(ROW($G$2:$G$2050)-ROW($G$2)+1)/($G$2:$G$2050&lt;&gt;""),ROWS(J$1:J3))),"")</f>
        <v>OPP 25609-1 STATE HWY 79</v>
      </c>
      <c r="K3">
        <f>IF(J3="","",INDEX('Assignment Tool'!E19:E2052,MATCH(FA_DATA!J3,'Assignment Tool'!D19:D2052,0)))</f>
        <v>4</v>
      </c>
    </row>
    <row r="4" spans="1:11" x14ac:dyDescent="0.25">
      <c r="A4" s="118" t="str">
        <f t="shared" si="0"/>
        <v>F 144-1 REID RD</v>
      </c>
      <c r="G4" t="str">
        <f>IF('Assignment Tool'!C4="","",IF('Assignment Tool'!C4="FST",'Assignment Tool'!D4,""))</f>
        <v/>
      </c>
      <c r="H4">
        <v>4</v>
      </c>
      <c r="I4">
        <f t="shared" si="1"/>
        <v>13</v>
      </c>
      <c r="J4" t="str">
        <f t="array" ref="J4">IFERROR(INDEX($G$2:$G$2050,_xlfn.AGGREGATE(15,6,(ROW($G$2:$G$2050)-ROW($G$2)+1)/($G$2:$G$2050&lt;&gt;""),ROWS(J$1:J4))),"")</f>
        <v>OPP 26035-1 STATE HWY 79</v>
      </c>
      <c r="K4">
        <f>IF(J4="","",INDEX('Assignment Tool'!E20:E2053,MATCH(FA_DATA!J4,'Assignment Tool'!D20:D2053,0)))</f>
        <v>4</v>
      </c>
    </row>
    <row r="5" spans="1:11" x14ac:dyDescent="0.25">
      <c r="A5" s="118" t="str">
        <f t="shared" si="0"/>
        <v>F 25489-1 STATE HWY 79</v>
      </c>
      <c r="G5" t="str">
        <f>IF('Assignment Tool'!C5="","",IF('Assignment Tool'!C5="FST",'Assignment Tool'!D5,""))</f>
        <v/>
      </c>
      <c r="H5">
        <v>5</v>
      </c>
      <c r="I5">
        <f t="shared" si="1"/>
        <v>17</v>
      </c>
      <c r="J5" t="str">
        <f t="array" ref="J5">IFERROR(INDEX($G$2:$G$2050,_xlfn.AGGREGATE(15,6,(ROW($G$2:$G$2050)-ROW($G$2)+1)/($G$2:$G$2050&lt;&gt;""),ROWS(J$1:J5))),"")</f>
        <v>F 25920-1 STATE HWY 79</v>
      </c>
      <c r="K5">
        <f>IF(J5="","",INDEX('Assignment Tool'!E21:E2054,MATCH(FA_DATA!J5,'Assignment Tool'!D21:D2054,0)))</f>
        <v>4</v>
      </c>
    </row>
    <row r="6" spans="1:11" x14ac:dyDescent="0.25">
      <c r="A6" s="118" t="str">
        <f t="shared" si="0"/>
        <v>F 25489-1 STATE HWY 79</v>
      </c>
      <c r="G6" t="str">
        <f>IF('Assignment Tool'!C6="","",IF('Assignment Tool'!C6="FST",'Assignment Tool'!D6,""))</f>
        <v/>
      </c>
      <c r="H6">
        <v>6</v>
      </c>
      <c r="I6">
        <f t="shared" si="1"/>
        <v>21</v>
      </c>
      <c r="J6" t="str">
        <f t="array" ref="J6">IFERROR(INDEX($G$2:$G$2050,_xlfn.AGGREGATE(15,6,(ROW($G$2:$G$2050)-ROW($G$2)+1)/($G$2:$G$2050&lt;&gt;""),ROWS(J$1:J6))),"")</f>
        <v>F 26016-1 STATE HWY 79</v>
      </c>
      <c r="K6">
        <f>IF(J6="","",INDEX('Assignment Tool'!E22:E2055,MATCH(FA_DATA!J6,'Assignment Tool'!D22:D2055,0)))</f>
        <v>4</v>
      </c>
    </row>
    <row r="7" spans="1:11" x14ac:dyDescent="0.25">
      <c r="A7" s="118" t="str">
        <f t="shared" si="0"/>
        <v>F 25489-1 STATE HWY 79</v>
      </c>
      <c r="G7" t="str">
        <f>IF('Assignment Tool'!C7="","",IF('Assignment Tool'!C7="FST",'Assignment Tool'!D7,""))</f>
        <v/>
      </c>
      <c r="H7">
        <v>7</v>
      </c>
      <c r="I7">
        <f t="shared" si="1"/>
        <v>25</v>
      </c>
      <c r="J7" t="str">
        <f t="array" ref="J7">IFERROR(INDEX($G$2:$G$2050,_xlfn.AGGREGATE(15,6,(ROW($G$2:$G$2050)-ROW($G$2)+1)/($G$2:$G$2050&lt;&gt;""),ROWS(J$1:J7))),"")</f>
        <v>OPP 26127-1 STATE HWY 79</v>
      </c>
      <c r="K7">
        <f>IF(J7="","",INDEX('Assignment Tool'!E23:E2056,MATCH(FA_DATA!J7,'Assignment Tool'!D23:D2056,0)))</f>
        <v>8</v>
      </c>
    </row>
    <row r="8" spans="1:11" x14ac:dyDescent="0.25">
      <c r="A8" s="118" t="str">
        <f t="shared" si="0"/>
        <v>F 25489-1 STATE HWY 79</v>
      </c>
      <c r="G8" t="str">
        <f>IF('Assignment Tool'!C8="","",IF('Assignment Tool'!C8="FST",'Assignment Tool'!D8,""))</f>
        <v/>
      </c>
      <c r="H8">
        <v>8</v>
      </c>
      <c r="I8">
        <f t="shared" si="1"/>
        <v>33</v>
      </c>
      <c r="J8" t="str">
        <f t="array" ref="J8">IFERROR(INDEX($G$2:$G$2050,_xlfn.AGGREGATE(15,6,(ROW($G$2:$G$2050)-ROW($G$2)+1)/($G$2:$G$2050&lt;&gt;""),ROWS(J$1:J8))),"")</f>
        <v>F 26052-1 STATE HWY 79</v>
      </c>
      <c r="K8">
        <f>IF(J8="","",INDEX('Assignment Tool'!E24:E2057,MATCH(FA_DATA!J8,'Assignment Tool'!D24:D2057,0)))</f>
        <v>8</v>
      </c>
    </row>
    <row r="9" spans="1:11" x14ac:dyDescent="0.25">
      <c r="A9" s="118" t="str">
        <f t="shared" si="0"/>
        <v>OPP 25609-1 STATE HWY 79</v>
      </c>
      <c r="G9" t="str">
        <f>IF('Assignment Tool'!C9="","",IF('Assignment Tool'!C9="FST",'Assignment Tool'!D9,""))</f>
        <v/>
      </c>
      <c r="H9">
        <v>9</v>
      </c>
      <c r="I9">
        <f t="shared" si="1"/>
        <v>41</v>
      </c>
      <c r="J9" t="str">
        <f t="array" ref="J9">IFERROR(INDEX($G$2:$G$2050,_xlfn.AGGREGATE(15,6,(ROW($G$2:$G$2050)-ROW($G$2)+1)/($G$2:$G$2050&lt;&gt;""),ROWS(J$1:J9))),"")</f>
        <v>OPP 26225-1 STATE HWY 79</v>
      </c>
      <c r="K9">
        <f>IF(J9="","",INDEX('Assignment Tool'!E25:E2058,MATCH(FA_DATA!J9,'Assignment Tool'!D25:D2058,0)))</f>
        <v>4</v>
      </c>
    </row>
    <row r="10" spans="1:11" x14ac:dyDescent="0.25">
      <c r="A10" s="118" t="str">
        <f t="shared" si="0"/>
        <v>OPP 25609-1 STATE HWY 79</v>
      </c>
      <c r="G10" t="str">
        <f>IF('Assignment Tool'!C10="","",IF('Assignment Tool'!C10="FST",'Assignment Tool'!D10,""))</f>
        <v/>
      </c>
      <c r="H10">
        <v>10</v>
      </c>
      <c r="I10">
        <f t="shared" si="1"/>
        <v>45</v>
      </c>
      <c r="J10" t="str">
        <f t="array" ref="J10">IFERROR(INDEX($G$2:$G$2050,_xlfn.AGGREGATE(15,6,(ROW($G$2:$G$2050)-ROW($G$2)+1)/($G$2:$G$2050&lt;&gt;""),ROWS(J$1:J10))),"")</f>
        <v>F 26246-1 STATE HWY 79</v>
      </c>
      <c r="K10">
        <f>IF(J10="","",INDEX('Assignment Tool'!E26:E2059,MATCH(FA_DATA!J10,'Assignment Tool'!D26:D2059,0)))</f>
        <v>8</v>
      </c>
    </row>
    <row r="11" spans="1:11" x14ac:dyDescent="0.25">
      <c r="A11" s="118" t="str">
        <f t="shared" si="0"/>
        <v>OPP 25609-1 STATE HWY 79</v>
      </c>
      <c r="G11" t="str">
        <f>IF('Assignment Tool'!C11="","",IF('Assignment Tool'!C11="FST",'Assignment Tool'!D11,""))</f>
        <v/>
      </c>
      <c r="H11">
        <v>11</v>
      </c>
      <c r="I11">
        <f t="shared" si="1"/>
        <v>53</v>
      </c>
      <c r="J11" t="str">
        <f t="array" ref="J11">IFERROR(INDEX($G$2:$G$2050,_xlfn.AGGREGATE(15,6,(ROW($G$2:$G$2050)-ROW($G$2)+1)/($G$2:$G$2050&lt;&gt;""),ROWS(J$1:J11))),"")</f>
        <v>R 71-1 YOUNGBLOOD DR</v>
      </c>
      <c r="K11">
        <f>IF(J11="","",INDEX('Assignment Tool'!E27:E2060,MATCH(FA_DATA!J11,'Assignment Tool'!D27:D2060,0)))</f>
        <v>8</v>
      </c>
    </row>
    <row r="12" spans="1:11" x14ac:dyDescent="0.25">
      <c r="A12" s="118" t="str">
        <f t="shared" si="0"/>
        <v>OPP 25609-1 STATE HWY 79</v>
      </c>
      <c r="G12" t="str">
        <f>IF('Assignment Tool'!C12="","",IF('Assignment Tool'!C12="FST",'Assignment Tool'!D12,""))</f>
        <v/>
      </c>
      <c r="H12">
        <v>12</v>
      </c>
      <c r="I12">
        <f t="shared" si="1"/>
        <v>61</v>
      </c>
      <c r="J12" t="str">
        <f t="array" ref="J12">IFERROR(INDEX($G$2:$G$2050,_xlfn.AGGREGATE(15,6,(ROW($G$2:$G$2050)-ROW($G$2)+1)/($G$2:$G$2050&lt;&gt;""),ROWS(J$1:J12))),"")</f>
        <v>OPP 253-1 REID RD</v>
      </c>
      <c r="K12">
        <f>IF(J12="","",INDEX('Assignment Tool'!E28:E2061,MATCH(FA_DATA!J12,'Assignment Tool'!D28:D2061,0)))</f>
        <v>4</v>
      </c>
    </row>
    <row r="13" spans="1:11" x14ac:dyDescent="0.25">
      <c r="A13" s="118" t="str">
        <f t="shared" si="0"/>
        <v>OPP 26035-1 STATE HWY 79</v>
      </c>
      <c r="G13" t="str">
        <f>IF('Assignment Tool'!C13="","",IF('Assignment Tool'!C13="FST",'Assignment Tool'!D13,""))</f>
        <v/>
      </c>
      <c r="H13">
        <v>13</v>
      </c>
      <c r="I13">
        <f t="shared" si="1"/>
        <v>65</v>
      </c>
      <c r="J13" t="str">
        <f t="array" ref="J13">IFERROR(INDEX($G$2:$G$2050,_xlfn.AGGREGATE(15,6,(ROW($G$2:$G$2050)-ROW($G$2)+1)/($G$2:$G$2050&lt;&gt;""),ROWS(J$1:J13))),"")</f>
        <v>OPP 357-1 REID RD</v>
      </c>
      <c r="K13">
        <f>IF(J13="","",INDEX('Assignment Tool'!E29:E2062,MATCH(FA_DATA!J13,'Assignment Tool'!D29:D2062,0)))</f>
        <v>4</v>
      </c>
    </row>
    <row r="14" spans="1:11" x14ac:dyDescent="0.25">
      <c r="A14" s="118" t="str">
        <f t="shared" si="0"/>
        <v>OPP 26035-1 STATE HWY 79</v>
      </c>
      <c r="G14" t="str">
        <f>IF('Assignment Tool'!C14="","",IF('Assignment Tool'!C14="FST",'Assignment Tool'!D14,""))</f>
        <v/>
      </c>
      <c r="H14">
        <v>14</v>
      </c>
      <c r="I14">
        <f t="shared" si="1"/>
        <v>69</v>
      </c>
      <c r="J14" t="str">
        <f t="array" ref="J14">IFERROR(INDEX($G$2:$G$2050,_xlfn.AGGREGATE(15,6,(ROW($G$2:$G$2050)-ROW($G$2)+1)/($G$2:$G$2050&lt;&gt;""),ROWS(J$1:J14))),"")</f>
        <v>F 387-1 REID RD</v>
      </c>
      <c r="K14">
        <f>IF(J14="","",INDEX('Assignment Tool'!E30:E2063,MATCH(FA_DATA!J14,'Assignment Tool'!D30:D2063,0)))</f>
        <v>4</v>
      </c>
    </row>
    <row r="15" spans="1:11" x14ac:dyDescent="0.25">
      <c r="A15" s="118" t="str">
        <f t="shared" si="0"/>
        <v>OPP 26035-1 STATE HWY 79</v>
      </c>
      <c r="G15" t="str">
        <f>IF('Assignment Tool'!C15="","",IF('Assignment Tool'!C15="FST",'Assignment Tool'!D15,""))</f>
        <v/>
      </c>
      <c r="H15">
        <v>15</v>
      </c>
      <c r="I15">
        <f t="shared" si="1"/>
        <v>73</v>
      </c>
      <c r="J15" t="str">
        <f t="array" ref="J15">IFERROR(INDEX($G$2:$G$2050,_xlfn.AGGREGATE(15,6,(ROW($G$2:$G$2050)-ROW($G$2)+1)/($G$2:$G$2050&lt;&gt;""),ROWS(J$1:J15))),"")</f>
        <v>F 495-1 REID RD</v>
      </c>
      <c r="K15">
        <f>IF(J15="","",INDEX('Assignment Tool'!E31:E2064,MATCH(FA_DATA!J15,'Assignment Tool'!D31:D2064,0)))</f>
        <v>4</v>
      </c>
    </row>
    <row r="16" spans="1:11" x14ac:dyDescent="0.25">
      <c r="A16" s="118" t="str">
        <f t="shared" si="0"/>
        <v>OPP 26035-1 STATE HWY 79</v>
      </c>
      <c r="G16" t="str">
        <f>IF('Assignment Tool'!C16="","",IF('Assignment Tool'!C16="FST",'Assignment Tool'!D16,""))</f>
        <v/>
      </c>
      <c r="H16">
        <v>16</v>
      </c>
      <c r="I16">
        <f t="shared" si="1"/>
        <v>77</v>
      </c>
      <c r="J16" t="str">
        <f t="array" ref="J16">IFERROR(INDEX($G$2:$G$2050,_xlfn.AGGREGATE(15,6,(ROW($G$2:$G$2050)-ROW($G$2)+1)/($G$2:$G$2050&lt;&gt;""),ROWS(J$1:J16))),"")</f>
        <v>F 535-1 REID RD</v>
      </c>
      <c r="K16">
        <f>IF(J16="","",INDEX('Assignment Tool'!E32:E2065,MATCH(FA_DATA!J16,'Assignment Tool'!D32:D2065,0)))</f>
        <v>4</v>
      </c>
    </row>
    <row r="17" spans="1:11" x14ac:dyDescent="0.25">
      <c r="A17" s="118" t="str">
        <f t="shared" si="0"/>
        <v>F 25920-1 STATE HWY 79</v>
      </c>
      <c r="G17" t="str">
        <f>IF('Assignment Tool'!C17="","",IF('Assignment Tool'!C17="FST",'Assignment Tool'!D17,""))</f>
        <v>F 144-1 REID RD</v>
      </c>
      <c r="H17">
        <v>17</v>
      </c>
      <c r="I17">
        <f t="shared" si="1"/>
        <v>81</v>
      </c>
      <c r="J17" t="str">
        <f t="array" ref="J17">IFERROR(INDEX($G$2:$G$2050,_xlfn.AGGREGATE(15,6,(ROW($G$2:$G$2050)-ROW($G$2)+1)/($G$2:$G$2050&lt;&gt;""),ROWS(J$1:J17))),"")</f>
        <v>F 19-1 GROUNDHOG LN</v>
      </c>
      <c r="K17">
        <f>IF(J17="","",INDEX('Assignment Tool'!E33:E2066,MATCH(FA_DATA!J17,'Assignment Tool'!D33:D2066,0)))</f>
        <v>4</v>
      </c>
    </row>
    <row r="18" spans="1:11" x14ac:dyDescent="0.25">
      <c r="A18" s="118" t="str">
        <f t="shared" si="0"/>
        <v>F 25920-1 STATE HWY 79</v>
      </c>
      <c r="G18" t="str">
        <f>IF('Assignment Tool'!C18="","",IF('Assignment Tool'!C18="FST",'Assignment Tool'!D18,""))</f>
        <v>F 25489-1 STATE HWY 79</v>
      </c>
      <c r="H18">
        <v>18</v>
      </c>
      <c r="I18">
        <f t="shared" si="1"/>
        <v>85</v>
      </c>
      <c r="J18" t="str">
        <f t="array" ref="J18">IFERROR(INDEX($G$2:$G$2050,_xlfn.AGGREGATE(15,6,(ROW($G$2:$G$2050)-ROW($G$2)+1)/($G$2:$G$2050&lt;&gt;""),ROWS(J$1:J18))),"")</f>
        <v>F 609-1 REID RD</v>
      </c>
      <c r="K18">
        <f>IF(J18="","",INDEX('Assignment Tool'!E34:E2067,MATCH(FA_DATA!J18,'Assignment Tool'!D34:D2067,0)))</f>
        <v>8</v>
      </c>
    </row>
    <row r="19" spans="1:11" x14ac:dyDescent="0.25">
      <c r="A19" s="118" t="str">
        <f t="shared" si="0"/>
        <v>F 25920-1 STATE HWY 79</v>
      </c>
      <c r="G19" t="str">
        <f>IF('Assignment Tool'!C19="","",IF('Assignment Tool'!C19="FST",'Assignment Tool'!D19,""))</f>
        <v>OPP 25609-1 STATE HWY 79</v>
      </c>
      <c r="H19">
        <v>19</v>
      </c>
      <c r="I19">
        <f t="shared" si="1"/>
        <v>93</v>
      </c>
      <c r="J19" t="str">
        <f t="array" ref="J19">IFERROR(INDEX($G$2:$G$2050,_xlfn.AGGREGATE(15,6,(ROW($G$2:$G$2050)-ROW($G$2)+1)/($G$2:$G$2050&lt;&gt;""),ROWS(J$1:J19))),"")</f>
        <v>S 647-1 REID RD</v>
      </c>
      <c r="K19">
        <f>IF(J19="","",INDEX('Assignment Tool'!E35:E2068,MATCH(FA_DATA!J19,'Assignment Tool'!D35:D2068,0)))</f>
        <v>4</v>
      </c>
    </row>
    <row r="20" spans="1:11" x14ac:dyDescent="0.25">
      <c r="A20" s="118" t="str">
        <f t="shared" si="0"/>
        <v>F 25920-1 STATE HWY 79</v>
      </c>
      <c r="G20" t="str">
        <f>IF('Assignment Tool'!C20="","",IF('Assignment Tool'!C20="FST",'Assignment Tool'!D20,""))</f>
        <v/>
      </c>
      <c r="H20">
        <v>20</v>
      </c>
      <c r="I20">
        <f t="shared" si="1"/>
        <v>97</v>
      </c>
      <c r="J20" t="str">
        <f t="array" ref="J20">IFERROR(INDEX($G$2:$G$2050,_xlfn.AGGREGATE(15,6,(ROW($G$2:$G$2050)-ROW($G$2)+1)/($G$2:$G$2050&lt;&gt;""),ROWS(J$1:J20))),"")</f>
        <v>F 614-1 REID RD</v>
      </c>
      <c r="K20">
        <f>IF(J20="","",INDEX('Assignment Tool'!E36:E2069,MATCH(FA_DATA!J20,'Assignment Tool'!D36:D2069,0)))</f>
        <v>4</v>
      </c>
    </row>
    <row r="21" spans="1:11" x14ac:dyDescent="0.25">
      <c r="A21" s="118" t="str">
        <f t="shared" si="0"/>
        <v>F 26016-1 STATE HWY 79</v>
      </c>
      <c r="G21" t="str">
        <f>IF('Assignment Tool'!C21="","",IF('Assignment Tool'!C21="FST",'Assignment Tool'!D21,""))</f>
        <v/>
      </c>
      <c r="H21">
        <v>21</v>
      </c>
      <c r="I21">
        <f t="shared" si="1"/>
        <v>101</v>
      </c>
      <c r="J21" t="str">
        <f t="array" ref="J21">IFERROR(INDEX($G$2:$G$2050,_xlfn.AGGREGATE(15,6,(ROW($G$2:$G$2050)-ROW($G$2)+1)/($G$2:$G$2050&lt;&gt;""),ROWS(J$1:J21))),"")</f>
        <v>F 840-1 REID RD</v>
      </c>
      <c r="K21">
        <f>IF(J21="","",INDEX('Assignment Tool'!E37:E2070,MATCH(FA_DATA!J21,'Assignment Tool'!D37:D2070,0)))</f>
        <v>4</v>
      </c>
    </row>
    <row r="22" spans="1:11" x14ac:dyDescent="0.25">
      <c r="A22" s="118" t="str">
        <f t="shared" si="0"/>
        <v>F 26016-1 STATE HWY 79</v>
      </c>
      <c r="G22" t="str">
        <f>IF('Assignment Tool'!C22="","",IF('Assignment Tool'!C22="FST",'Assignment Tool'!D22,""))</f>
        <v/>
      </c>
      <c r="H22">
        <v>22</v>
      </c>
      <c r="I22">
        <f t="shared" si="1"/>
        <v>105</v>
      </c>
      <c r="J22" t="str">
        <f t="array" ref="J22">IFERROR(INDEX($G$2:$G$2050,_xlfn.AGGREGATE(15,6,(ROW($G$2:$G$2050)-ROW($G$2)+1)/($G$2:$G$2050&lt;&gt;""),ROWS(J$1:J22))),"")</f>
        <v>OPP 857-1 REID RD</v>
      </c>
      <c r="K22">
        <f>IF(J22="","",INDEX('Assignment Tool'!E38:E2071,MATCH(FA_DATA!J22,'Assignment Tool'!D38:D2071,0)))</f>
        <v>4</v>
      </c>
    </row>
    <row r="23" spans="1:11" x14ac:dyDescent="0.25">
      <c r="A23" s="118" t="str">
        <f t="shared" si="0"/>
        <v>F 26016-1 STATE HWY 79</v>
      </c>
      <c r="G23" t="str">
        <f>IF('Assignment Tool'!C23="","",IF('Assignment Tool'!C23="FST",'Assignment Tool'!D23,""))</f>
        <v/>
      </c>
      <c r="H23">
        <v>23</v>
      </c>
      <c r="I23">
        <f t="shared" si="1"/>
        <v>109</v>
      </c>
      <c r="J23" t="str">
        <f t="array" ref="J23">IFERROR(INDEX($G$2:$G$2050,_xlfn.AGGREGATE(15,6,(ROW($G$2:$G$2050)-ROW($G$2)+1)/($G$2:$G$2050&lt;&gt;""),ROWS(J$1:J23))),"")</f>
        <v>F 425-1 SPOONHANDLE RD</v>
      </c>
      <c r="K23">
        <f>IF(J23="","",INDEX('Assignment Tool'!E39:E2072,MATCH(FA_DATA!J23,'Assignment Tool'!D39:D2072,0)))</f>
        <v>4</v>
      </c>
    </row>
    <row r="24" spans="1:11" x14ac:dyDescent="0.25">
      <c r="A24" s="118" t="str">
        <f t="shared" si="0"/>
        <v>F 26016-1 STATE HWY 79</v>
      </c>
      <c r="G24" t="str">
        <f>IF('Assignment Tool'!C24="","",IF('Assignment Tool'!C24="FST",'Assignment Tool'!D24,""))</f>
        <v/>
      </c>
      <c r="H24">
        <v>24</v>
      </c>
      <c r="I24">
        <f t="shared" si="1"/>
        <v>113</v>
      </c>
      <c r="J24" t="str">
        <f t="array" ref="J24">IFERROR(INDEX($G$2:$G$2050,_xlfn.AGGREGATE(15,6,(ROW($G$2:$G$2050)-ROW($G$2)+1)/($G$2:$G$2050&lt;&gt;""),ROWS(J$1:J24))),"")</f>
        <v>F 184-1 TAWBUSH RD</v>
      </c>
      <c r="K24">
        <f>IF(J24="","",INDEX('Assignment Tool'!E40:E2073,MATCH(FA_DATA!J24,'Assignment Tool'!D40:D2073,0)))</f>
        <v>4</v>
      </c>
    </row>
    <row r="25" spans="1:11" x14ac:dyDescent="0.25">
      <c r="A25" s="118" t="str">
        <f t="shared" si="0"/>
        <v>OPP 26127-1 STATE HWY 79</v>
      </c>
      <c r="G25" t="str">
        <f>IF('Assignment Tool'!C25="","",IF('Assignment Tool'!C25="FST",'Assignment Tool'!D25,""))</f>
        <v/>
      </c>
      <c r="H25">
        <v>25</v>
      </c>
      <c r="I25">
        <f t="shared" si="1"/>
        <v>117</v>
      </c>
      <c r="J25" t="str">
        <f t="array" ref="J25">IFERROR(INDEX($G$2:$G$2050,_xlfn.AGGREGATE(15,6,(ROW($G$2:$G$2050)-ROW($G$2)+1)/($G$2:$G$2050&lt;&gt;""),ROWS(J$1:J25))),"")</f>
        <v>F 242-1 TAWBUSH RD</v>
      </c>
      <c r="K25">
        <f>IF(J25="","",INDEX('Assignment Tool'!E41:E2074,MATCH(FA_DATA!J25,'Assignment Tool'!D41:D2074,0)))</f>
        <v>4</v>
      </c>
    </row>
    <row r="26" spans="1:11" x14ac:dyDescent="0.25">
      <c r="A26" s="118" t="str">
        <f t="shared" si="0"/>
        <v>OPP 26127-1 STATE HWY 79</v>
      </c>
      <c r="G26" t="str">
        <f>IF('Assignment Tool'!C26="","",IF('Assignment Tool'!C26="FST",'Assignment Tool'!D26,""))</f>
        <v/>
      </c>
      <c r="H26">
        <v>26</v>
      </c>
      <c r="I26">
        <f t="shared" si="1"/>
        <v>121</v>
      </c>
      <c r="J26" t="str">
        <f t="array" ref="J26">IFERROR(INDEX($G$2:$G$2050,_xlfn.AGGREGATE(15,6,(ROW($G$2:$G$2050)-ROW($G$2)+1)/($G$2:$G$2050&lt;&gt;""),ROWS(J$1:J26))),"")</f>
        <v>F 248-1 TAWBUSH RD</v>
      </c>
      <c r="K26">
        <f>IF(J26="","",INDEX('Assignment Tool'!E42:E2075,MATCH(FA_DATA!J26,'Assignment Tool'!D42:D2075,0)))</f>
        <v>4</v>
      </c>
    </row>
    <row r="27" spans="1:11" x14ac:dyDescent="0.25">
      <c r="A27" s="118" t="str">
        <f t="shared" si="0"/>
        <v>OPP 26127-1 STATE HWY 79</v>
      </c>
      <c r="G27" t="str">
        <f>IF('Assignment Tool'!C27="","",IF('Assignment Tool'!C27="FST",'Assignment Tool'!D27,""))</f>
        <v/>
      </c>
      <c r="H27">
        <v>27</v>
      </c>
      <c r="I27">
        <f t="shared" si="1"/>
        <v>125</v>
      </c>
      <c r="J27" t="str">
        <f t="array" ref="J27">IFERROR(INDEX($G$2:$G$2050,_xlfn.AGGREGATE(15,6,(ROW($G$2:$G$2050)-ROW($G$2)+1)/($G$2:$G$2050&lt;&gt;""),ROWS(J$1:J27))),"")</f>
        <v>S 266-1 TAWBUSH RD</v>
      </c>
      <c r="K27">
        <f>IF(J27="","",INDEX('Assignment Tool'!E43:E2076,MATCH(FA_DATA!J27,'Assignment Tool'!D43:D2076,0)))</f>
        <v>4</v>
      </c>
    </row>
    <row r="28" spans="1:11" x14ac:dyDescent="0.25">
      <c r="A28" s="118" t="str">
        <f t="shared" si="0"/>
        <v>OPP 26127-1 STATE HWY 79</v>
      </c>
      <c r="G28" t="str">
        <f>IF('Assignment Tool'!C28="","",IF('Assignment Tool'!C28="FST",'Assignment Tool'!D28,""))</f>
        <v/>
      </c>
      <c r="H28">
        <v>28</v>
      </c>
      <c r="I28">
        <f t="shared" si="1"/>
        <v>129</v>
      </c>
      <c r="J28" t="str">
        <f t="array" ref="J28">IFERROR(INDEX($G$2:$G$2050,_xlfn.AGGREGATE(15,6,(ROW($G$2:$G$2050)-ROW($G$2)+1)/($G$2:$G$2050&lt;&gt;""),ROWS(J$1:J28))),"")</f>
        <v>F 496-1 TAWBUSH RD</v>
      </c>
      <c r="K28">
        <f>IF(J28="","",INDEX('Assignment Tool'!E44:E2077,MATCH(FA_DATA!J28,'Assignment Tool'!D44:D2077,0)))</f>
        <v>4</v>
      </c>
    </row>
    <row r="29" spans="1:11" x14ac:dyDescent="0.25">
      <c r="A29" s="118" t="str">
        <f t="shared" si="0"/>
        <v>OPP 26127-1 STATE HWY 79</v>
      </c>
      <c r="G29" t="str">
        <f>IF('Assignment Tool'!C29="","",IF('Assignment Tool'!C29="FST",'Assignment Tool'!D29,""))</f>
        <v/>
      </c>
      <c r="H29">
        <v>29</v>
      </c>
      <c r="I29">
        <f t="shared" si="1"/>
        <v>133</v>
      </c>
      <c r="J29" t="str">
        <f t="array" ref="J29">IFERROR(INDEX($G$2:$G$2050,_xlfn.AGGREGATE(15,6,(ROW($G$2:$G$2050)-ROW($G$2)+1)/($G$2:$G$2050&lt;&gt;""),ROWS(J$1:J29))),"")</f>
        <v>OPP 375-1 SPOONHANDLE RD</v>
      </c>
      <c r="K29">
        <f>IF(J29="","",INDEX('Assignment Tool'!E45:E2078,MATCH(FA_DATA!J29,'Assignment Tool'!D45:D2078,0)))</f>
        <v>4</v>
      </c>
    </row>
    <row r="30" spans="1:11" x14ac:dyDescent="0.25">
      <c r="A30" s="118" t="str">
        <f t="shared" si="0"/>
        <v>OPP 26127-1 STATE HWY 79</v>
      </c>
      <c r="G30" t="str">
        <f>IF('Assignment Tool'!C30="","",IF('Assignment Tool'!C30="FST",'Assignment Tool'!D30,""))</f>
        <v/>
      </c>
      <c r="H30">
        <v>30</v>
      </c>
      <c r="I30">
        <f t="shared" si="1"/>
        <v>137</v>
      </c>
      <c r="J30" t="str">
        <f t="array" ref="J30">IFERROR(INDEX($G$2:$G$2050,_xlfn.AGGREGATE(15,6,(ROW($G$2:$G$2050)-ROW($G$2)+1)/($G$2:$G$2050&lt;&gt;""),ROWS(J$1:J30))),"")</f>
        <v>S 375-1 SPOONHANDLE RD</v>
      </c>
      <c r="K30">
        <f>IF(J30="","",INDEX('Assignment Tool'!E46:E2079,MATCH(FA_DATA!J30,'Assignment Tool'!D46:D2079,0)))</f>
        <v>4</v>
      </c>
    </row>
    <row r="31" spans="1:11" x14ac:dyDescent="0.25">
      <c r="A31" s="118" t="str">
        <f t="shared" si="0"/>
        <v>OPP 26127-1 STATE HWY 79</v>
      </c>
      <c r="G31" t="str">
        <f>IF('Assignment Tool'!C31="","",IF('Assignment Tool'!C31="FST",'Assignment Tool'!D31,""))</f>
        <v/>
      </c>
      <c r="H31">
        <v>31</v>
      </c>
      <c r="I31">
        <f t="shared" si="1"/>
        <v>141</v>
      </c>
      <c r="J31" t="str">
        <f t="array" ref="J31">IFERROR(INDEX($G$2:$G$2050,_xlfn.AGGREGATE(15,6,(ROW($G$2:$G$2050)-ROW($G$2)+1)/($G$2:$G$2050&lt;&gt;""),ROWS(J$1:J31))),"")</f>
        <v>F 489-1 SPOONHANDLE RD</v>
      </c>
      <c r="K31">
        <f>IF(J31="","",INDEX('Assignment Tool'!E47:E2080,MATCH(FA_DATA!J31,'Assignment Tool'!D47:D2080,0)))</f>
        <v>4</v>
      </c>
    </row>
    <row r="32" spans="1:11" x14ac:dyDescent="0.25">
      <c r="A32" s="118" t="str">
        <f t="shared" si="0"/>
        <v>OPP 26127-1 STATE HWY 79</v>
      </c>
      <c r="G32" t="str">
        <f>IF('Assignment Tool'!C32="","",IF('Assignment Tool'!C32="FST",'Assignment Tool'!D32,""))</f>
        <v/>
      </c>
      <c r="H32">
        <v>32</v>
      </c>
      <c r="I32">
        <f t="shared" si="1"/>
        <v>145</v>
      </c>
      <c r="J32" t="str">
        <f t="array" ref="J32">IFERROR(INDEX($G$2:$G$2050,_xlfn.AGGREGATE(15,6,(ROW($G$2:$G$2050)-ROW($G$2)+1)/($G$2:$G$2050&lt;&gt;""),ROWS(J$1:J32))),"")</f>
        <v>F 461-1 SPOONHANDLE RD</v>
      </c>
      <c r="K32">
        <f>IF(J32="","",INDEX('Assignment Tool'!E48:E2081,MATCH(FA_DATA!J32,'Assignment Tool'!D48:D2081,0)))</f>
        <v>4</v>
      </c>
    </row>
    <row r="33" spans="1:11" x14ac:dyDescent="0.25">
      <c r="A33" s="118" t="str">
        <f t="shared" si="0"/>
        <v>F 26052-1 STATE HWY 79</v>
      </c>
      <c r="G33" t="str">
        <f>IF('Assignment Tool'!C33="","",IF('Assignment Tool'!C33="FST",'Assignment Tool'!D33,""))</f>
        <v/>
      </c>
      <c r="H33">
        <v>33</v>
      </c>
      <c r="I33">
        <f t="shared" si="1"/>
        <v>149</v>
      </c>
      <c r="J33" t="str">
        <f t="array" ref="J33">IFERROR(INDEX($G$2:$G$2050,_xlfn.AGGREGATE(15,6,(ROW($G$2:$G$2050)-ROW($G$2)+1)/($G$2:$G$2050&lt;&gt;""),ROWS(J$1:J33))),"")</f>
        <v>F 545-1 SPOONHANDLE RD</v>
      </c>
      <c r="K33">
        <f>IF(J33="","",INDEX('Assignment Tool'!E49:E2082,MATCH(FA_DATA!J33,'Assignment Tool'!D49:D2082,0)))</f>
        <v>4</v>
      </c>
    </row>
    <row r="34" spans="1:11" x14ac:dyDescent="0.25">
      <c r="A34" s="118" t="str">
        <f t="shared" si="0"/>
        <v>F 26052-1 STATE HWY 79</v>
      </c>
      <c r="G34" t="str">
        <f>IF('Assignment Tool'!C34="","",IF('Assignment Tool'!C34="FST",'Assignment Tool'!D34,""))</f>
        <v/>
      </c>
      <c r="H34">
        <v>34</v>
      </c>
      <c r="I34">
        <f t="shared" si="1"/>
        <v>153</v>
      </c>
      <c r="J34" t="str">
        <f t="array" ref="J34">IFERROR(INDEX($G$2:$G$2050,_xlfn.AGGREGATE(15,6,(ROW($G$2:$G$2050)-ROW($G$2)+1)/($G$2:$G$2050&lt;&gt;""),ROWS(J$1:J34))),"")</f>
        <v>F 610-1 SPOONHANDLE RD</v>
      </c>
      <c r="K34">
        <f>IF(J34="","",INDEX('Assignment Tool'!E50:E2083,MATCH(FA_DATA!J34,'Assignment Tool'!D50:D2083,0)))</f>
        <v>4</v>
      </c>
    </row>
    <row r="35" spans="1:11" x14ac:dyDescent="0.25">
      <c r="A35" s="118" t="str">
        <f t="shared" si="0"/>
        <v>F 26052-1 STATE HWY 79</v>
      </c>
      <c r="G35" t="str">
        <f>IF('Assignment Tool'!C35="","",IF('Assignment Tool'!C35="FST",'Assignment Tool'!D35,""))</f>
        <v/>
      </c>
      <c r="H35">
        <v>35</v>
      </c>
      <c r="I35">
        <f t="shared" si="1"/>
        <v>157</v>
      </c>
      <c r="J35" t="str">
        <f t="array" ref="J35">IFERROR(INDEX($G$2:$G$2050,_xlfn.AGGREGATE(15,6,(ROW($G$2:$G$2050)-ROW($G$2)+1)/($G$2:$G$2050&lt;&gt;""),ROWS(J$1:J35))),"")</f>
        <v>F 95-1 GROUNDHOG LN</v>
      </c>
      <c r="K35">
        <f>IF(J35="","",INDEX('Assignment Tool'!E51:E2084,MATCH(FA_DATA!J35,'Assignment Tool'!D51:D2084,0)))</f>
        <v>12</v>
      </c>
    </row>
    <row r="36" spans="1:11" x14ac:dyDescent="0.25">
      <c r="A36" s="118" t="str">
        <f t="shared" si="0"/>
        <v>F 26052-1 STATE HWY 79</v>
      </c>
      <c r="G36" t="str">
        <f>IF('Assignment Tool'!C36="","",IF('Assignment Tool'!C36="FST",'Assignment Tool'!D36,""))</f>
        <v/>
      </c>
      <c r="H36">
        <v>36</v>
      </c>
      <c r="I36">
        <f t="shared" si="1"/>
        <v>169</v>
      </c>
      <c r="J36" t="str">
        <f t="array" ref="J36">IFERROR(INDEX($G$2:$G$2050,_xlfn.AGGREGATE(15,6,(ROW($G$2:$G$2050)-ROW($G$2)+1)/($G$2:$G$2050&lt;&gt;""),ROWS(J$1:J36))),"")</f>
        <v>OPP 38-1 MADISON DR</v>
      </c>
      <c r="K36">
        <f>IF(J36="","",INDEX('Assignment Tool'!E52:E2085,MATCH(FA_DATA!J36,'Assignment Tool'!D52:D2085,0)))</f>
        <v>4</v>
      </c>
    </row>
    <row r="37" spans="1:11" x14ac:dyDescent="0.25">
      <c r="A37" s="118" t="str">
        <f t="shared" si="0"/>
        <v>F 26052-1 STATE HWY 79</v>
      </c>
      <c r="G37" t="str">
        <f>IF('Assignment Tool'!C37="","",IF('Assignment Tool'!C37="FST",'Assignment Tool'!D37,""))</f>
        <v/>
      </c>
      <c r="H37">
        <v>37</v>
      </c>
      <c r="I37">
        <f t="shared" si="1"/>
        <v>173</v>
      </c>
      <c r="J37" t="str">
        <f t="array" ref="J37">IFERROR(INDEX($G$2:$G$2050,_xlfn.AGGREGATE(15,6,(ROW($G$2:$G$2050)-ROW($G$2)+1)/($G$2:$G$2050&lt;&gt;""),ROWS(J$1:J37))),"")</f>
        <v>F 80-1 MADISON DR</v>
      </c>
      <c r="K37">
        <f>IF(J37="","",INDEX('Assignment Tool'!E53:E2086,MATCH(FA_DATA!J37,'Assignment Tool'!D53:D2086,0)))</f>
        <v>8</v>
      </c>
    </row>
    <row r="38" spans="1:11" x14ac:dyDescent="0.25">
      <c r="A38" s="118" t="str">
        <f t="shared" si="0"/>
        <v>F 26052-1 STATE HWY 79</v>
      </c>
      <c r="G38" t="str">
        <f>IF('Assignment Tool'!C38="","",IF('Assignment Tool'!C38="FST",'Assignment Tool'!D38,""))</f>
        <v/>
      </c>
      <c r="H38">
        <v>38</v>
      </c>
      <c r="I38">
        <f t="shared" si="1"/>
        <v>181</v>
      </c>
      <c r="J38" t="str">
        <f t="array" ref="J38">IFERROR(INDEX($G$2:$G$2050,_xlfn.AGGREGATE(15,6,(ROW($G$2:$G$2050)-ROW($G$2)+1)/($G$2:$G$2050&lt;&gt;""),ROWS(J$1:J38))),"")</f>
        <v>F 889-1 REID RD</v>
      </c>
      <c r="K38">
        <f>IF(J38="","",INDEX('Assignment Tool'!E54:E2087,MATCH(FA_DATA!J38,'Assignment Tool'!D54:D2087,0)))</f>
        <v>4</v>
      </c>
    </row>
    <row r="39" spans="1:11" x14ac:dyDescent="0.25">
      <c r="A39" s="118" t="str">
        <f t="shared" si="0"/>
        <v>F 26052-1 STATE HWY 79</v>
      </c>
      <c r="G39" t="str">
        <f>IF('Assignment Tool'!C39="","",IF('Assignment Tool'!C39="FST",'Assignment Tool'!D39,""))</f>
        <v/>
      </c>
      <c r="H39">
        <v>39</v>
      </c>
      <c r="I39">
        <f t="shared" si="1"/>
        <v>185</v>
      </c>
      <c r="J39" t="str">
        <f t="array" ref="J39">IFERROR(INDEX($G$2:$G$2050,_xlfn.AGGREGATE(15,6,(ROW($G$2:$G$2050)-ROW($G$2)+1)/($G$2:$G$2050&lt;&gt;""),ROWS(J$1:J39))),"")</f>
        <v>OPP 933-1 REID RD</v>
      </c>
      <c r="K39">
        <f>IF(J39="","",INDEX('Assignment Tool'!E55:E2088,MATCH(FA_DATA!J39,'Assignment Tool'!D55:D2088,0)))</f>
        <v>4</v>
      </c>
    </row>
    <row r="40" spans="1:11" x14ac:dyDescent="0.25">
      <c r="A40" s="118" t="str">
        <f t="shared" si="0"/>
        <v>F 26052-1 STATE HWY 79</v>
      </c>
      <c r="G40" t="str">
        <f>IF('Assignment Tool'!C40="","",IF('Assignment Tool'!C40="FST",'Assignment Tool'!D40,""))</f>
        <v/>
      </c>
      <c r="H40">
        <v>40</v>
      </c>
      <c r="I40">
        <f t="shared" si="1"/>
        <v>189</v>
      </c>
      <c r="J40" t="str">
        <f t="array" ref="J40">IFERROR(INDEX($G$2:$G$2050,_xlfn.AGGREGATE(15,6,(ROW($G$2:$G$2050)-ROW($G$2)+1)/($G$2:$G$2050&lt;&gt;""),ROWS(J$1:J40))),"")</f>
        <v>OPP 1045-1 REID RD</v>
      </c>
      <c r="K40">
        <f>IF(J40="","",INDEX('Assignment Tool'!E56:E2089,MATCH(FA_DATA!J40,'Assignment Tool'!D56:D2089,0)))</f>
        <v>4</v>
      </c>
    </row>
    <row r="41" spans="1:11" x14ac:dyDescent="0.25">
      <c r="A41" s="118" t="str">
        <f t="shared" si="0"/>
        <v>OPP 26225-1 STATE HWY 79</v>
      </c>
      <c r="G41" t="str">
        <f>IF('Assignment Tool'!C41="","",IF('Assignment Tool'!C41="FST",'Assignment Tool'!D41,""))</f>
        <v/>
      </c>
      <c r="H41">
        <v>41</v>
      </c>
      <c r="I41">
        <f t="shared" si="1"/>
        <v>193</v>
      </c>
      <c r="J41" t="str">
        <f t="array" ref="J41">IFERROR(INDEX($G$2:$G$2050,_xlfn.AGGREGATE(15,6,(ROW($G$2:$G$2050)-ROW($G$2)+1)/($G$2:$G$2050&lt;&gt;""),ROWS(J$1:J41))),"")</f>
        <v>F 1091-1 REID RD</v>
      </c>
      <c r="K41">
        <f>IF(J41="","",INDEX('Assignment Tool'!E57:E2090,MATCH(FA_DATA!J41,'Assignment Tool'!D57:D2090,0)))</f>
        <v>4</v>
      </c>
    </row>
    <row r="42" spans="1:11" x14ac:dyDescent="0.25">
      <c r="A42" s="118" t="str">
        <f t="shared" si="0"/>
        <v>OPP 26225-1 STATE HWY 79</v>
      </c>
      <c r="G42" t="str">
        <f>IF('Assignment Tool'!C42="","",IF('Assignment Tool'!C42="FST",'Assignment Tool'!D42,""))</f>
        <v/>
      </c>
      <c r="H42">
        <v>42</v>
      </c>
      <c r="I42">
        <f t="shared" si="1"/>
        <v>197</v>
      </c>
      <c r="J42" t="str">
        <f t="array" ref="J42">IFERROR(INDEX($G$2:$G$2050,_xlfn.AGGREGATE(15,6,(ROW($G$2:$G$2050)-ROW($G$2)+1)/($G$2:$G$2050&lt;&gt;""),ROWS(J$1:J42))),"")</f>
        <v>OPP 1177-1 REID RD</v>
      </c>
      <c r="K42">
        <f>IF(J42="","",INDEX('Assignment Tool'!E58:E2091,MATCH(FA_DATA!J42,'Assignment Tool'!D58:D2091,0)))</f>
        <v>4</v>
      </c>
    </row>
    <row r="43" spans="1:11" x14ac:dyDescent="0.25">
      <c r="A43" s="118" t="str">
        <f t="shared" si="0"/>
        <v>OPP 26225-1 STATE HWY 79</v>
      </c>
      <c r="G43" t="str">
        <f>IF('Assignment Tool'!C43="","",IF('Assignment Tool'!C43="FST",'Assignment Tool'!D43,""))</f>
        <v/>
      </c>
      <c r="H43">
        <v>43</v>
      </c>
      <c r="I43">
        <f t="shared" si="1"/>
        <v>201</v>
      </c>
      <c r="J43" t="str">
        <f t="array" ref="J43">IFERROR(INDEX($G$2:$G$2050,_xlfn.AGGREGATE(15,6,(ROW($G$2:$G$2050)-ROW($G$2)+1)/($G$2:$G$2050&lt;&gt;""),ROWS(J$1:J43))),"")</f>
        <v>F 1172-1 REID RD</v>
      </c>
      <c r="K43">
        <f>IF(J43="","",INDEX('Assignment Tool'!E59:E2092,MATCH(FA_DATA!J43,'Assignment Tool'!D59:D2092,0)))</f>
        <v>4</v>
      </c>
    </row>
    <row r="44" spans="1:11" x14ac:dyDescent="0.25">
      <c r="A44" s="118" t="str">
        <f t="shared" si="0"/>
        <v>OPP 26225-1 STATE HWY 79</v>
      </c>
      <c r="G44" t="str">
        <f>IF('Assignment Tool'!C44="","",IF('Assignment Tool'!C44="FST",'Assignment Tool'!D44,""))</f>
        <v/>
      </c>
      <c r="H44">
        <v>44</v>
      </c>
      <c r="I44">
        <f t="shared" si="1"/>
        <v>205</v>
      </c>
      <c r="J44" t="str">
        <f t="array" ref="J44">IFERROR(INDEX($G$2:$G$2050,_xlfn.AGGREGATE(15,6,(ROW($G$2:$G$2050)-ROW($G$2)+1)/($G$2:$G$2050&lt;&gt;""),ROWS(J$1:J44))),"")</f>
        <v>OPP 1225-1 REID RD</v>
      </c>
      <c r="K44">
        <f>IF(J44="","",INDEX('Assignment Tool'!E60:E2093,MATCH(FA_DATA!J44,'Assignment Tool'!D60:D2093,0)))</f>
        <v>8</v>
      </c>
    </row>
    <row r="45" spans="1:11" x14ac:dyDescent="0.25">
      <c r="A45" s="118" t="str">
        <f t="shared" si="0"/>
        <v>F 26246-1 STATE HWY 79</v>
      </c>
      <c r="G45" t="str">
        <f>IF('Assignment Tool'!C45="","",IF('Assignment Tool'!C45="FST",'Assignment Tool'!D45,""))</f>
        <v/>
      </c>
      <c r="H45">
        <v>45</v>
      </c>
      <c r="I45">
        <f t="shared" si="1"/>
        <v>213</v>
      </c>
      <c r="J45" t="str">
        <f t="array" ref="J45">IFERROR(INDEX($G$2:$G$2050,_xlfn.AGGREGATE(15,6,(ROW($G$2:$G$2050)-ROW($G$2)+1)/($G$2:$G$2050&lt;&gt;""),ROWS(J$1:J45))),"")</f>
        <v>OPP 2985-1 REID RD</v>
      </c>
      <c r="K45">
        <f>IF(J45="","",INDEX('Assignment Tool'!E61:E2094,MATCH(FA_DATA!J45,'Assignment Tool'!D61:D2094,0)))</f>
        <v>4</v>
      </c>
    </row>
    <row r="46" spans="1:11" x14ac:dyDescent="0.25">
      <c r="A46" s="118" t="str">
        <f t="shared" si="0"/>
        <v>F 26246-1 STATE HWY 79</v>
      </c>
      <c r="G46" t="str">
        <f>IF('Assignment Tool'!C46="","",IF('Assignment Tool'!C46="FST",'Assignment Tool'!D46,""))</f>
        <v/>
      </c>
      <c r="H46">
        <v>46</v>
      </c>
      <c r="I46">
        <f t="shared" si="1"/>
        <v>217</v>
      </c>
      <c r="J46" t="str">
        <f t="array" ref="J46">IFERROR(INDEX($G$2:$G$2050,_xlfn.AGGREGATE(15,6,(ROW($G$2:$G$2050)-ROW($G$2)+1)/($G$2:$G$2050&lt;&gt;""),ROWS(J$1:J46))),"")</f>
        <v>F 526-1 TAWBUSH RD</v>
      </c>
      <c r="K46">
        <f>IF(J46="","",INDEX('Assignment Tool'!E62:E2095,MATCH(FA_DATA!J46,'Assignment Tool'!D62:D2095,0)))</f>
        <v>4</v>
      </c>
    </row>
    <row r="47" spans="1:11" x14ac:dyDescent="0.25">
      <c r="A47" s="118" t="str">
        <f t="shared" si="0"/>
        <v>F 26246-1 STATE HWY 79</v>
      </c>
      <c r="G47" t="str">
        <f>IF('Assignment Tool'!C47="","",IF('Assignment Tool'!C47="FST",'Assignment Tool'!D47,""))</f>
        <v/>
      </c>
      <c r="H47">
        <v>47</v>
      </c>
      <c r="I47">
        <f t="shared" si="1"/>
        <v>221</v>
      </c>
      <c r="J47" t="str">
        <f t="array" ref="J47">IFERROR(INDEX($G$2:$G$2050,_xlfn.AGGREGATE(15,6,(ROW($G$2:$G$2050)-ROW($G$2)+1)/($G$2:$G$2050&lt;&gt;""),ROWS(J$1:J47))),"")</f>
        <v>F 576-1 TAWBUSH RD</v>
      </c>
      <c r="K47">
        <f>IF(J47="","",INDEX('Assignment Tool'!E63:E2096,MATCH(FA_DATA!J47,'Assignment Tool'!D63:D2096,0)))</f>
        <v>8</v>
      </c>
    </row>
    <row r="48" spans="1:11" x14ac:dyDescent="0.25">
      <c r="A48" s="118" t="str">
        <f t="shared" si="0"/>
        <v>F 26246-1 STATE HWY 79</v>
      </c>
      <c r="G48" t="str">
        <f>IF('Assignment Tool'!C48="","",IF('Assignment Tool'!C48="FST",'Assignment Tool'!D48,""))</f>
        <v/>
      </c>
      <c r="H48">
        <v>48</v>
      </c>
      <c r="I48">
        <f t="shared" si="1"/>
        <v>229</v>
      </c>
      <c r="J48" t="str">
        <f t="array" ref="J48">IFERROR(INDEX($G$2:$G$2050,_xlfn.AGGREGATE(15,6,(ROW($G$2:$G$2050)-ROW($G$2)+1)/($G$2:$G$2050&lt;&gt;""),ROWS(J$1:J48))),"")</f>
        <v>F 61-1 HOLT DR</v>
      </c>
      <c r="K48">
        <f>IF(J48="","",INDEX('Assignment Tool'!E64:E2097,MATCH(FA_DATA!J48,'Assignment Tool'!D65:D2097,0)))</f>
        <v>0</v>
      </c>
    </row>
    <row r="49" spans="1:11" x14ac:dyDescent="0.25">
      <c r="A49" s="118" t="str">
        <f t="shared" si="0"/>
        <v>F 26246-1 STATE HWY 79</v>
      </c>
      <c r="G49" t="str">
        <f>IF('Assignment Tool'!C49="","",IF('Assignment Tool'!C49="FST",'Assignment Tool'!D49,""))</f>
        <v/>
      </c>
      <c r="H49">
        <v>49</v>
      </c>
      <c r="I49">
        <f t="shared" si="1"/>
        <v>229</v>
      </c>
      <c r="J49" t="str">
        <f t="array" ref="J49">IFERROR(INDEX($G$2:$G$2050,_xlfn.AGGREGATE(15,6,(ROW($G$2:$G$2050)-ROW($G$2)+1)/($G$2:$G$2050&lt;&gt;""),ROWS(J$1:J49))),"")</f>
        <v>F 115-1 HOLT DR</v>
      </c>
      <c r="K49">
        <f>IF(J49="","",INDEX('Assignment Tool'!E65:E2098,MATCH(FA_DATA!J49,'Assignment Tool'!D65:D2098,0)))</f>
        <v>4</v>
      </c>
    </row>
    <row r="50" spans="1:11" x14ac:dyDescent="0.25">
      <c r="A50" s="118" t="str">
        <f t="shared" si="0"/>
        <v>F 26246-1 STATE HWY 79</v>
      </c>
      <c r="G50" t="str">
        <f>IF('Assignment Tool'!C50="","",IF('Assignment Tool'!C50="FST",'Assignment Tool'!D50,""))</f>
        <v/>
      </c>
      <c r="H50">
        <v>50</v>
      </c>
      <c r="I50">
        <f t="shared" si="1"/>
        <v>233</v>
      </c>
      <c r="J50" t="str">
        <f t="array" ref="J50">IFERROR(INDEX($G$2:$G$2050,_xlfn.AGGREGATE(15,6,(ROW($G$2:$G$2050)-ROW($G$2)+1)/($G$2:$G$2050&lt;&gt;""),ROWS(J$1:J50))),"")</f>
        <v>OPP 160-1 HOLT DR</v>
      </c>
      <c r="K50">
        <f>IF(J50="","",INDEX('Assignment Tool'!E66:E2099,MATCH(FA_DATA!J50,'Assignment Tool'!D66:D2099,0)))</f>
        <v>8</v>
      </c>
    </row>
    <row r="51" spans="1:11" x14ac:dyDescent="0.25">
      <c r="A51" s="118" t="str">
        <f t="shared" si="0"/>
        <v>F 26246-1 STATE HWY 79</v>
      </c>
      <c r="G51" t="str">
        <f>IF('Assignment Tool'!C51="","",IF('Assignment Tool'!C51="FST",'Assignment Tool'!D51,""))</f>
        <v/>
      </c>
      <c r="H51">
        <v>51</v>
      </c>
      <c r="I51">
        <f t="shared" si="1"/>
        <v>241</v>
      </c>
      <c r="J51" t="str">
        <f t="array" ref="J51">IFERROR(INDEX($G$2:$G$2050,_xlfn.AGGREGATE(15,6,(ROW($G$2:$G$2050)-ROW($G$2)+1)/($G$2:$G$2050&lt;&gt;""),ROWS(J$1:J51))),"")</f>
        <v>F 342-1 HOLT DR</v>
      </c>
      <c r="K51">
        <f>IF(J51="","",INDEX('Assignment Tool'!E67:E2100,MATCH(FA_DATA!J51,'Assignment Tool'!D67:D2100,0)))</f>
        <v>8</v>
      </c>
    </row>
    <row r="52" spans="1:11" x14ac:dyDescent="0.25">
      <c r="A52" s="118" t="str">
        <f t="shared" si="0"/>
        <v>F 26246-1 STATE HWY 79</v>
      </c>
      <c r="G52" t="str">
        <f>IF('Assignment Tool'!C52="","",IF('Assignment Tool'!C52="FST",'Assignment Tool'!D52,""))</f>
        <v/>
      </c>
      <c r="H52">
        <v>52</v>
      </c>
      <c r="I52">
        <f t="shared" si="1"/>
        <v>249</v>
      </c>
      <c r="J52" t="str">
        <f t="array" ref="J52">IFERROR(INDEX($G$2:$G$2050,_xlfn.AGGREGATE(15,6,(ROW($G$2:$G$2050)-ROW($G$2)+1)/($G$2:$G$2050&lt;&gt;""),ROWS(J$1:J52))),"")</f>
        <v>F 26481-1 STATE HWY 79</v>
      </c>
      <c r="K52">
        <f>IF(J52="","",INDEX('Assignment Tool'!E68:E2101,MATCH(FA_DATA!J52,'Assignment Tool'!D68:D2101,0)))</f>
        <v>4</v>
      </c>
    </row>
    <row r="53" spans="1:11" x14ac:dyDescent="0.25">
      <c r="A53" s="118" t="str">
        <f t="shared" si="0"/>
        <v>R 71-1 YOUNGBLOOD DR</v>
      </c>
      <c r="G53" t="str">
        <f>IF('Assignment Tool'!C53="","",IF('Assignment Tool'!C53="FST",'Assignment Tool'!D53,""))</f>
        <v/>
      </c>
      <c r="H53">
        <v>53</v>
      </c>
      <c r="I53">
        <f t="shared" si="1"/>
        <v>253</v>
      </c>
      <c r="J53" t="str">
        <f t="array" ref="J53">IFERROR(INDEX($G$2:$G$2050,_xlfn.AGGREGATE(15,6,(ROW($G$2:$G$2050)-ROW($G$2)+1)/($G$2:$G$2050&lt;&gt;""),ROWS(J$1:J53))),"")</f>
        <v>OPP 26520-1 STATE HWY 79</v>
      </c>
      <c r="K53">
        <f>IF(J53="","",INDEX('Assignment Tool'!E69:E2102,MATCH(FA_DATA!J53,'Assignment Tool'!D69:D2102,0)))</f>
        <v>4</v>
      </c>
    </row>
    <row r="54" spans="1:11" x14ac:dyDescent="0.25">
      <c r="A54" s="118" t="str">
        <f t="shared" si="0"/>
        <v>R 71-1 YOUNGBLOOD DR</v>
      </c>
      <c r="G54" t="str">
        <f>IF('Assignment Tool'!C54="","",IF('Assignment Tool'!C54="FST",'Assignment Tool'!D54,""))</f>
        <v/>
      </c>
      <c r="H54">
        <v>54</v>
      </c>
      <c r="I54">
        <f t="shared" si="1"/>
        <v>257</v>
      </c>
      <c r="J54" t="str">
        <f t="array" ref="J54">IFERROR(INDEX($G$2:$G$2050,_xlfn.AGGREGATE(15,6,(ROW($G$2:$G$2050)-ROW($G$2)+1)/($G$2:$G$2050&lt;&gt;""),ROWS(J$1:J54))),"")</f>
        <v>F 26661-1 STATE HWY 79</v>
      </c>
      <c r="K54">
        <f>IF(J54="","",INDEX('Assignment Tool'!E70:E2103,MATCH(FA_DATA!J54,'Assignment Tool'!D70:D2103,0)))</f>
        <v>4</v>
      </c>
    </row>
    <row r="55" spans="1:11" x14ac:dyDescent="0.25">
      <c r="A55" s="118" t="str">
        <f t="shared" si="0"/>
        <v>R 71-1 YOUNGBLOOD DR</v>
      </c>
      <c r="G55" t="str">
        <f>IF('Assignment Tool'!C55="","",IF('Assignment Tool'!C55="FST",'Assignment Tool'!D55,""))</f>
        <v/>
      </c>
      <c r="H55">
        <v>55</v>
      </c>
      <c r="I55">
        <f t="shared" si="1"/>
        <v>261</v>
      </c>
      <c r="J55" t="str">
        <f t="array" ref="J55">IFERROR(INDEX($G$2:$G$2050,_xlfn.AGGREGATE(15,6,(ROW($G$2:$G$2050)-ROW($G$2)+1)/($G$2:$G$2050&lt;&gt;""),ROWS(J$1:J55))),"")</f>
        <v>F 49-1 WATER OAK DR</v>
      </c>
      <c r="K55">
        <f>IF(J55="","",INDEX('Assignment Tool'!E71:E2104,MATCH(FA_DATA!J55,'Assignment Tool'!D71:D2104,0)))</f>
        <v>4</v>
      </c>
    </row>
    <row r="56" spans="1:11" x14ac:dyDescent="0.25">
      <c r="A56" s="118" t="str">
        <f t="shared" si="0"/>
        <v>R 71-1 YOUNGBLOOD DR</v>
      </c>
      <c r="G56" t="str">
        <f>IF('Assignment Tool'!C56="","",IF('Assignment Tool'!C56="FST",'Assignment Tool'!D56,""))</f>
        <v/>
      </c>
      <c r="H56">
        <v>56</v>
      </c>
      <c r="I56">
        <f t="shared" si="1"/>
        <v>265</v>
      </c>
      <c r="J56" t="str">
        <f t="array" ref="J56">IFERROR(INDEX($G$2:$G$2050,_xlfn.AGGREGATE(15,6,(ROW($G$2:$G$2050)-ROW($G$2)+1)/($G$2:$G$2050&lt;&gt;""),ROWS(J$1:J56))),"")</f>
        <v>F 106-1 WATER OAK DR</v>
      </c>
      <c r="K56">
        <f>IF(J56="","",INDEX('Assignment Tool'!E72:E2105,MATCH(FA_DATA!J56,'Assignment Tool'!D72:D2105,0)))</f>
        <v>4</v>
      </c>
    </row>
    <row r="57" spans="1:11" x14ac:dyDescent="0.25">
      <c r="A57" s="118" t="str">
        <f t="shared" si="0"/>
        <v>R 71-1 YOUNGBLOOD DR</v>
      </c>
      <c r="G57" t="str">
        <f>IF('Assignment Tool'!C57="","",IF('Assignment Tool'!C57="FST",'Assignment Tool'!D57,""))</f>
        <v/>
      </c>
      <c r="H57">
        <v>57</v>
      </c>
      <c r="I57">
        <f t="shared" si="1"/>
        <v>269</v>
      </c>
      <c r="J57" t="str">
        <f t="array" ref="J57">IFERROR(INDEX($G$2:$G$2050,_xlfn.AGGREGATE(15,6,(ROW($G$2:$G$2050)-ROW($G$2)+1)/($G$2:$G$2050&lt;&gt;""),ROWS(J$1:J57))),"")</f>
        <v>F 133-1 WATER OAK DR</v>
      </c>
      <c r="K57">
        <f>IF(J57="","",INDEX('Assignment Tool'!E73:E2106,MATCH(FA_DATA!J57,'Assignment Tool'!D73:D2106,0)))</f>
        <v>4</v>
      </c>
    </row>
    <row r="58" spans="1:11" x14ac:dyDescent="0.25">
      <c r="A58" s="118" t="str">
        <f t="shared" si="0"/>
        <v>R 71-1 YOUNGBLOOD DR</v>
      </c>
      <c r="G58" t="str">
        <f>IF('Assignment Tool'!C58="","",IF('Assignment Tool'!C58="FST",'Assignment Tool'!D58,""))</f>
        <v>OPP 26035-1 STATE HWY 79</v>
      </c>
      <c r="H58">
        <v>58</v>
      </c>
      <c r="I58">
        <f t="shared" si="1"/>
        <v>273</v>
      </c>
      <c r="J58" t="str">
        <f t="array" ref="J58">IFERROR(INDEX($G$2:$G$2050,_xlfn.AGGREGATE(15,6,(ROW($G$2:$G$2050)-ROW($G$2)+1)/($G$2:$G$2050&lt;&gt;""),ROWS(J$1:J58))),"")</f>
        <v>F 2948-1 SPUNKY HOLLOW RD</v>
      </c>
      <c r="K58">
        <f>IF(J58="","",INDEX('Assignment Tool'!E74:E2107,MATCH(FA_DATA!J58,'Assignment Tool'!D74:D2107,0)))</f>
        <v>4</v>
      </c>
    </row>
    <row r="59" spans="1:11" x14ac:dyDescent="0.25">
      <c r="A59" s="118" t="str">
        <f t="shared" si="0"/>
        <v>R 71-1 YOUNGBLOOD DR</v>
      </c>
      <c r="G59" t="str">
        <f>IF('Assignment Tool'!C59="","",IF('Assignment Tool'!C59="FST",'Assignment Tool'!D59,""))</f>
        <v>F 25920-1 STATE HWY 79</v>
      </c>
      <c r="H59">
        <v>59</v>
      </c>
      <c r="I59">
        <f t="shared" si="1"/>
        <v>277</v>
      </c>
      <c r="J59" t="str">
        <f t="array" ref="J59">IFERROR(INDEX($G$2:$G$2050,_xlfn.AGGREGATE(15,6,(ROW($G$2:$G$2050)-ROW($G$2)+1)/($G$2:$G$2050&lt;&gt;""),ROWS(J$1:J59))),"")</f>
        <v>F 2838-1 SPUNKY HOLLOW RD</v>
      </c>
      <c r="K59">
        <f>IF(J59="","",INDEX('Assignment Tool'!E75:E2108,MATCH(FA_DATA!J59,'Assignment Tool'!D75:D2108,0)))</f>
        <v>4</v>
      </c>
    </row>
    <row r="60" spans="1:11" x14ac:dyDescent="0.25">
      <c r="A60" s="118" t="str">
        <f t="shared" si="0"/>
        <v>R 71-1 YOUNGBLOOD DR</v>
      </c>
      <c r="G60" t="str">
        <f>IF('Assignment Tool'!C60="","",IF('Assignment Tool'!C60="FST",'Assignment Tool'!D60,""))</f>
        <v>F 26016-1 STATE HWY 79</v>
      </c>
      <c r="H60">
        <v>60</v>
      </c>
      <c r="I60">
        <f t="shared" si="1"/>
        <v>281</v>
      </c>
      <c r="J60" t="str">
        <f t="array" ref="J60">IFERROR(INDEX($G$2:$G$2050,_xlfn.AGGREGATE(15,6,(ROW($G$2:$G$2050)-ROW($G$2)+1)/($G$2:$G$2050&lt;&gt;""),ROWS(J$1:J60))),"")</f>
        <v>F 2768-1 SPUNKY HOLLOW RD</v>
      </c>
      <c r="K60">
        <f>IF(J60="","",INDEX('Assignment Tool'!E76:E2109,MATCH(FA_DATA!J60,'Assignment Tool'!D76:D2109,0)))</f>
        <v>4</v>
      </c>
    </row>
    <row r="61" spans="1:11" x14ac:dyDescent="0.25">
      <c r="A61" s="118" t="str">
        <f t="shared" si="0"/>
        <v>OPP 253-1 REID RD</v>
      </c>
      <c r="G61" t="str">
        <f>IF('Assignment Tool'!C61="","",IF('Assignment Tool'!C61="FST",'Assignment Tool'!D61,""))</f>
        <v/>
      </c>
      <c r="H61">
        <v>61</v>
      </c>
      <c r="I61">
        <f t="shared" si="1"/>
        <v>285</v>
      </c>
      <c r="J61" t="str">
        <f t="array" ref="J61">IFERROR(INDEX($G$2:$G$2050,_xlfn.AGGREGATE(15,6,(ROW($G$2:$G$2050)-ROW($G$2)+1)/($G$2:$G$2050&lt;&gt;""),ROWS(J$1:J61))),"")</f>
        <v>OPP 3042-1 SPUNKY HOLLOW RD</v>
      </c>
      <c r="K61">
        <f>IF(J61="","",INDEX('Assignment Tool'!E77:E2110,MATCH(FA_DATA!J61,'Assignment Tool'!D77:D2110,0)))</f>
        <v>8</v>
      </c>
    </row>
    <row r="62" spans="1:11" x14ac:dyDescent="0.25">
      <c r="A62" s="118" t="str">
        <f t="shared" si="0"/>
        <v>OPP 253-1 REID RD</v>
      </c>
      <c r="G62" t="str">
        <f>IF('Assignment Tool'!C62="","",IF('Assignment Tool'!C62="FST",'Assignment Tool'!D62,""))</f>
        <v/>
      </c>
      <c r="H62">
        <v>62</v>
      </c>
      <c r="I62">
        <f t="shared" si="1"/>
        <v>293</v>
      </c>
      <c r="J62" t="str">
        <f t="array" ref="J62">IFERROR(INDEX($G$2:$G$2050,_xlfn.AGGREGATE(15,6,(ROW($G$2:$G$2050)-ROW($G$2)+1)/($G$2:$G$2050&lt;&gt;""),ROWS(J$1:J62))),"")</f>
        <v>OPP 3060-1 SPUNKY HOLLOW RD</v>
      </c>
      <c r="K62">
        <f>IF(J62="","",INDEX('Assignment Tool'!E78:E2111,MATCH(FA_DATA!J62,'Assignment Tool'!D78:D2111,0)))</f>
        <v>8</v>
      </c>
    </row>
    <row r="63" spans="1:11" x14ac:dyDescent="0.25">
      <c r="A63" s="118" t="str">
        <f t="shared" si="0"/>
        <v>OPP 253-1 REID RD</v>
      </c>
      <c r="G63" t="str">
        <f>IF('Assignment Tool'!C63="","",IF('Assignment Tool'!C63="FST",'Assignment Tool'!D63,""))</f>
        <v/>
      </c>
      <c r="H63">
        <v>63</v>
      </c>
      <c r="I63">
        <f t="shared" si="1"/>
        <v>301</v>
      </c>
      <c r="J63" t="str">
        <f t="array" ref="J63">IFERROR(INDEX($G$2:$G$2050,_xlfn.AGGREGATE(15,6,(ROW($G$2:$G$2050)-ROW($G$2)+1)/($G$2:$G$2050&lt;&gt;""),ROWS(J$1:J63))),"")</f>
        <v>F 3288-1 SPUNKY HOLLOW RD</v>
      </c>
      <c r="K63">
        <f>IF(J63="","",INDEX('Assignment Tool'!E79:E2112,MATCH(FA_DATA!J63,'Assignment Tool'!D79:D2112,0)))</f>
        <v>8</v>
      </c>
    </row>
    <row r="64" spans="1:11" x14ac:dyDescent="0.25">
      <c r="A64" s="118" t="str">
        <f t="shared" si="0"/>
        <v>OPP 253-1 REID RD</v>
      </c>
      <c r="G64" t="str">
        <f>IF('Assignment Tool'!C64="","",IF('Assignment Tool'!C64="FST",'Assignment Tool'!D65,""))</f>
        <v/>
      </c>
      <c r="H64">
        <v>64</v>
      </c>
      <c r="I64">
        <f t="shared" si="1"/>
        <v>309</v>
      </c>
      <c r="J64" t="str">
        <f t="array" ref="J64">IFERROR(INDEX($G$2:$G$2050,_xlfn.AGGREGATE(15,6,(ROW($G$2:$G$2050)-ROW($G$2)+1)/($G$2:$G$2050&lt;&gt;""),ROWS(J$1:J64))),"")</f>
        <v>OPP 26676-1 STATE HWY 79</v>
      </c>
      <c r="K64">
        <f>IF(J64="","",INDEX('Assignment Tool'!E80:E2113,MATCH(FA_DATA!J64,'Assignment Tool'!D80:D2113,0)))</f>
        <v>4</v>
      </c>
    </row>
    <row r="65" spans="1:11" x14ac:dyDescent="0.25">
      <c r="A65" s="118" t="str">
        <f t="shared" si="0"/>
        <v>OPP 357-1 REID RD</v>
      </c>
      <c r="G65" t="str">
        <f>IF('Assignment Tool'!C65="","",IF('Assignment Tool'!C65="FST",'Assignment Tool'!#REF!,""))</f>
        <v/>
      </c>
      <c r="H65">
        <v>65</v>
      </c>
      <c r="I65">
        <f t="shared" si="1"/>
        <v>313</v>
      </c>
      <c r="J65" t="str">
        <f t="array" ref="J65">IFERROR(INDEX($G$2:$G$2050,_xlfn.AGGREGATE(15,6,(ROW($G$2:$G$2050)-ROW($G$2)+1)/($G$2:$G$2050&lt;&gt;""),ROWS(J$1:J65))),"")</f>
        <v>F 26819-1 STATE HWY 79</v>
      </c>
      <c r="K65">
        <f>IF(J65="","",INDEX('Assignment Tool'!E81:E2114,MATCH(FA_DATA!J65,'Assignment Tool'!D81:D2114,0)))</f>
        <v>4</v>
      </c>
    </row>
    <row r="66" spans="1:11" x14ac:dyDescent="0.25">
      <c r="A66" s="118" t="str">
        <f t="shared" ref="A66:A129" si="2">VLOOKUP(H66,$I$1:$J$1000,2)</f>
        <v>OPP 357-1 REID RD</v>
      </c>
      <c r="G66" t="str">
        <f>IF('Assignment Tool'!C66="","",IF('Assignment Tool'!C66="FST",'Assignment Tool'!D66,""))</f>
        <v/>
      </c>
      <c r="H66">
        <v>66</v>
      </c>
      <c r="I66">
        <f t="shared" si="1"/>
        <v>317</v>
      </c>
      <c r="J66" t="str">
        <f t="array" ref="J66">IFERROR(INDEX($G$2:$G$2050,_xlfn.AGGREGATE(15,6,(ROW($G$2:$G$2050)-ROW($G$2)+1)/($G$2:$G$2050&lt;&gt;""),ROWS(J$1:J66))),"")</f>
        <v>OPP 26966-1 STATE HWY 79</v>
      </c>
      <c r="K66">
        <f>IF(J66="","",INDEX('Assignment Tool'!E82:E2115,MATCH(FA_DATA!J66,'Assignment Tool'!D82:D2115,0)))</f>
        <v>4</v>
      </c>
    </row>
    <row r="67" spans="1:11" x14ac:dyDescent="0.25">
      <c r="A67" s="118" t="str">
        <f t="shared" si="2"/>
        <v>OPP 357-1 REID RD</v>
      </c>
      <c r="G67" t="str">
        <f>IF('Assignment Tool'!C67="","",IF('Assignment Tool'!C67="FST",'Assignment Tool'!D67,""))</f>
        <v/>
      </c>
      <c r="H67">
        <v>67</v>
      </c>
      <c r="I67">
        <f t="shared" ref="I67:I130" si="3">IFERROR((I66+K66),"")</f>
        <v>321</v>
      </c>
      <c r="J67" t="str">
        <f t="array" ref="J67">IFERROR(INDEX($G$2:$G$2050,_xlfn.AGGREGATE(15,6,(ROW($G$2:$G$2050)-ROW($G$2)+1)/($G$2:$G$2050&lt;&gt;""),ROWS(J$1:J67))),"")</f>
        <v>F 2662-1 SPUNKY HOLLOW RD</v>
      </c>
      <c r="K67">
        <f>IF(J67="","",INDEX('Assignment Tool'!E83:E2116,MATCH(FA_DATA!J67,'Assignment Tool'!D83:D2116,0)))</f>
        <v>4</v>
      </c>
    </row>
    <row r="68" spans="1:11" x14ac:dyDescent="0.25">
      <c r="A68" s="118" t="str">
        <f t="shared" si="2"/>
        <v>OPP 357-1 REID RD</v>
      </c>
      <c r="G68" t="str">
        <f>IF('Assignment Tool'!C68="","",IF('Assignment Tool'!C68="FST",'Assignment Tool'!D68,""))</f>
        <v/>
      </c>
      <c r="H68">
        <v>68</v>
      </c>
      <c r="I68">
        <f t="shared" si="3"/>
        <v>325</v>
      </c>
      <c r="J68" t="str">
        <f t="array" ref="J68">IFERROR(INDEX($G$2:$G$2050,_xlfn.AGGREGATE(15,6,(ROW($G$2:$G$2050)-ROW($G$2)+1)/($G$2:$G$2050&lt;&gt;""),ROWS(J$1:J68))),"")</f>
        <v>F 2610-1 SPUNKY HOLLOW RD</v>
      </c>
      <c r="K68">
        <f>IF(J68="","",INDEX('Assignment Tool'!E84:E2117,MATCH(FA_DATA!J68,'Assignment Tool'!D84:D2117,0)))</f>
        <v>2</v>
      </c>
    </row>
    <row r="69" spans="1:11" x14ac:dyDescent="0.25">
      <c r="A69" s="118" t="str">
        <f t="shared" si="2"/>
        <v>F 387-1 REID RD</v>
      </c>
      <c r="G69" t="str">
        <f>IF('Assignment Tool'!C69="","",IF('Assignment Tool'!C69="FST",'Assignment Tool'!D69,""))</f>
        <v/>
      </c>
      <c r="H69">
        <v>69</v>
      </c>
      <c r="I69">
        <f t="shared" si="3"/>
        <v>327</v>
      </c>
      <c r="J69" t="str">
        <f t="array" ref="J69">IFERROR(INDEX($G$2:$G$2050,_xlfn.AGGREGATE(15,6,(ROW($G$2:$G$2050)-ROW($G$2)+1)/($G$2:$G$2050&lt;&gt;""),ROWS(J$1:J69))),"")</f>
        <v>F 2562-1 SPUNKY HOLLOW RD</v>
      </c>
      <c r="K69">
        <f>IF(J69="","",INDEX('Assignment Tool'!E85:E2118,MATCH(FA_DATA!J69,'Assignment Tool'!D85:D2118,0)))</f>
        <v>2</v>
      </c>
    </row>
    <row r="70" spans="1:11" x14ac:dyDescent="0.25">
      <c r="A70" s="118" t="str">
        <f t="shared" si="2"/>
        <v>F 387-1 REID RD</v>
      </c>
      <c r="G70" t="str">
        <f>IF('Assignment Tool'!C70="","",IF('Assignment Tool'!C70="FST",'Assignment Tool'!D70,""))</f>
        <v/>
      </c>
      <c r="H70">
        <v>70</v>
      </c>
      <c r="I70">
        <f t="shared" si="3"/>
        <v>329</v>
      </c>
      <c r="J70" t="str">
        <f t="array" ref="J70">IFERROR(INDEX($G$2:$G$2050,_xlfn.AGGREGATE(15,6,(ROW($G$2:$G$2050)-ROW($G$2)+1)/($G$2:$G$2050&lt;&gt;""),ROWS(J$1:J70))),"")</f>
        <v>F 2524-1 SPUNKY HOLLOW RD</v>
      </c>
      <c r="K70">
        <f>IF(J70="","",INDEX('Assignment Tool'!E86:E2119,MATCH(FA_DATA!J70,'Assignment Tool'!D86:D2119,0)))</f>
        <v>4</v>
      </c>
    </row>
    <row r="71" spans="1:11" x14ac:dyDescent="0.25">
      <c r="A71" s="118" t="str">
        <f t="shared" si="2"/>
        <v>F 387-1 REID RD</v>
      </c>
      <c r="G71" t="str">
        <f>IF('Assignment Tool'!C71="","",IF('Assignment Tool'!C71="FST",'Assignment Tool'!D71,""))</f>
        <v/>
      </c>
      <c r="H71">
        <v>71</v>
      </c>
      <c r="I71">
        <f t="shared" si="3"/>
        <v>333</v>
      </c>
      <c r="J71" t="str">
        <f t="array" ref="J71">IFERROR(INDEX($G$2:$G$2050,_xlfn.AGGREGATE(15,6,(ROW($G$2:$G$2050)-ROW($G$2)+1)/($G$2:$G$2050&lt;&gt;""),ROWS(J$1:J71))),"")</f>
        <v>F 55-1 HONEYCUTT RD</v>
      </c>
      <c r="K71">
        <f>IF(J71="","",INDEX('Assignment Tool'!E87:E2120,MATCH(FA_DATA!J71,'Assignment Tool'!D87:D2120,0)))</f>
        <v>4</v>
      </c>
    </row>
    <row r="72" spans="1:11" x14ac:dyDescent="0.25">
      <c r="A72" s="118" t="str">
        <f t="shared" si="2"/>
        <v>F 387-1 REID RD</v>
      </c>
      <c r="G72" t="str">
        <f>IF('Assignment Tool'!C72="","",IF('Assignment Tool'!C72="FST",'Assignment Tool'!D72,""))</f>
        <v/>
      </c>
      <c r="H72">
        <v>72</v>
      </c>
      <c r="I72">
        <f t="shared" si="3"/>
        <v>337</v>
      </c>
      <c r="J72" t="str">
        <f t="array" ref="J72">IFERROR(INDEX($G$2:$G$2050,_xlfn.AGGREGATE(15,6,(ROW($G$2:$G$2050)-ROW($G$2)+1)/($G$2:$G$2050&lt;&gt;""),ROWS(J$1:J72))),"")</f>
        <v>F 81-1 PINE VIEW DR</v>
      </c>
      <c r="K72">
        <f>IF(J72="","",INDEX('Assignment Tool'!E88:E2121,MATCH(FA_DATA!J72,'Assignment Tool'!D88:D2121,0)))</f>
        <v>8</v>
      </c>
    </row>
    <row r="73" spans="1:11" x14ac:dyDescent="0.25">
      <c r="A73" s="118" t="str">
        <f t="shared" si="2"/>
        <v>F 495-1 REID RD</v>
      </c>
      <c r="G73" t="str">
        <f>IF('Assignment Tool'!C73="","",IF('Assignment Tool'!C73="FST",'Assignment Tool'!D73,""))</f>
        <v/>
      </c>
      <c r="H73">
        <v>73</v>
      </c>
      <c r="I73">
        <f t="shared" si="3"/>
        <v>345</v>
      </c>
      <c r="J73" t="str">
        <f t="array" ref="J73">IFERROR(INDEX($G$2:$G$2050,_xlfn.AGGREGATE(15,6,(ROW($G$2:$G$2050)-ROW($G$2)+1)/($G$2:$G$2050&lt;&gt;""),ROWS(J$1:J73))),"")</f>
        <v>OPP 109-1 PINE VIEW DR</v>
      </c>
      <c r="K73">
        <f>IF(J73="","",INDEX('Assignment Tool'!E89:E2122,MATCH(FA_DATA!J73,'Assignment Tool'!D89:D2122,0)))</f>
        <v>4</v>
      </c>
    </row>
    <row r="74" spans="1:11" x14ac:dyDescent="0.25">
      <c r="A74" s="118" t="str">
        <f t="shared" si="2"/>
        <v>F 495-1 REID RD</v>
      </c>
      <c r="G74" t="str">
        <f>IF('Assignment Tool'!C74="","",IF('Assignment Tool'!C74="FST",'Assignment Tool'!D74,""))</f>
        <v/>
      </c>
      <c r="H74">
        <v>74</v>
      </c>
      <c r="I74">
        <f t="shared" si="3"/>
        <v>349</v>
      </c>
      <c r="J74" t="str">
        <f t="array" ref="J74">IFERROR(INDEX($G$2:$G$2050,_xlfn.AGGREGATE(15,6,(ROW($G$2:$G$2050)-ROW($G$2)+1)/($G$2:$G$2050&lt;&gt;""),ROWS(J$1:J74))),"")</f>
        <v>OPP 198-1 PINE VIEW DR</v>
      </c>
      <c r="K74">
        <f>IF(J74="","",INDEX('Assignment Tool'!E90:E2123,MATCH(FA_DATA!J74,'Assignment Tool'!D90:D2123,0)))</f>
        <v>4</v>
      </c>
    </row>
    <row r="75" spans="1:11" x14ac:dyDescent="0.25">
      <c r="A75" s="118" t="str">
        <f t="shared" si="2"/>
        <v>F 495-1 REID RD</v>
      </c>
      <c r="G75" t="str">
        <f>IF('Assignment Tool'!C75="","",IF('Assignment Tool'!C75="FST",'Assignment Tool'!D75,""))</f>
        <v/>
      </c>
      <c r="H75">
        <v>75</v>
      </c>
      <c r="I75">
        <f t="shared" si="3"/>
        <v>353</v>
      </c>
      <c r="J75" t="str">
        <f t="array" ref="J75">IFERROR(INDEX($G$2:$G$2050,_xlfn.AGGREGATE(15,6,(ROW($G$2:$G$2050)-ROW($G$2)+1)/($G$2:$G$2050&lt;&gt;""),ROWS(J$1:J75))),"")</f>
        <v>F 280-1 PINE VIEW DR</v>
      </c>
      <c r="K75">
        <f>IF(J75="","",INDEX('Assignment Tool'!E91:E2124,MATCH(FA_DATA!J75,'Assignment Tool'!D91:D2124,0)))</f>
        <v>4</v>
      </c>
    </row>
    <row r="76" spans="1:11" x14ac:dyDescent="0.25">
      <c r="A76" s="118" t="str">
        <f t="shared" si="2"/>
        <v>F 495-1 REID RD</v>
      </c>
      <c r="G76" t="str">
        <f>IF('Assignment Tool'!C76="","",IF('Assignment Tool'!C76="FST",'Assignment Tool'!D76,""))</f>
        <v/>
      </c>
      <c r="H76">
        <v>76</v>
      </c>
      <c r="I76">
        <f t="shared" si="3"/>
        <v>357</v>
      </c>
      <c r="J76" t="str">
        <f t="array" ref="J76">IFERROR(INDEX($G$2:$G$2050,_xlfn.AGGREGATE(15,6,(ROW($G$2:$G$2050)-ROW($G$2)+1)/($G$2:$G$2050&lt;&gt;""),ROWS(J$1:J76))),"")</f>
        <v>OPP 3461-1 SPUNKY HOLLOW RD</v>
      </c>
      <c r="K76">
        <f>IF(J76="","",INDEX('Assignment Tool'!E92:E2125,MATCH(FA_DATA!J76,'Assignment Tool'!D92:D2125,0)))</f>
        <v>4</v>
      </c>
    </row>
    <row r="77" spans="1:11" x14ac:dyDescent="0.25">
      <c r="A77" s="118" t="str">
        <f t="shared" si="2"/>
        <v>F 535-1 REID RD</v>
      </c>
      <c r="G77" t="str">
        <f>IF('Assignment Tool'!C77="","",IF('Assignment Tool'!C77="FST",'Assignment Tool'!D77,""))</f>
        <v/>
      </c>
      <c r="H77">
        <v>77</v>
      </c>
      <c r="I77">
        <f t="shared" si="3"/>
        <v>361</v>
      </c>
      <c r="J77" t="str">
        <f t="array" ref="J77">IFERROR(INDEX($G$2:$G$2050,_xlfn.AGGREGATE(15,6,(ROW($G$2:$G$2050)-ROW($G$2)+1)/($G$2:$G$2050&lt;&gt;""),ROWS(J$1:J77))),"")</f>
        <v>F 3418-1 SPUNKY HOLLOW RD</v>
      </c>
      <c r="K77">
        <f>IF(J77="","",INDEX('Assignment Tool'!E93:E2126,MATCH(FA_DATA!J77,'Assignment Tool'!D93:D2126,0)))</f>
        <v>4</v>
      </c>
    </row>
    <row r="78" spans="1:11" x14ac:dyDescent="0.25">
      <c r="A78" s="118" t="str">
        <f t="shared" si="2"/>
        <v>F 535-1 REID RD</v>
      </c>
      <c r="G78" t="str">
        <f>IF('Assignment Tool'!C78="","",IF('Assignment Tool'!C78="FST",'Assignment Tool'!D78,""))</f>
        <v/>
      </c>
      <c r="H78">
        <v>78</v>
      </c>
      <c r="I78">
        <f t="shared" si="3"/>
        <v>365</v>
      </c>
      <c r="J78" t="str">
        <f t="array" ref="J78">IFERROR(INDEX($G$2:$G$2050,_xlfn.AGGREGATE(15,6,(ROW($G$2:$G$2050)-ROW($G$2)+1)/($G$2:$G$2050&lt;&gt;""),ROWS(J$1:J78))),"")</f>
        <v>F 3530-1 SPUNKY HOLLOW RD</v>
      </c>
      <c r="K78">
        <f>IF(J78="","",INDEX('Assignment Tool'!E94:E2127,MATCH(FA_DATA!J78,'Assignment Tool'!D94:D2127,0)))</f>
        <v>4</v>
      </c>
    </row>
    <row r="79" spans="1:11" x14ac:dyDescent="0.25">
      <c r="A79" s="118" t="str">
        <f t="shared" si="2"/>
        <v>F 535-1 REID RD</v>
      </c>
      <c r="G79" t="str">
        <f>IF('Assignment Tool'!C79="","",IF('Assignment Tool'!C79="FST",'Assignment Tool'!D79,""))</f>
        <v/>
      </c>
      <c r="H79">
        <v>79</v>
      </c>
      <c r="I79">
        <f t="shared" si="3"/>
        <v>369</v>
      </c>
      <c r="J79" t="str">
        <f t="array" ref="J79">IFERROR(INDEX($G$2:$G$2050,_xlfn.AGGREGATE(15,6,(ROW($G$2:$G$2050)-ROW($G$2)+1)/($G$2:$G$2050&lt;&gt;""),ROWS(J$1:J79))),"")</f>
        <v>F 56-1 TAWBUSH LN</v>
      </c>
      <c r="K79">
        <f>IF(J79="","",INDEX('Assignment Tool'!E95:E2128,MATCH(FA_DATA!J79,'Assignment Tool'!D95:D2128,0)))</f>
        <v>4</v>
      </c>
    </row>
    <row r="80" spans="1:11" x14ac:dyDescent="0.25">
      <c r="A80" s="118" t="str">
        <f t="shared" si="2"/>
        <v>F 535-1 REID RD</v>
      </c>
      <c r="G80" t="str">
        <f>IF('Assignment Tool'!C80="","",IF('Assignment Tool'!C80="FST",'Assignment Tool'!D80,""))</f>
        <v/>
      </c>
      <c r="H80">
        <v>80</v>
      </c>
      <c r="I80">
        <f t="shared" si="3"/>
        <v>373</v>
      </c>
      <c r="J80" t="str">
        <f t="array" ref="J80">IFERROR(INDEX($G$2:$G$2050,_xlfn.AGGREGATE(15,6,(ROW($G$2:$G$2050)-ROW($G$2)+1)/($G$2:$G$2050&lt;&gt;""),ROWS(J$1:J80))),"")</f>
        <v>F 131-1 TAWBUSH LN</v>
      </c>
      <c r="K80">
        <f>IF(J80="","",INDEX('Assignment Tool'!E96:E2129,MATCH(FA_DATA!J80,'Assignment Tool'!D96:D2129,0)))</f>
        <v>4</v>
      </c>
    </row>
    <row r="81" spans="1:11" x14ac:dyDescent="0.25">
      <c r="A81" s="118" t="str">
        <f t="shared" si="2"/>
        <v>F 19-1 GROUNDHOG LN</v>
      </c>
      <c r="G81" t="str">
        <f>IF('Assignment Tool'!C81="","",IF('Assignment Tool'!C81="FST",'Assignment Tool'!D81,""))</f>
        <v/>
      </c>
      <c r="H81">
        <v>81</v>
      </c>
      <c r="I81">
        <f t="shared" si="3"/>
        <v>377</v>
      </c>
      <c r="J81" t="str">
        <f t="array" ref="J81">IFERROR(INDEX($G$2:$G$2050,_xlfn.AGGREGATE(15,6,(ROW($G$2:$G$2050)-ROW($G$2)+1)/($G$2:$G$2050&lt;&gt;""),ROWS(J$1:J81))),"")</f>
        <v>S 118-1 TAWBUSH LN</v>
      </c>
      <c r="K81">
        <f>IF(J81="","",INDEX('Assignment Tool'!E97:E2130,MATCH(FA_DATA!J81,'Assignment Tool'!D97:D2130,0)))</f>
        <v>4</v>
      </c>
    </row>
    <row r="82" spans="1:11" x14ac:dyDescent="0.25">
      <c r="A82" s="118" t="str">
        <f t="shared" si="2"/>
        <v>F 19-1 GROUNDHOG LN</v>
      </c>
      <c r="G82" t="str">
        <f>IF('Assignment Tool'!C82="","",IF('Assignment Tool'!C82="FST",'Assignment Tool'!D82,""))</f>
        <v/>
      </c>
      <c r="H82">
        <v>82</v>
      </c>
      <c r="I82">
        <f t="shared" si="3"/>
        <v>381</v>
      </c>
      <c r="J82" t="str">
        <f t="array" ref="J82">IFERROR(INDEX($G$2:$G$2050,_xlfn.AGGREGATE(15,6,(ROW($G$2:$G$2050)-ROW($G$2)+1)/($G$2:$G$2050&lt;&gt;""),ROWS(J$1:J82))),"")</f>
        <v>F 151-1 HONEYCUTT RD</v>
      </c>
      <c r="K82">
        <f>IF(J82="","",INDEX('Assignment Tool'!E98:E2131,MATCH(FA_DATA!J82,'Assignment Tool'!D98:D2131,0)))</f>
        <v>4</v>
      </c>
    </row>
    <row r="83" spans="1:11" x14ac:dyDescent="0.25">
      <c r="A83" s="118" t="str">
        <f t="shared" si="2"/>
        <v>F 19-1 GROUNDHOG LN</v>
      </c>
      <c r="G83" t="str">
        <f>IF('Assignment Tool'!C83="","",IF('Assignment Tool'!C83="FST",'Assignment Tool'!D83,""))</f>
        <v/>
      </c>
      <c r="H83">
        <v>83</v>
      </c>
      <c r="I83">
        <f t="shared" si="3"/>
        <v>385</v>
      </c>
      <c r="J83" t="str">
        <f t="array" ref="J83">IFERROR(INDEX($G$2:$G$2050,_xlfn.AGGREGATE(15,6,(ROW($G$2:$G$2050)-ROW($G$2)+1)/($G$2:$G$2050&lt;&gt;""),ROWS(J$1:J83))),"")</f>
        <v>F 183-1 HONEYCUTT RD</v>
      </c>
      <c r="K83">
        <f>IF(J83="","",INDEX('Assignment Tool'!E99:E2132,MATCH(FA_DATA!J83,'Assignment Tool'!D99:D2132,0)))</f>
        <v>8</v>
      </c>
    </row>
    <row r="84" spans="1:11" x14ac:dyDescent="0.25">
      <c r="A84" s="118" t="str">
        <f t="shared" si="2"/>
        <v>F 19-1 GROUNDHOG LN</v>
      </c>
      <c r="G84" t="str">
        <f>IF('Assignment Tool'!C84="","",IF('Assignment Tool'!C84="FST",'Assignment Tool'!D84,""))</f>
        <v/>
      </c>
      <c r="H84">
        <v>84</v>
      </c>
      <c r="I84">
        <f t="shared" si="3"/>
        <v>393</v>
      </c>
      <c r="J84" t="str">
        <f t="array" ref="J84">IFERROR(INDEX($G$2:$G$2050,_xlfn.AGGREGATE(15,6,(ROW($G$2:$G$2050)-ROW($G$2)+1)/($G$2:$G$2050&lt;&gt;""),ROWS(J$1:J84))),"")</f>
        <v>R 215-1 HONEYCUTT RD</v>
      </c>
      <c r="K84">
        <f>IF(J84="","",INDEX('Assignment Tool'!E100:E2133,MATCH(FA_DATA!J84,'Assignment Tool'!D100:D2133,0)))</f>
        <v>12</v>
      </c>
    </row>
    <row r="85" spans="1:11" x14ac:dyDescent="0.25">
      <c r="A85" s="118" t="str">
        <f t="shared" si="2"/>
        <v>F 609-1 REID RD</v>
      </c>
      <c r="G85" t="str">
        <f>IF('Assignment Tool'!C85="","",IF('Assignment Tool'!C85="FST",'Assignment Tool'!D85,""))</f>
        <v/>
      </c>
      <c r="H85">
        <v>85</v>
      </c>
      <c r="I85">
        <f t="shared" si="3"/>
        <v>405</v>
      </c>
      <c r="J85" t="str">
        <f t="array" ref="J85">IFERROR(INDEX($G$2:$G$2050,_xlfn.AGGREGATE(15,6,(ROW($G$2:$G$2050)-ROW($G$2)+1)/($G$2:$G$2050&lt;&gt;""),ROWS(J$1:J85))),"")</f>
        <v>F 3585-1 SPUNKY HOLLOW RD</v>
      </c>
      <c r="K85">
        <f>IF(J85="","",INDEX('Assignment Tool'!E101:E2134,MATCH(FA_DATA!J85,'Assignment Tool'!D101:D2134,0)))</f>
        <v>12</v>
      </c>
    </row>
    <row r="86" spans="1:11" x14ac:dyDescent="0.25">
      <c r="A86" s="118" t="str">
        <f t="shared" si="2"/>
        <v>F 609-1 REID RD</v>
      </c>
      <c r="G86" t="str">
        <f>IF('Assignment Tool'!C86="","",IF('Assignment Tool'!C86="FST",'Assignment Tool'!D86,""))</f>
        <v/>
      </c>
      <c r="H86">
        <v>86</v>
      </c>
      <c r="I86">
        <f t="shared" si="3"/>
        <v>417</v>
      </c>
      <c r="J86" t="str">
        <f t="array" ref="J86">IFERROR(INDEX($G$2:$G$2050,_xlfn.AGGREGATE(15,6,(ROW($G$2:$G$2050)-ROW($G$2)+1)/($G$2:$G$2050&lt;&gt;""),ROWS(J$1:J86))),"")</f>
        <v>F 3745-1 SPUNKY HOLLOW RD</v>
      </c>
      <c r="K86">
        <f>IF(J86="","",INDEX('Assignment Tool'!E102:E2135,MATCH(FA_DATA!J86,'Assignment Tool'!D102:D2135,0)))</f>
        <v>4</v>
      </c>
    </row>
    <row r="87" spans="1:11" x14ac:dyDescent="0.25">
      <c r="A87" s="118" t="str">
        <f t="shared" si="2"/>
        <v>F 609-1 REID RD</v>
      </c>
      <c r="G87" t="str">
        <f>IF('Assignment Tool'!C87="","",IF('Assignment Tool'!C87="FST",'Assignment Tool'!D87,""))</f>
        <v/>
      </c>
      <c r="H87">
        <v>87</v>
      </c>
      <c r="I87">
        <f t="shared" si="3"/>
        <v>421</v>
      </c>
      <c r="J87" t="str">
        <f t="array" ref="J87">IFERROR(INDEX($G$2:$G$2050,_xlfn.AGGREGATE(15,6,(ROW($G$2:$G$2050)-ROW($G$2)+1)/($G$2:$G$2050&lt;&gt;""),ROWS(J$1:J87))),"")</f>
        <v>F 3590-1 SPUNKY HOLLOW RD</v>
      </c>
      <c r="K87">
        <f>IF(J87="","",INDEX('Assignment Tool'!E103:E2136,MATCH(FA_DATA!J87,'Assignment Tool'!D103:D2136,0)))</f>
        <v>4</v>
      </c>
    </row>
    <row r="88" spans="1:11" x14ac:dyDescent="0.25">
      <c r="A88" s="118" t="str">
        <f t="shared" si="2"/>
        <v>F 609-1 REID RD</v>
      </c>
      <c r="G88" t="str">
        <f>IF('Assignment Tool'!C88="","",IF('Assignment Tool'!C88="FST",'Assignment Tool'!D88,""))</f>
        <v/>
      </c>
      <c r="H88">
        <v>88</v>
      </c>
      <c r="I88">
        <f t="shared" si="3"/>
        <v>425</v>
      </c>
      <c r="J88" t="str">
        <f t="array" ref="J88">IFERROR(INDEX($G$2:$G$2050,_xlfn.AGGREGATE(15,6,(ROW($G$2:$G$2050)-ROW($G$2)+1)/($G$2:$G$2050&lt;&gt;""),ROWS(J$1:J88))),"")</f>
        <v>F 3945-1 SPUNKY HOLLOW RD</v>
      </c>
      <c r="K88">
        <f>IF(J88="","",INDEX('Assignment Tool'!E104:E2137,MATCH(FA_DATA!J88,'Assignment Tool'!D104:D2137,0)))</f>
        <v>4</v>
      </c>
    </row>
    <row r="89" spans="1:11" x14ac:dyDescent="0.25">
      <c r="A89" s="118" t="str">
        <f t="shared" si="2"/>
        <v>F 609-1 REID RD</v>
      </c>
      <c r="G89" t="str">
        <f>IF('Assignment Tool'!C89="","",IF('Assignment Tool'!C89="FST",'Assignment Tool'!D89,""))</f>
        <v/>
      </c>
      <c r="H89">
        <v>89</v>
      </c>
      <c r="I89">
        <f t="shared" si="3"/>
        <v>429</v>
      </c>
      <c r="J89" t="str">
        <f t="array" ref="J89">IFERROR(INDEX($G$2:$G$2050,_xlfn.AGGREGATE(15,6,(ROW($G$2:$G$2050)-ROW($G$2)+1)/($G$2:$G$2050&lt;&gt;""),ROWS(J$1:J89))),"")</f>
        <v>OPP 3616-1 SPUNKY HOLLOW RD</v>
      </c>
      <c r="K89">
        <f>IF(J89="","",INDEX('Assignment Tool'!E105:E2138,MATCH(FA_DATA!J89,'Assignment Tool'!D105:D2138,0)))</f>
        <v>12</v>
      </c>
    </row>
    <row r="90" spans="1:11" x14ac:dyDescent="0.25">
      <c r="A90" s="118" t="str">
        <f t="shared" si="2"/>
        <v>F 609-1 REID RD</v>
      </c>
      <c r="G90" t="str">
        <f>IF('Assignment Tool'!C90="","",IF('Assignment Tool'!C90="FST",'Assignment Tool'!D90,""))</f>
        <v/>
      </c>
      <c r="H90">
        <v>90</v>
      </c>
      <c r="I90">
        <f t="shared" si="3"/>
        <v>441</v>
      </c>
      <c r="J90" t="str">
        <f t="array" ref="J90">IFERROR(INDEX($G$2:$G$2050,_xlfn.AGGREGATE(15,6,(ROW($G$2:$G$2050)-ROW($G$2)+1)/($G$2:$G$2050&lt;&gt;""),ROWS(J$1:J90))),"")</f>
        <v>F 3983-1 SPUNKY HOLLOW RD</v>
      </c>
      <c r="K90">
        <f>IF(J90="","",INDEX('Assignment Tool'!E106:E2139,MATCH(FA_DATA!J90,'Assignment Tool'!D106:D2139,0)))</f>
        <v>4</v>
      </c>
    </row>
    <row r="91" spans="1:11" x14ac:dyDescent="0.25">
      <c r="A91" s="118" t="str">
        <f t="shared" si="2"/>
        <v>F 609-1 REID RD</v>
      </c>
      <c r="G91" t="str">
        <f>IF('Assignment Tool'!C91="","",IF('Assignment Tool'!C91="FST",'Assignment Tool'!D91,""))</f>
        <v/>
      </c>
      <c r="H91">
        <v>91</v>
      </c>
      <c r="I91">
        <f t="shared" si="3"/>
        <v>445</v>
      </c>
      <c r="J91" t="str">
        <f t="array" ref="J91">IFERROR(INDEX($G$2:$G$2050,_xlfn.AGGREGATE(15,6,(ROW($G$2:$G$2050)-ROW($G$2)+1)/($G$2:$G$2050&lt;&gt;""),ROWS(J$1:J91))),"")</f>
        <v>F 4075-1 SPUNKY HOLLOW RD</v>
      </c>
      <c r="K91">
        <f>IF(J91="","",INDEX('Assignment Tool'!E107:E2140,MATCH(FA_DATA!J91,'Assignment Tool'!D107:D2140,0)))</f>
        <v>8</v>
      </c>
    </row>
    <row r="92" spans="1:11" x14ac:dyDescent="0.25">
      <c r="A92" s="118" t="str">
        <f t="shared" si="2"/>
        <v>F 609-1 REID RD</v>
      </c>
      <c r="G92" t="str">
        <f>IF('Assignment Tool'!C92="","",IF('Assignment Tool'!C92="FST",'Assignment Tool'!D92,""))</f>
        <v/>
      </c>
      <c r="H92">
        <v>92</v>
      </c>
      <c r="I92">
        <f t="shared" si="3"/>
        <v>453</v>
      </c>
      <c r="J92" t="str">
        <f t="array" ref="J92">IFERROR(INDEX($G$2:$G$2050,_xlfn.AGGREGATE(15,6,(ROW($G$2:$G$2050)-ROW($G$2)+1)/($G$2:$G$2050&lt;&gt;""),ROWS(J$1:J92))),"")</f>
        <v/>
      </c>
      <c r="K92" t="str">
        <f>IF(J92="","",INDEX('Assignment Tool'!E108:E2141,MATCH(FA_DATA!J92,'Assignment Tool'!D108:D2141,0)))</f>
        <v/>
      </c>
    </row>
    <row r="93" spans="1:11" x14ac:dyDescent="0.25">
      <c r="A93" s="118" t="str">
        <f t="shared" si="2"/>
        <v>S 647-1 REID RD</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S 647-1 REID RD</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S 647-1 REID RD</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S 647-1 REID RD</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614-1 REID RD</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614-1 REID RD</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614-1 REID RD</v>
      </c>
      <c r="G99" t="str">
        <f>IF('Assignment Tool'!C99="","",IF('Assignment Tool'!C99="FST",'Assignment Tool'!D99,""))</f>
        <v>OPP 26127-1 STATE HWY 79</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614-1 REID RD</v>
      </c>
      <c r="G100" t="str">
        <f>IF('Assignment Tool'!C100="","",IF('Assignment Tool'!C100="FST",'Assignment Tool'!D100,""))</f>
        <v>F 26052-1 STATE HWY 79</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840-1 REID RD</v>
      </c>
      <c r="G101" t="str">
        <f>IF('Assignment Tool'!C101="","",IF('Assignment Tool'!C101="FST",'Assignment Tool'!D101,""))</f>
        <v>OPP 26225-1 STATE HWY 79</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840-1 REID RD</v>
      </c>
      <c r="G102" t="str">
        <f>IF('Assignment Tool'!C102="","",IF('Assignment Tool'!C102="FST",'Assignment Tool'!D102,""))</f>
        <v>F 26246-1 STATE HWY 79</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840-1 REID RD</v>
      </c>
      <c r="G103" t="str">
        <f>IF('Assignment Tool'!C103="","",IF('Assignment Tool'!C103="FST",'Assignment Tool'!D103,""))</f>
        <v>R 71-1 YOUNGBLOOD DR</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840-1 REID RD</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OPP 857-1 REID RD</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OPP 857-1 REID RD</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OPP 857-1 REID RD</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OPP 857-1 REID RD</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425-1 SPOONHANDLE RD</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425-1 SPOONHANDLE RD</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425-1 SPOONHANDLE RD</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425-1 SPOONHANDLE RD</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184-1 TAWBUSH RD</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184-1 TAWBUSH RD</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184-1 TAWBUSH RD</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184-1 TAWBUSH RD</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242-1 TAWBUSH RD</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242-1 TAWBUSH RD</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242-1 TAWBUSH RD</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242-1 TAWBUSH RD</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248-1 TAWBUSH RD</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248-1 TAWBUSH RD</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248-1 TAWBUSH RD</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248-1 TAWBUSH RD</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S 266-1 TAWBUSH RD</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S 266-1 TAWBUSH RD</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S 266-1 TAWBUSH RD</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S 266-1 TAWBUSH RD</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496-1 TAWBUSH RD</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496-1 TAWBUSH RD</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496-1 TAWBUSH RD</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496-1 TAWBUSH RD</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OPP 375-1 SPOONHANDLE RD</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OPP 375-1 SPOONHANDLE RD</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OPP 375-1 SPOONHANDLE RD</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OPP 375-1 SPOONHANDLE RD</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S 375-1 SPOONHANDLE RD</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S 375-1 SPOONHANDLE RD</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S 375-1 SPOONHANDLE RD</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S 375-1 SPOONHANDLE RD</v>
      </c>
      <c r="G140" t="str">
        <f>IF('Assignment Tool'!C140="","",IF('Assignment Tool'!C140="FST",'Assignment Tool'!D140,""))</f>
        <v>OPP 253-1 REID RD</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489-1 SPOONHANDLE RD</v>
      </c>
      <c r="G141" t="str">
        <f>IF('Assignment Tool'!C141="","",IF('Assignment Tool'!C141="FST",'Assignment Tool'!D141,""))</f>
        <v>OPP 357-1 REID RD</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489-1 SPOONHANDLE RD</v>
      </c>
      <c r="G142" t="str">
        <f>IF('Assignment Tool'!C142="","",IF('Assignment Tool'!C142="FST",'Assignment Tool'!D142,""))</f>
        <v>F 387-1 REID RD</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489-1 SPOONHANDLE RD</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489-1 SPOONHANDLE RD</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461-1 SPOONHANDLE RD</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461-1 SPOONHANDLE RD</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461-1 SPOONHANDLE RD</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461-1 SPOONHANDLE RD</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545-1 SPOONHANDLE RD</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545-1 SPOONHANDLE RD</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545-1 SPOONHANDLE RD</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545-1 SPOONHANDLE RD</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610-1 SPOONHANDLE RD</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610-1 SPOONHANDLE RD</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610-1 SPOONHANDLE RD</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610-1 SPOONHANDLE RD</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95-1 GROUNDHOG LN</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95-1 GROUNDHOG LN</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95-1 GROUNDHOG LN</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95-1 GROUNDHOG LN</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95-1 GROUNDHOG LN</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95-1 GROUNDHOG LN</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95-1 GROUNDHOG LN</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95-1 GROUNDHOG LN</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95-1 GROUNDHOG LN</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95-1 GROUNDHOG LN</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95-1 GROUNDHOG LN</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95-1 GROUNDHOG LN</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OPP 38-1 MADISON DR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OPP 38-1 MADISON DR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OPP 38-1 MADISON DR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OPP 38-1 MADISON DR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80-1 MADISON DR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80-1 MADISON DR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80-1 MADISON DR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80-1 MADISON DR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80-1 MADISON DR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80-1 MADISON DR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80-1 MADISON DR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80-1 MADISON DR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889-1 REID RD</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889-1 REID RD</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889-1 REID RD</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889-1 REID RD</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OPP 933-1 REID RD</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OPP 933-1 REID RD</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OPP 933-1 REID RD</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OPP 933-1 REID RD</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OPP 1045-1 REID RD</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OPP 1045-1 REID RD</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OPP 1045-1 REID RD</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OPP 1045-1 REID RD</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1091-1 REID RD</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1091-1 REID RD</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1091-1 REID RD</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1091-1 REID RD</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OPP 1177-1 REID RD</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OPP 1177-1 REID RD</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OPP 1177-1 REID RD</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OPP 1177-1 REID RD</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1172-1 REID RD</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1172-1 REID RD</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1172-1 REID RD</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1172-1 REID RD</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OPP 1225-1 REID RD</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OPP 1225-1 REID RD</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OPP 1225-1 REID RD</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OPP 1225-1 REID RD</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OPP 1225-1 REID RD</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OPP 1225-1 REID RD</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OPP 1225-1 REID RD</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OPP 1225-1 REID RD</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OPP 2985-1 REID RD</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OPP 2985-1 REID RD</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OPP 2985-1 REID RD</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OPP 2985-1 REID RD</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526-1 TAWBUSH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526-1 TAWBUSH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526-1 TAWBUSH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526-1 TAWBUSH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576-1 TAWBUSH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576-1 TAWBUSH RD</v>
      </c>
      <c r="G222" t="str">
        <f>IF('Assignment Tool'!C222="","",IF('Assignment Tool'!C222="FST",'Assignment Tool'!D222,""))</f>
        <v>F 495-1 REID RD</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576-1 TAWBUSH RD</v>
      </c>
      <c r="G223" t="str">
        <f>IF('Assignment Tool'!C223="","",IF('Assignment Tool'!C223="FST",'Assignment Tool'!D223,""))</f>
        <v>F 535-1 REID RD</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576-1 TAWBUSH RD</v>
      </c>
      <c r="G224" t="str">
        <f>IF('Assignment Tool'!C224="","",IF('Assignment Tool'!C224="FST",'Assignment Tool'!D224,""))</f>
        <v>F 19-1 GROUNDHOG LN</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576-1 TAWBUSH RD</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576-1 TAWBUSH RD</v>
      </c>
      <c r="G226" t="str">
        <f>IF('Assignment Tool'!C226="","",IF('Assignment Tool'!C226="FST",'Assignment Tool'!D226,""))</f>
        <v>F 609-1 REID RD</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576-1 TAWBUSH RD</v>
      </c>
      <c r="G227" t="str">
        <f>IF('Assignment Tool'!C227="","",IF('Assignment Tool'!C227="FST",'Assignment Tool'!D227,""))</f>
        <v>S 647-1 REID RD</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576-1 TAWBUSH RD</v>
      </c>
      <c r="G228" t="str">
        <f>IF('Assignment Tool'!C228="","",IF('Assignment Tool'!C228="FST",'Assignment Tool'!D228,""))</f>
        <v>F 614-1 REID RD</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115-1 HOLT DR</v>
      </c>
      <c r="G229" t="str">
        <f>IF('Assignment Tool'!C229="","",IF('Assignment Tool'!C229="FST",'Assignment Tool'!D229,""))</f>
        <v>F 840-1 REID RD</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115-1 HOLT DR</v>
      </c>
      <c r="G230" t="str">
        <f>IF('Assignment Tool'!C230="","",IF('Assignment Tool'!C230="FST",'Assignment Tool'!D230,""))</f>
        <v>OPP 857-1 REID RD</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115-1 HOLT DR</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115-1 HOLT DR</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OPP 160-1 HOLT DR</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OPP 160-1 HOLT DR</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OPP 160-1 HOLT DR</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OPP 160-1 HOLT DR</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OPP 160-1 HOLT DR</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OPP 160-1 HOLT DR</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OPP 160-1 HOLT DR</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OPP 160-1 HOLT DR</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342-1 HOLT DR</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342-1 HOLT DR</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342-1 HOLT DR</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342-1 HOLT DR</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342-1 HOLT DR</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342-1 HOLT DR</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342-1 HOLT DR</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342-1 HOLT DR</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26481-1 STATE HWY 79</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26481-1 STATE HWY 79</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26481-1 STATE HWY 79</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26481-1 STATE HWY 79</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OPP 26520-1 STATE HWY 79</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OPP 26520-1 STATE HWY 79</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OPP 26520-1 STATE HWY 79</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OPP 26520-1 STATE HWY 79</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26661-1 STATE HWY 79</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26661-1 STATE HWY 79</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26661-1 STATE HWY 79</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26661-1 STATE HWY 79</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49-1 WATER OAK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49-1 WATER OAK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49-1 WATER OAK DR</v>
      </c>
      <c r="G263" t="str">
        <f>IF('Assignment Tool'!C263="","",IF('Assignment Tool'!C263="FST",'Assignment Tool'!D263,""))</f>
        <v>F 425-1 SPOONHANDLE RD</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49-1 WATER OAK DR</v>
      </c>
      <c r="G264" t="str">
        <f>IF('Assignment Tool'!C264="","",IF('Assignment Tool'!C264="FST",'Assignment Tool'!D264,""))</f>
        <v>F 184-1 TAWBUSH RD</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106-1 WATER OAK DR</v>
      </c>
      <c r="G265" t="str">
        <f>IF('Assignment Tool'!C265="","",IF('Assignment Tool'!C265="FST",'Assignment Tool'!D265,""))</f>
        <v>F 242-1 TAWBUSH RD</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106-1 WATER OAK DR</v>
      </c>
      <c r="G266" t="str">
        <f>IF('Assignment Tool'!C266="","",IF('Assignment Tool'!C266="FST",'Assignment Tool'!D266,""))</f>
        <v>F 248-1 TAWBUSH RD</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106-1 WATER OAK DR</v>
      </c>
      <c r="G267" t="str">
        <f>IF('Assignment Tool'!C267="","",IF('Assignment Tool'!C267="FST",'Assignment Tool'!D267,""))</f>
        <v>S 266-1 TAWBUSH RD</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106-1 WATER OAK DR</v>
      </c>
      <c r="G268" t="str">
        <f>IF('Assignment Tool'!C268="","",IF('Assignment Tool'!C268="FST",'Assignment Tool'!D268,""))</f>
        <v>F 496-1 TAWBUSH RD</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133-1 WATER OAK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133-1 WATER OAK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133-1 WATER OAK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133-1 WATER OAK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2948-1 SPUNKY HOLLOW RD</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2948-1 SPUNKY HOLLOW RD</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2948-1 SPUNKY HOLLOW RD</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2948-1 SPUNKY HOLLOW RD</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2838-1 SPUNKY HOLLOW RD</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2838-1 SPUNKY HOLLOW RD</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2838-1 SPUNKY HOLLOW RD</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2838-1 SPUNKY HOLLOW RD</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2768-1 SPUNKY HOLLOW RD</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2768-1 SPUNKY HOLLOW RD</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2768-1 SPUNKY HOLLOW RD</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2768-1 SPUNKY HOLLOW RD</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OPP 3042-1 SPUNKY HOLLOW RD</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OPP 3042-1 SPUNKY HOLLOW RD</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OPP 3042-1 SPUNKY HOLLOW RD</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OPP 3042-1 SPUNKY HOLLOW RD</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OPP 3042-1 SPUNKY HOLLOW RD</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OPP 3042-1 SPUNKY HOLLOW RD</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OPP 3042-1 SPUNKY HOLLOW RD</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OPP 3042-1 SPUNKY HOLLOW RD</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OPP 3060-1 SPUNKY HOLLOW RD</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OPP 3060-1 SPUNKY HOLLOW RD</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OPP 3060-1 SPUNKY HOLLOW RD</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OPP 3060-1 SPUNKY HOLLOW RD</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OPP 3060-1 SPUNKY HOLLOW RD</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OPP 3060-1 SPUNKY HOLLOW RD</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OPP 3060-1 SPUNKY HOLLOW RD</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OPP 3060-1 SPUNKY HOLLOW RD</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3288-1 SPUNKY HOLLOW RD</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3288-1 SPUNKY HOLLOW RD</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3288-1 SPUNKY HOLLOW RD</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3288-1 SPUNKY HOLLOW RD</v>
      </c>
      <c r="G304" t="str">
        <f>IF('Assignment Tool'!C304="","",IF('Assignment Tool'!C304="FST",'Assignment Tool'!D304,""))</f>
        <v>OPP 375-1 SPOONHANDLE RD</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3288-1 SPUNKY HOLLOW RD</v>
      </c>
      <c r="G305" t="str">
        <f>IF('Assignment Tool'!C305="","",IF('Assignment Tool'!C305="FST",'Assignment Tool'!D305,""))</f>
        <v>S 375-1 SPOONHANDLE RD</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3288-1 SPUNKY HOLLOW RD</v>
      </c>
      <c r="G306" t="str">
        <f>IF('Assignment Tool'!C306="","",IF('Assignment Tool'!C306="FST",'Assignment Tool'!D306,""))</f>
        <v>F 489-1 SPOONHANDLE RD</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3288-1 SPUNKY HOLLOW RD</v>
      </c>
      <c r="G307" t="str">
        <f>IF('Assignment Tool'!C307="","",IF('Assignment Tool'!C307="FST",'Assignment Tool'!D307,""))</f>
        <v>F 461-1 SPOONHANDLE RD</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3288-1 SPUNKY HOLLOW RD</v>
      </c>
      <c r="G308" t="str">
        <f>IF('Assignment Tool'!C308="","",IF('Assignment Tool'!C308="FST",'Assignment Tool'!D308,""))</f>
        <v>F 545-1 SPOONHANDLE RD</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OPP 26676-1 STATE HWY 79</v>
      </c>
      <c r="G309" t="str">
        <f>IF('Assignment Tool'!C309="","",IF('Assignment Tool'!C309="FST",'Assignment Tool'!D309,""))</f>
        <v>F 610-1 SPOONHANDLE RD</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OPP 26676-1 STATE HWY 79</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OPP 26676-1 STATE HWY 79</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OPP 26676-1 STATE HWY 79</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26819-1 STATE HWY 79</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26819-1 STATE HWY 79</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26819-1 STATE HWY 79</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26819-1 STATE HWY 79</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OPP 26966-1 STATE HWY 79</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OPP 26966-1 STATE HWY 79</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OPP 26966-1 STATE HWY 79</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OPP 26966-1 STATE HWY 79</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2662-1 SPUNKY HOLLOW RD</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2662-1 SPUNKY HOLLOW RD</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2662-1 SPUNKY HOLLOW RD</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2662-1 SPUNKY HOLLOW RD</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2610-1 SPUNKY HOLLOW RD</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2610-1 SPUNKY HOLLOW RD</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2562-1 SPUNKY HOLLOW RD</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2562-1 SPUNKY HOLLOW RD</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2524-1 SPUNKY HOLLOW RD</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2524-1 SPUNKY HOLLOW RD</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2524-1 SPUNKY HOLLOW RD</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2524-1 SPUNKY HOLLOW RD</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55-1 HONEYCUTT RD</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55-1 HONEYCUTT RD</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55-1 HONEYCUTT RD</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55-1 HONEYCUTT RD</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81-1 PINE VIEW DR</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81-1 PINE VIEW DR</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81-1 PINE VIEW DR</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81-1 PINE VIEW DR</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81-1 PINE VIEW DR</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81-1 PINE VIEW DR</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81-1 PINE VIEW DR</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81-1 PINE VIEW DR</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OPP 109-1 PINE VIEW DR</v>
      </c>
      <c r="G345" t="str">
        <f>IF('Assignment Tool'!C345="","",IF('Assignment Tool'!C345="FST",'Assignment Tool'!D345,""))</f>
        <v>F 95-1 GROUNDHOG LN</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OPP 109-1 PINE VIEW DR</v>
      </c>
      <c r="G346" t="str">
        <f>IF('Assignment Tool'!C346="","",IF('Assignment Tool'!C346="FST",'Assignment Tool'!D346,""))</f>
        <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OPP 109-1 PINE VIEW DR</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OPP 109-1 PINE VIEW DR</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OPP 198-1 PINE VIEW DR</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OPP 198-1 PINE VIEW DR</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OPP 198-1 PINE VIEW DR</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OPP 198-1 PINE VIEW DR</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280-1 PINE VIEW DR</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280-1 PINE VIEW DR</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280-1 PINE VIEW DR</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280-1 PINE VIEW DR</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OPP 3461-1 SPUNKY HOLLOW RD</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OPP 3461-1 SPUNKY HOLLOW RD</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OPP 3461-1 SPUNKY HOLLOW RD</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OPP 3461-1 SPUNKY HOLLOW RD</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3418-1 SPUNKY HOLLOW RD</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3418-1 SPUNKY HOLLOW RD</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3418-1 SPUNKY HOLLOW RD</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3418-1 SPUNKY HOLLOW RD</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3530-1 SPUNKY HOLLOW RD</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3530-1 SPUNKY HOLLOW RD</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3530-1 SPUNKY HOLLOW RD</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3530-1 SPUNKY HOLLOW RD</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F 56-1 TAWBUSH LN</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F 56-1 TAWBUSH LN</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F 56-1 TAWBUSH LN</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F 56-1 TAWBUSH LN</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F 131-1 TAWBUSH LN</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F 131-1 TAWBUSH LN</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F 131-1 TAWBUSH LN</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F 131-1 TAWBUSH LN</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S 118-1 TAWBUSH LN</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S 118-1 TAWBUSH LN</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S 118-1 TAWBUSH LN</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S 118-1 TAWBUSH LN</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151-1 HONEYCUTT RD</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151-1 HONEYCUTT RD</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151-1 HONEYCUTT RD</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151-1 HONEYCUTT RD</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F 183-1 HONEYCUTT RD</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F 183-1 HONEYCUTT RD</v>
      </c>
      <c r="G386" t="str">
        <f>IF('Assignment Tool'!C386="","",IF('Assignment Tool'!C386="FST",'Assignment Tool'!D386,""))</f>
        <v>OPP 38-1 MADISON DR</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F 183-1 HONEYCUTT RD</v>
      </c>
      <c r="G387" t="str">
        <f>IF('Assignment Tool'!C387="","",IF('Assignment Tool'!C387="FST",'Assignment Tool'!D387,""))</f>
        <v>F 80-1 MADISON DR</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F 183-1 HONEYCUTT RD</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183-1 HONEYCUTT RD</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183-1 HONEYCUTT RD</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183-1 HONEYCUTT RD</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183-1 HONEYCUTT RD</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R 215-1 HONEYCUTT RD</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R 215-1 HONEYCUTT RD</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R 215-1 HONEYCUTT RD</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R 215-1 HONEYCUTT RD</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R 215-1 HONEYCUTT RD</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R 215-1 HONEYCUTT RD</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R 215-1 HONEYCUTT RD</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R 215-1 HONEYCUTT RD</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R 215-1 HONEYCUTT RD</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R 215-1 HONEYCUTT RD</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R 215-1 HONEYCUTT RD</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R 215-1 HONEYCUTT RD</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3585-1 SPUNKY HOLLOW RD</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3585-1 SPUNKY HOLLOW RD</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3585-1 SPUNKY HOLLOW RD</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3585-1 SPUNKY HOLLOW RD</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3585-1 SPUNKY HOLLOW RD</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3585-1 SPUNKY HOLLOW RD</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3585-1 SPUNKY HOLLOW RD</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3585-1 SPUNKY HOLLOW RD</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F 3585-1 SPUNKY HOLLOW RD</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F 3585-1 SPUNKY HOLLOW RD</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F 3585-1 SPUNKY HOLLOW RD</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F 3585-1 SPUNKY HOLLOW RD</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F 3745-1 SPUNKY HOLLOW RD</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F 3745-1 SPUNKY HOLLOW RD</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F 3745-1 SPUNKY HOLLOW RD</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F 3745-1 SPUNKY HOLLOW RD</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3590-1 SPUNKY HOLLOW RD</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3590-1 SPUNKY HOLLOW RD</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3590-1 SPUNKY HOLLOW RD</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3590-1 SPUNKY HOLLOW RD</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3945-1 SPUNKY HOLLOW RD</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3945-1 SPUNKY HOLLOW RD</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3945-1 SPUNKY HOLLOW RD</v>
      </c>
      <c r="G427" t="str">
        <f>IF('Assignment Tool'!C427="","",IF('Assignment Tool'!C427="FST",'Assignment Tool'!D427,""))</f>
        <v>F 889-1 REID RD</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3945-1 SPUNKY HOLLOW RD</v>
      </c>
      <c r="G428" t="str">
        <f>IF('Assignment Tool'!C428="","",IF('Assignment Tool'!C428="FST",'Assignment Tool'!D428,""))</f>
        <v>OPP 933-1 REID RD</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OPP 3616-1 SPUNKY HOLLOW RD</v>
      </c>
      <c r="G429" t="str">
        <f>IF('Assignment Tool'!C429="","",IF('Assignment Tool'!C429="FST",'Assignment Tool'!D429,""))</f>
        <v>OPP 1045-1 REID RD</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OPP 3616-1 SPUNKY HOLLOW RD</v>
      </c>
      <c r="G430" t="str">
        <f>IF('Assignment Tool'!C430="","",IF('Assignment Tool'!C430="FST",'Assignment Tool'!D430,""))</f>
        <v>F 1091-1 REID RD</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OPP 3616-1 SPUNKY HOLLOW RD</v>
      </c>
      <c r="G431" t="str">
        <f>IF('Assignment Tool'!C431="","",IF('Assignment Tool'!C431="FST",'Assignment Tool'!D431,""))</f>
        <v>OPP 1177-1 REID RD</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OPP 3616-1 SPUNKY HOLLOW RD</v>
      </c>
      <c r="G432" t="str">
        <f>IF('Assignment Tool'!C432="","",IF('Assignment Tool'!C432="FST",'Assignment Tool'!D432,""))</f>
        <v>F 1172-1 REID RD</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OPP 3616-1 SPUNKY HOLLOW RD</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OPP 3616-1 SPUNKY HOLLOW RD</v>
      </c>
      <c r="G434" t="str">
        <f>IF('Assignment Tool'!C434="","",IF('Assignment Tool'!C434="FST",'Assignment Tool'!D434,""))</f>
        <v>OPP 1225-1 REID RD</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OPP 3616-1 SPUNKY HOLLOW RD</v>
      </c>
      <c r="G435" t="str">
        <f>IF('Assignment Tool'!C435="","",IF('Assignment Tool'!C435="FST",'Assignment Tool'!D435,""))</f>
        <v>OPP 2985-1 REID RD</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OPP 3616-1 SPUNKY HOLLOW RD</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OPP 3616-1 SPUNKY HOLLOW RD</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OPP 3616-1 SPUNKY HOLLOW RD</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OPP 3616-1 SPUNKY HOLLOW RD</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OPP 3616-1 SPUNKY HOLLOW RD</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F 3983-1 SPUNKY HOLLOW RD</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F 3983-1 SPUNKY HOLLOW RD</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F 3983-1 SPUNKY HOLLOW RD</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F 3983-1 SPUNKY HOLLOW RD</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F 4075-1 SPUNKY HOLLOW RD</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F 4075-1 SPUNKY HOLLOW RD</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F 4075-1 SPUNKY HOLLOW RD</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F 4075-1 SPUNKY HOLLOW RD</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F 4075-1 SPUNKY HOLLOW RD</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F 4075-1 SPUNKY HOLLOW RD</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F 4075-1 SPUNKY HOLLOW RD</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F 4075-1 SPUNKY HOLLOW RD</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526-1 TAWBUSH RD</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576-1 TAWBUSH RD</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61-1 HOLT DR</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115-1 HOLT DR</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OPP 160-1 HOLT DR</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342-1 HOLT DR</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26481-1 STATE HWY 79</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OPP 26520-1 STATE HWY 79</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26661-1 STATE HWY 79</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49-1 WATER OAK DR</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106-1 WATER OAK DR</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F 133-1 WATER OAK DR</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2948-1 SPUNKY HOLLOW RD</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2838-1 SPUNKY HOLLOW RD</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2768-1 SPUNKY HOLLOW RD</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OPP 3042-1 SPUNKY HOLLOW RD</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OPP 3060-1 SPUNKY HOLLOW RD</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3288-1 SPUNKY HOLLOW RD</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OPP 26676-1 STATE HWY 79</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F 26819-1 STATE HWY 79</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OPP 26966-1 STATE HWY 79</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F 2662-1 SPUNKY HOLLOW RD</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F 2610-1 SPUNKY HOLLOW RD</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F 2562-1 SPUNKY HOLLOW RD</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F 2524-1 SPUNKY HOLLOW RD</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55-1 HONEYCUTT RD</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F 81-1 PINE VIEW DR</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OPP 109-1 PINE VIEW DR</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OPP 198-1 PINE VIEW DR</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F 280-1 PINE VIEW DR</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OPP 3461-1 SPUNKY HOLLOW RD</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F 3418-1 SPUNKY HOLLOW RD</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F 3530-1 SPUNKY HOLLOW RD</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F 56-1 TAWBUSH LN</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F 131-1 TAWBUSH LN</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S 118-1 TAWBUSH LN</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F 151-1 HONEYCUTT RD</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F 183-1 HONEYCUTT RD</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R 215-1 HONEYCUTT RD</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3585-1 SPUNKY HOLLOW RD</v>
      </c>
    </row>
    <row r="1002" spans="1:11" x14ac:dyDescent="0.25">
      <c r="G1002" t="str">
        <f>IF('Assignment Tool'!C1002="","",IF('Assignment Tool'!C1002="FST",'Assignment Tool'!D1002,""))</f>
        <v/>
      </c>
    </row>
    <row r="1003" spans="1:11" x14ac:dyDescent="0.25">
      <c r="G1003" t="str">
        <f>IF('Assignment Tool'!C1003="","",IF('Assignment Tool'!C1003="FST",'Assignment Tool'!D1003,""))</f>
        <v>F 3745-1 SPUNKY HOLLOW RD</v>
      </c>
    </row>
    <row r="1004" spans="1:11" x14ac:dyDescent="0.25">
      <c r="G1004" t="str">
        <f>IF('Assignment Tool'!C1004="","",IF('Assignment Tool'!C1004="FST",'Assignment Tool'!D1004,""))</f>
        <v>F 3590-1 SPUNKY HOLLOW RD</v>
      </c>
    </row>
    <row r="1005" spans="1:11" x14ac:dyDescent="0.25">
      <c r="G1005" t="str">
        <f>IF('Assignment Tool'!C1005="","",IF('Assignment Tool'!C1005="FST",'Assignment Tool'!D1005,""))</f>
        <v>F 3945-1 SPUNKY HOLLOW RD</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OPP 3616-1 SPUNKY HOLLOW RD</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F 3983-1 SPUNKY HOLLOW RD</v>
      </c>
    </row>
    <row r="1084" spans="7:7" x14ac:dyDescent="0.25">
      <c r="G1084" t="str">
        <f>IF('Assignment Tool'!C1084="","",IF('Assignment Tool'!C1084="FST",'Assignment Tool'!D1084,""))</f>
        <v>F 4075-1 SPUNKY HOLLOW RD</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F13" sqref="F13"/>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v>2</v>
      </c>
      <c r="C6" s="4">
        <v>60</v>
      </c>
      <c r="D6" s="4">
        <v>60</v>
      </c>
      <c r="E6" s="4"/>
      <c r="F6" s="4"/>
      <c r="G6" s="4"/>
      <c r="H6" s="4"/>
      <c r="I6" s="4"/>
      <c r="J6" s="4"/>
      <c r="K6" s="4"/>
      <c r="L6" s="4"/>
      <c r="M6" s="4"/>
      <c r="N6" s="4"/>
      <c r="O6" s="4"/>
      <c r="P6" s="4"/>
      <c r="Q6" s="4"/>
      <c r="R6" s="4"/>
      <c r="S6" s="4"/>
      <c r="T6" s="4"/>
      <c r="U6" s="4"/>
      <c r="V6" s="4"/>
      <c r="W6" s="4">
        <v>92</v>
      </c>
      <c r="X6" s="4">
        <v>96</v>
      </c>
      <c r="Y6" s="4"/>
      <c r="Z6" s="4"/>
      <c r="AA6" s="4"/>
      <c r="AB6" s="4"/>
      <c r="AC6" s="4"/>
      <c r="AD6" s="4"/>
      <c r="AE6" s="4"/>
      <c r="AF6" s="4"/>
      <c r="AG6" s="4"/>
      <c r="AH6" s="4"/>
      <c r="AI6" s="4"/>
      <c r="AJ6" s="4"/>
      <c r="AK6" s="4"/>
      <c r="AL6" s="4"/>
      <c r="AM6" s="4"/>
      <c r="AN6" s="4"/>
      <c r="AO6" s="4"/>
      <c r="AP6" s="4"/>
    </row>
    <row r="7" spans="1:42" x14ac:dyDescent="0.25">
      <c r="A7" s="6">
        <v>8</v>
      </c>
      <c r="B7" s="5">
        <v>2</v>
      </c>
      <c r="C7" s="4">
        <v>62</v>
      </c>
      <c r="D7" s="4">
        <v>60</v>
      </c>
      <c r="E7" s="4"/>
      <c r="F7" s="4"/>
      <c r="G7" s="4"/>
      <c r="H7" s="4"/>
      <c r="I7" s="4"/>
      <c r="J7" s="4"/>
      <c r="K7" s="4"/>
      <c r="L7" s="4"/>
      <c r="M7" s="4"/>
      <c r="N7" s="4"/>
      <c r="O7" s="4"/>
      <c r="P7" s="4"/>
      <c r="Q7" s="4"/>
      <c r="R7" s="4"/>
      <c r="S7" s="4"/>
      <c r="T7" s="4"/>
      <c r="U7" s="4"/>
      <c r="V7" s="4"/>
      <c r="W7" s="4">
        <v>124</v>
      </c>
      <c r="X7" s="4"/>
      <c r="Y7" s="4"/>
      <c r="Z7" s="4"/>
      <c r="AA7" s="4"/>
      <c r="AB7" s="4"/>
      <c r="AC7" s="4"/>
      <c r="AD7" s="4"/>
      <c r="AE7" s="4"/>
      <c r="AF7" s="4"/>
      <c r="AG7" s="4"/>
      <c r="AH7" s="4"/>
      <c r="AI7" s="4"/>
      <c r="AJ7" s="4"/>
      <c r="AK7" s="4"/>
      <c r="AL7" s="4"/>
      <c r="AM7" s="4"/>
      <c r="AN7" s="4"/>
      <c r="AO7" s="4"/>
      <c r="AP7" s="4"/>
    </row>
    <row r="8" spans="1:42" x14ac:dyDescent="0.25">
      <c r="A8" s="6">
        <v>9</v>
      </c>
      <c r="B8" s="5">
        <v>1</v>
      </c>
      <c r="C8" s="4">
        <v>62</v>
      </c>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v>1</v>
      </c>
      <c r="C9" s="4">
        <v>60</v>
      </c>
      <c r="D9" s="4"/>
      <c r="E9" s="4"/>
      <c r="F9" s="4"/>
      <c r="G9" s="4"/>
      <c r="H9" s="4"/>
      <c r="I9" s="4"/>
      <c r="J9" s="4"/>
      <c r="K9" s="4"/>
      <c r="L9" s="4"/>
      <c r="M9" s="4"/>
      <c r="N9" s="4"/>
      <c r="O9" s="4"/>
      <c r="P9" s="4"/>
      <c r="Q9" s="4"/>
      <c r="R9" s="4"/>
      <c r="S9" s="4"/>
      <c r="T9" s="4"/>
      <c r="U9" s="4"/>
      <c r="V9" s="4"/>
      <c r="W9" s="4">
        <v>99</v>
      </c>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v>1</v>
      </c>
      <c r="C26" s="4">
        <v>38</v>
      </c>
      <c r="D26" s="4"/>
      <c r="E26" s="4"/>
      <c r="F26" s="4"/>
      <c r="G26" s="4"/>
      <c r="H26" s="4"/>
      <c r="I26" s="4"/>
      <c r="J26" s="4"/>
      <c r="K26" s="4"/>
      <c r="L26" s="4"/>
      <c r="M26" s="4"/>
      <c r="N26" s="4"/>
      <c r="O26" s="4"/>
      <c r="P26" s="4"/>
      <c r="Q26" s="4"/>
      <c r="R26" s="4"/>
      <c r="S26" s="4"/>
      <c r="T26" s="4"/>
      <c r="U26" s="4"/>
      <c r="V26" s="4"/>
      <c r="W26" s="4">
        <v>57</v>
      </c>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3" t="s">
        <v>63</v>
      </c>
      <c r="C2" s="263"/>
      <c r="D2" s="263"/>
      <c r="E2" s="129"/>
      <c r="F2" s="129"/>
      <c r="G2" s="271" t="s">
        <v>64</v>
      </c>
      <c r="H2" s="271"/>
      <c r="I2" s="271"/>
      <c r="J2" s="130"/>
      <c r="K2" s="131"/>
      <c r="L2" s="271" t="s">
        <v>65</v>
      </c>
      <c r="M2" s="271"/>
      <c r="N2" s="271"/>
      <c r="O2" s="130"/>
      <c r="P2" s="131"/>
      <c r="Q2" s="271" t="s">
        <v>66</v>
      </c>
      <c r="R2" s="271"/>
      <c r="S2" s="271"/>
      <c r="T2" s="130"/>
      <c r="U2" s="131"/>
      <c r="V2" s="271" t="s">
        <v>67</v>
      </c>
      <c r="W2" s="271"/>
      <c r="X2" s="271"/>
      <c r="Y2" s="130"/>
      <c r="Z2" s="131"/>
      <c r="AA2" s="271" t="s">
        <v>68</v>
      </c>
      <c r="AB2" s="271"/>
      <c r="AC2" s="271"/>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4" t="s">
        <v>69</v>
      </c>
      <c r="C3" s="264"/>
      <c r="D3" s="143">
        <f>SUM('8645C Innerduct'!C2:AF499)</f>
        <v>870</v>
      </c>
      <c r="E3" s="129"/>
      <c r="F3" s="129"/>
      <c r="G3" s="266" t="s">
        <v>70</v>
      </c>
      <c r="H3" s="267"/>
      <c r="I3" s="137" t="str">
        <f>IFERROR(IF(AND(#REF!="Y",#REF!="N"),I4,IF(AND(I4&gt;0,End_Sections!B2="B"),IF(#REF!&lt;1000,I4+10,I4+20),I4)),"")</f>
        <v/>
      </c>
      <c r="J3" s="130"/>
      <c r="K3" s="131"/>
      <c r="L3" s="266" t="s">
        <v>70</v>
      </c>
      <c r="M3" s="267"/>
      <c r="N3" s="137" t="str">
        <f>IFERROR(IF(AND(#REF!="Y",#REF!="N"),N4,IF(AND(N4&gt;0,End_Sections!C2="B"),IF(#REF!&lt;1000,N4+10,N4+20),N4)),"")</f>
        <v/>
      </c>
      <c r="O3" s="130"/>
      <c r="P3" s="131"/>
      <c r="Q3" s="266" t="s">
        <v>70</v>
      </c>
      <c r="R3" s="267"/>
      <c r="S3" s="137" t="str">
        <f>IFERROR(IF(AND(#REF!="Y",#REF!="N"),S4,IF(AND(S4&gt;0,End_Sections!D2="B"),IF(#REF!&lt;1000,S4+10,S4+20),S4)),"")</f>
        <v/>
      </c>
      <c r="T3" s="130"/>
      <c r="U3" s="131"/>
      <c r="V3" s="266" t="s">
        <v>70</v>
      </c>
      <c r="W3" s="267"/>
      <c r="X3" s="137" t="str">
        <f>IFERROR(IF(AND(#REF!="Y",#REF!="N"),X4,IF(AND(X4&gt;0,End_Sections!E2="B"),IF(#REF!&lt;1000,X4+10,X4+20),X4)),"")</f>
        <v/>
      </c>
      <c r="Y3" s="130"/>
      <c r="Z3" s="131"/>
      <c r="AA3" s="266" t="s">
        <v>70</v>
      </c>
      <c r="AB3" s="267"/>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4" t="s">
        <v>71</v>
      </c>
      <c r="C4" s="264"/>
      <c r="D4" s="143">
        <f>D3-(COUNTA('8645C Innerduct'!C2:V499)*4)</f>
        <v>842</v>
      </c>
      <c r="E4" s="129"/>
      <c r="F4" s="129"/>
      <c r="G4" s="266" t="s">
        <v>72</v>
      </c>
      <c r="H4" s="267"/>
      <c r="I4" s="137" t="str">
        <f>IFERROR(IF(#REF!="","",IF(Aerial!D2="",#REF!,#REF!-(SUM(Aerial!D2,Aerial!D3,End_Sections!B4,End_Sections!B9)))),"")</f>
        <v/>
      </c>
      <c r="J4" s="130"/>
      <c r="K4" s="131"/>
      <c r="L4" s="266" t="s">
        <v>72</v>
      </c>
      <c r="M4" s="267"/>
      <c r="N4" s="137" t="str">
        <f>IFERROR(IF(#REF!="","",IF(Aerial!H2="",#REF!,#REF!-(SUM(Aerial!H2,Aerial!H3,End_Sections!C4,End_Sections!C9)))),"")</f>
        <v/>
      </c>
      <c r="O4" s="130"/>
      <c r="P4" s="131"/>
      <c r="Q4" s="266" t="s">
        <v>72</v>
      </c>
      <c r="R4" s="267"/>
      <c r="S4" s="137" t="str">
        <f>IFERROR(IF(#REF!="","",IF(Aerial!L2="",#REF!,#REF!-(SUM(Aerial!L2,Aerial!L3,End_Sections!D4,End_Sections!D9)))),"")</f>
        <v/>
      </c>
      <c r="T4" s="130"/>
      <c r="U4" s="131"/>
      <c r="V4" s="266" t="s">
        <v>72</v>
      </c>
      <c r="W4" s="267"/>
      <c r="X4" s="137" t="str">
        <f>IFERROR(IF(#REF!="","",IF(Aerial!P2="",#REF!,#REF!-(SUM(Aerial!P2,Aerial!P3,End_Sections!E4,End_Sections!E9)))),"")</f>
        <v/>
      </c>
      <c r="Y4" s="130"/>
      <c r="Z4" s="131"/>
      <c r="AA4" s="266" t="s">
        <v>72</v>
      </c>
      <c r="AB4" s="267"/>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4" t="s">
        <v>73</v>
      </c>
      <c r="C5" s="264"/>
      <c r="D5" s="143">
        <f>SUM('8645C Innerduct'!W2:AF499)</f>
        <v>468</v>
      </c>
      <c r="E5" s="129"/>
      <c r="F5" s="129"/>
      <c r="G5" s="266" t="s">
        <v>71</v>
      </c>
      <c r="H5" s="268"/>
      <c r="I5" s="137" t="str">
        <f>IFERROR(IF(#REF!="","",I4-(SUM(#REF!))-(SUM(End_Sections!B3,End_Sections!B8))),"")</f>
        <v/>
      </c>
      <c r="J5" s="130"/>
      <c r="K5" s="131"/>
      <c r="L5" s="266" t="s">
        <v>71</v>
      </c>
      <c r="M5" s="268"/>
      <c r="N5" s="137" t="str">
        <f>IFERROR(IF(#REF!="","",N4-(SUM(#REF!))-(SUM(End_Sections!C3,End_Sections!C8))),"")</f>
        <v/>
      </c>
      <c r="O5" s="130"/>
      <c r="P5" s="131"/>
      <c r="Q5" s="266" t="s">
        <v>71</v>
      </c>
      <c r="R5" s="268"/>
      <c r="S5" s="137" t="str">
        <f>IFERROR(IF(#REF!="","",S4-(SUM(#REF!))-(SUM(End_Sections!D3,End_Sections!D8))),"")</f>
        <v/>
      </c>
      <c r="T5" s="130"/>
      <c r="U5" s="131"/>
      <c r="V5" s="266" t="s">
        <v>71</v>
      </c>
      <c r="W5" s="268"/>
      <c r="X5" s="137" t="str">
        <f>IFERROR(IF(#REF!="","",X4-(SUM(#REF!))-(SUM(End_Sections!E3,End_Sections!E8))),"")</f>
        <v/>
      </c>
      <c r="Y5" s="130"/>
      <c r="Z5" s="131"/>
      <c r="AA5" s="266" t="s">
        <v>71</v>
      </c>
      <c r="AB5" s="268"/>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4" t="s">
        <v>74</v>
      </c>
      <c r="C6" s="264"/>
      <c r="D6" s="143">
        <f>SUM('8645C Innerduct'!AG2:AP499)</f>
        <v>0</v>
      </c>
      <c r="E6" s="129"/>
      <c r="F6" s="129"/>
      <c r="G6" s="266" t="s">
        <v>75</v>
      </c>
      <c r="H6" s="268"/>
      <c r="I6" s="137" t="str">
        <f>IFERROR(IF(AND(#REF!="Y",#REF!="N"),J6,IF(End_Sections!B2="A",IF(#REF!&lt;1000,J6+10,J6+20),J6)),"")</f>
        <v/>
      </c>
      <c r="J6" s="138" t="e">
        <f>IF(K6=0,"",K6)</f>
        <v>#REF!</v>
      </c>
      <c r="K6" s="131" t="e">
        <f>IF(I$4=0,#REF!,IF(Aerial!D3="",SUM(Aerial!D2,End_Sections!B4,End_Sections!B9),Aerial!D2))</f>
        <v>#REF!</v>
      </c>
      <c r="L6" s="266" t="s">
        <v>75</v>
      </c>
      <c r="M6" s="268"/>
      <c r="N6" s="137" t="str">
        <f>IFERROR(IF(AND(#REF!="Y",#REF!="N"),O6,IF(End_Sections!C2="A",IF(#REF!&lt;1000,O6+10,O6+20),O6)),"")</f>
        <v/>
      </c>
      <c r="O6" s="138" t="e">
        <f>IF(P6=0,"",P6)</f>
        <v>#REF!</v>
      </c>
      <c r="P6" s="131" t="e">
        <f>IF(N$4=0,#REF!,IF(Aerial!H3="",SUM(Aerial!H2,End_Sections!C4,End_Sections!C9),Aerial!H2))</f>
        <v>#REF!</v>
      </c>
      <c r="Q6" s="266" t="s">
        <v>75</v>
      </c>
      <c r="R6" s="268"/>
      <c r="S6" s="137" t="str">
        <f>IFERROR(IF(AND(#REF!="Y",#REF!="N"),T6,IF(End_Sections!D2="A",IF(#REF!&lt;1000,T6+10,T6+20),T6)),"")</f>
        <v/>
      </c>
      <c r="T6" s="138" t="e">
        <f>IF(U6=0,"",U6)</f>
        <v>#REF!</v>
      </c>
      <c r="U6" s="131" t="e">
        <f>IF(S$4=0,#REF!,IF(Aerial!L3="",SUM(Aerial!L2,End_Sections!D4,End_Sections!D9),Aerial!L2))</f>
        <v>#REF!</v>
      </c>
      <c r="V6" s="266" t="s">
        <v>75</v>
      </c>
      <c r="W6" s="268"/>
      <c r="X6" s="137" t="str">
        <f>IFERROR(IF(AND(#REF!="Y",#REF!="N"),Y6,IF(End_Sections!E2="A",IF(#REF!&lt;1000,Y6+10,Y6+20),Y6)),"")</f>
        <v/>
      </c>
      <c r="Y6" s="138" t="e">
        <f>IF(Z6=0,"",Z6)</f>
        <v>#REF!</v>
      </c>
      <c r="Z6" s="131" t="e">
        <f>IF(X$4=0,#REF!,IF(Aerial!P3="",SUM(Aerial!P2,End_Sections!E4,End_Sections!E9),Aerial!P2))</f>
        <v>#REF!</v>
      </c>
      <c r="AA6" s="266" t="s">
        <v>75</v>
      </c>
      <c r="AB6" s="268"/>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4" t="s">
        <v>76</v>
      </c>
      <c r="C7" s="264"/>
      <c r="D7" s="144">
        <f>SUM('8645C Innerduct'!B:B)</f>
        <v>7</v>
      </c>
      <c r="E7" s="129"/>
      <c r="F7" s="129"/>
      <c r="G7" s="266" t="s">
        <v>77</v>
      </c>
      <c r="H7" s="268"/>
      <c r="I7" s="137" t="e">
        <f>J7</f>
        <v>#REF!</v>
      </c>
      <c r="J7" s="138" t="e">
        <f>IF(K7="","",K7)</f>
        <v>#REF!</v>
      </c>
      <c r="K7" s="131" t="e">
        <f>IF(J6="","",IF(Aerial!D3="","",SUM(Aerial!D3,End_Sections!B9)))</f>
        <v>#REF!</v>
      </c>
      <c r="L7" s="266" t="s">
        <v>77</v>
      </c>
      <c r="M7" s="268"/>
      <c r="N7" s="137" t="e">
        <f>O7</f>
        <v>#REF!</v>
      </c>
      <c r="O7" s="138" t="e">
        <f>IF(P7="","",P7)</f>
        <v>#REF!</v>
      </c>
      <c r="P7" s="131" t="e">
        <f>IF(O6="","",IF(Aerial!H3="","",SUM(Aerial!H3,End_Sections!C9)))</f>
        <v>#REF!</v>
      </c>
      <c r="Q7" s="266" t="s">
        <v>77</v>
      </c>
      <c r="R7" s="268"/>
      <c r="S7" s="137" t="e">
        <f>T7</f>
        <v>#REF!</v>
      </c>
      <c r="T7" s="138" t="e">
        <f>IF(U7="","",U7)</f>
        <v>#REF!</v>
      </c>
      <c r="U7" s="131" t="e">
        <f>IF(T6="","",IF(Aerial!L3="","",SUM(Aerial!L3,End_Sections!D9)))</f>
        <v>#REF!</v>
      </c>
      <c r="V7" s="266" t="s">
        <v>77</v>
      </c>
      <c r="W7" s="268"/>
      <c r="X7" s="137" t="e">
        <f>Y7</f>
        <v>#REF!</v>
      </c>
      <c r="Y7" s="138" t="e">
        <f>IF(Z7="","",Z7)</f>
        <v>#REF!</v>
      </c>
      <c r="Z7" s="131" t="e">
        <f>IF(Y6="","",IF(Aerial!P3="","",SUM(Aerial!P3,End_Sections!E9)))</f>
        <v>#REF!</v>
      </c>
      <c r="AA7" s="266" t="s">
        <v>77</v>
      </c>
      <c r="AB7" s="268"/>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9"/>
      <c r="H8" s="269"/>
      <c r="I8" s="132"/>
      <c r="J8" s="133"/>
      <c r="K8" s="131" t="e">
        <f>K7</f>
        <v>#REF!</v>
      </c>
      <c r="L8" s="269"/>
      <c r="M8" s="269"/>
      <c r="N8" s="132"/>
      <c r="O8" s="133"/>
      <c r="P8" s="131"/>
      <c r="Q8" s="269"/>
      <c r="R8" s="269"/>
      <c r="S8" s="132"/>
      <c r="T8" s="133"/>
      <c r="U8" s="131"/>
      <c r="V8" s="269"/>
      <c r="W8" s="269"/>
      <c r="X8" s="132"/>
      <c r="Y8" s="133"/>
      <c r="Z8" s="131"/>
      <c r="AA8" s="269"/>
      <c r="AB8" s="269"/>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9"/>
      <c r="H9" s="269"/>
      <c r="I9" s="132"/>
      <c r="J9" s="133"/>
      <c r="K9" s="131"/>
      <c r="L9" s="269"/>
      <c r="M9" s="269"/>
      <c r="N9" s="132"/>
      <c r="O9" s="133"/>
      <c r="P9" s="131"/>
      <c r="Q9" s="269"/>
      <c r="R9" s="269"/>
      <c r="S9" s="132"/>
      <c r="T9" s="133"/>
      <c r="U9" s="131"/>
      <c r="V9" s="269"/>
      <c r="W9" s="269"/>
      <c r="X9" s="132"/>
      <c r="Y9" s="133"/>
      <c r="Z9" s="131"/>
      <c r="AA9" s="269"/>
      <c r="AB9" s="269"/>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1" t="s">
        <v>78</v>
      </c>
      <c r="H10" s="271"/>
      <c r="I10" s="271"/>
      <c r="J10" s="130"/>
      <c r="K10" s="131"/>
      <c r="L10" s="271" t="s">
        <v>79</v>
      </c>
      <c r="M10" s="271"/>
      <c r="N10" s="271"/>
      <c r="O10" s="130"/>
      <c r="P10" s="131"/>
      <c r="Q10" s="271" t="s">
        <v>80</v>
      </c>
      <c r="R10" s="271"/>
      <c r="S10" s="271"/>
      <c r="T10" s="130"/>
      <c r="U10" s="131"/>
      <c r="V10" s="271" t="s">
        <v>81</v>
      </c>
      <c r="W10" s="271"/>
      <c r="X10" s="271"/>
      <c r="Y10" s="130"/>
      <c r="Z10" s="131"/>
      <c r="AA10" s="271" t="s">
        <v>82</v>
      </c>
      <c r="AB10" s="271"/>
      <c r="AC10" s="271"/>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3" t="s">
        <v>83</v>
      </c>
      <c r="C11" s="263"/>
      <c r="D11" s="263"/>
      <c r="E11" s="129"/>
      <c r="F11" s="129"/>
      <c r="G11" s="266" t="s">
        <v>70</v>
      </c>
      <c r="H11" s="267"/>
      <c r="I11" s="137" t="str">
        <f>IFERROR(IF(AND(#REF!="Y",#REF!="N"),I12,IF(AND(I12&gt;0,End_Sections!G2="B"),IF(#REF!&lt;1000,I12+10,I12+20),I12)),"")</f>
        <v/>
      </c>
      <c r="J11" s="130"/>
      <c r="K11" s="131"/>
      <c r="L11" s="266" t="s">
        <v>70</v>
      </c>
      <c r="M11" s="267"/>
      <c r="N11" s="137" t="str">
        <f>IFERROR(IF(AND(#REF!="Y",#REF!="N"),N12,IF(AND(N12&gt;0,End_Sections!H2="B"),IF(#REF!&lt;1000,N12+10,N12+20),N12)),"")</f>
        <v/>
      </c>
      <c r="O11" s="130"/>
      <c r="P11" s="131"/>
      <c r="Q11" s="266" t="s">
        <v>70</v>
      </c>
      <c r="R11" s="267"/>
      <c r="S11" s="137" t="str">
        <f>IFERROR(IF(AND(#REF!="Y",#REF!="N"),S12,IF(AND(S12&gt;0,End_Sections!I2="B"),IF(#REF!&lt;1000,S12+10,S12+20),S12)),"")</f>
        <v/>
      </c>
      <c r="T11" s="130"/>
      <c r="U11" s="131"/>
      <c r="V11" s="266" t="s">
        <v>70</v>
      </c>
      <c r="W11" s="267"/>
      <c r="X11" s="137" t="str">
        <f>IFERROR(IF(AND(#REF!="Y",#REF!="N"),X12,IF(AND(X12&gt;0,End_Sections!J2="B"),IF(#REF!&lt;1000,X12+10,X12+20),X12)),"")</f>
        <v/>
      </c>
      <c r="Y11" s="130"/>
      <c r="Z11" s="131"/>
      <c r="AA11" s="266" t="s">
        <v>70</v>
      </c>
      <c r="AB11" s="267"/>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2" t="s">
        <v>84</v>
      </c>
      <c r="C12" s="272"/>
      <c r="D12" s="144">
        <f>Data!E2</f>
        <v>71</v>
      </c>
      <c r="E12" s="129"/>
      <c r="F12" s="129"/>
      <c r="G12" s="266" t="s">
        <v>72</v>
      </c>
      <c r="H12" s="267"/>
      <c r="I12" s="137" t="str">
        <f>IFERROR(IF(#REF!="","",IF(Aerial!X2="",#REF!,#REF!-(SUM(Aerial!X2,Aerial!X3,,End_Sections!G4,End_Sections!G9)))),"")</f>
        <v/>
      </c>
      <c r="J12" s="130"/>
      <c r="K12" s="131"/>
      <c r="L12" s="266" t="s">
        <v>72</v>
      </c>
      <c r="M12" s="267"/>
      <c r="N12" s="137" t="str">
        <f>IFERROR(IF(#REF!="","",IF(Aerial!AB2="",#REF!,#REF!-(SUM(Aerial!AB2,Aerial!AB3,End_Sections!H4,End_Sections!H9)))),"")</f>
        <v/>
      </c>
      <c r="O12" s="130"/>
      <c r="P12" s="131"/>
      <c r="Q12" s="266" t="s">
        <v>72</v>
      </c>
      <c r="R12" s="267"/>
      <c r="S12" s="137" t="str">
        <f>IFERROR(IF(#REF!="","",IF(Aerial!AF2="",#REF!,#REF!-(SUM(Aerial!AF2,Aerial!AF3,End_Sections!I4,End_Sections!I9)))),"")</f>
        <v/>
      </c>
      <c r="T12" s="130"/>
      <c r="U12" s="131"/>
      <c r="V12" s="266" t="s">
        <v>72</v>
      </c>
      <c r="W12" s="267"/>
      <c r="X12" s="137" t="str">
        <f>IFERROR(IF(#REF!="","",IF(Aerial!AJ2="",#REF!,#REF!-(SUM(Aerial!AJ2,Aerial!AJ3,End_Sections!J4,End_Sections!J9)))),"")</f>
        <v/>
      </c>
      <c r="Y12" s="130"/>
      <c r="Z12" s="131"/>
      <c r="AA12" s="266" t="s">
        <v>72</v>
      </c>
      <c r="AB12" s="267"/>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2" t="s">
        <v>85</v>
      </c>
      <c r="C13" s="272"/>
      <c r="D13" s="144">
        <f>Data!E3</f>
        <v>0</v>
      </c>
      <c r="E13" s="129"/>
      <c r="F13" s="129"/>
      <c r="G13" s="266" t="s">
        <v>71</v>
      </c>
      <c r="H13" s="268"/>
      <c r="I13" s="137" t="str">
        <f>IFERROR(IF(#REF!="","",I12-(SUM(#REF!))-(SUM(End_Sections!G3,End_Sections!G8))),"")</f>
        <v/>
      </c>
      <c r="J13" s="130"/>
      <c r="K13" s="131"/>
      <c r="L13" s="266" t="s">
        <v>71</v>
      </c>
      <c r="M13" s="268"/>
      <c r="N13" s="137" t="str">
        <f>IFERROR(IF(#REF!="","",N12-(SUM(#REF!))-(SUM(End_Sections!H3,End_Sections!H8))),"")</f>
        <v/>
      </c>
      <c r="O13" s="130"/>
      <c r="P13" s="131"/>
      <c r="Q13" s="266" t="s">
        <v>71</v>
      </c>
      <c r="R13" s="268"/>
      <c r="S13" s="137" t="str">
        <f>IFERROR(IF(#REF!="","",S12-(SUM(#REF!))-(SUM(End_Sections!I3,End_Sections!I8))),"")</f>
        <v/>
      </c>
      <c r="T13" s="130"/>
      <c r="U13" s="131"/>
      <c r="V13" s="266" t="s">
        <v>71</v>
      </c>
      <c r="W13" s="268"/>
      <c r="X13" s="137" t="str">
        <f>IFERROR(IF(#REF!="","",X12-(SUM(#REF!))-(SUM(End_Sections!J3,End_Sections!J8))),"")</f>
        <v/>
      </c>
      <c r="Y13" s="130"/>
      <c r="Z13" s="131"/>
      <c r="AA13" s="266" t="s">
        <v>71</v>
      </c>
      <c r="AB13" s="268"/>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2" t="s">
        <v>86</v>
      </c>
      <c r="C14" s="272"/>
      <c r="D14" s="144">
        <f>Data!E4</f>
        <v>16</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2" t="s">
        <v>87</v>
      </c>
      <c r="C15" s="272"/>
      <c r="D15" s="144">
        <f>Data!E5</f>
        <v>4</v>
      </c>
      <c r="E15" s="129"/>
      <c r="F15" s="129"/>
      <c r="G15" s="266" t="s">
        <v>75</v>
      </c>
      <c r="H15" s="268"/>
      <c r="I15" s="137" t="str">
        <f>IFERROR(IF(AND(#REF!="Y",#REF!="N"),J15,IF(End_Sections!G2="A",IF(#REF!&lt;1000,J15+10,J15+20),J15)),"")</f>
        <v/>
      </c>
      <c r="J15" s="138" t="e">
        <f>IF(K15=0,"",K15)</f>
        <v>#REF!</v>
      </c>
      <c r="K15" s="131" t="e">
        <f>IF(I$12=0,#REF!,IF(Aerial!X3="",SUM(Aerial!X2,End_Sections!G4,End_Sections!G9),Aerial!X2))</f>
        <v>#REF!</v>
      </c>
      <c r="L15" s="266" t="s">
        <v>75</v>
      </c>
      <c r="M15" s="268"/>
      <c r="N15" s="137" t="str">
        <f>IFERROR(IF(AND(#REF!="Y",#REF!="N"),O15,IF(End_Sections!H2="A",IF(#REF!&lt;1000,O15+10,O15+20),O15)),"")</f>
        <v/>
      </c>
      <c r="O15" s="138" t="e">
        <f>IF(P15=0,"",P15)</f>
        <v>#REF!</v>
      </c>
      <c r="P15" s="131" t="e">
        <f>IF(N$12=0,#REF!,IF(Aerial!AB3="",SUM(Aerial!AB2,End_Sections!H4,End_Sections!H9),Aerial!AB2))</f>
        <v>#REF!</v>
      </c>
      <c r="Q15" s="266" t="s">
        <v>75</v>
      </c>
      <c r="R15" s="268"/>
      <c r="S15" s="137" t="str">
        <f>IFERROR(IF(AND(#REF!="Y",#REF!="N"),T15,IF(End_Sections!I2="A",IF(#REF!&lt;1000,T15+10,T15+20),T15)),"")</f>
        <v/>
      </c>
      <c r="T15" s="138" t="e">
        <f>IF(U15=0,"",U15)</f>
        <v>#REF!</v>
      </c>
      <c r="U15" s="131" t="e">
        <f>IF(S$12=0,#REF!,IF(Aerial!AF3="",SUM(Aerial!AF2,End_Sections!I4,End_Sections!I9),Aerial!AF2))</f>
        <v>#REF!</v>
      </c>
      <c r="V15" s="266" t="s">
        <v>75</v>
      </c>
      <c r="W15" s="268"/>
      <c r="X15" s="137" t="str">
        <f>IFERROR(IF(AND(#REF!="Y",#REF!="N"),Y15,IF(End_Sections!J2="A",IF(#REF!&lt;1000,Y15+10,Y15+20),Y15)),"")</f>
        <v/>
      </c>
      <c r="Y15" s="138" t="e">
        <f>IF(Z15=0,"",Z15)</f>
        <v>#REF!</v>
      </c>
      <c r="Z15" s="131" t="e">
        <f>IF(X$12=0,#REF!,IF(Aerial!AJ3="",SUM(Aerial!AJ2,End_Sections!J4,End_Sections!J9),Aerial!AJ2))</f>
        <v>#REF!</v>
      </c>
      <c r="AA15" s="266" t="s">
        <v>75</v>
      </c>
      <c r="AB15" s="268"/>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6" t="s">
        <v>70</v>
      </c>
      <c r="H16" s="267"/>
      <c r="I16" s="137" t="str">
        <f>IFERROR(IF(AND(#REF!="Y",#REF!="N"),I17,IF(AND(I17&gt;0,End_Sections!L2="B"),IF(#REF!&lt;1000,I17+10,I17+20),I17)),"")</f>
        <v/>
      </c>
      <c r="J16" s="130"/>
      <c r="K16" s="131"/>
      <c r="L16" s="266" t="s">
        <v>70</v>
      </c>
      <c r="M16" s="267"/>
      <c r="N16" s="137" t="str">
        <f>IFERROR(IF(AND(#REF!="Y",#REF!="N"),N17,IF(AND(N17&gt;0,End_Sections!M2="B"),IF(#REF!&lt;1000,N17+10,N17+20),N17)),"")</f>
        <v/>
      </c>
      <c r="O16" s="130"/>
      <c r="P16" s="131"/>
      <c r="Q16" s="266" t="s">
        <v>70</v>
      </c>
      <c r="R16" s="267"/>
      <c r="S16" s="137" t="str">
        <f>IFERROR(IF(AND(#REF!="Y",#REF!="N"),S17,IF(AND(S17&gt;0,End_Sections!N2="B"),IF(#REF!&lt;1000,S17+10,S17+20),S17)),"")</f>
        <v/>
      </c>
      <c r="T16" s="130"/>
      <c r="U16" s="131"/>
      <c r="V16" s="266" t="s">
        <v>70</v>
      </c>
      <c r="W16" s="267"/>
      <c r="X16" s="137" t="str">
        <f>IFERROR(IF(AND(#REF!="Y",#REF!="N"),X17,IF(AND(X17&gt;0,End_Sections!O2="B"),IF(#REF!&lt;1000,X17+10,X17+20),X17)),"")</f>
        <v/>
      </c>
      <c r="Y16" s="130"/>
      <c r="Z16" s="131"/>
      <c r="AA16" s="266" t="s">
        <v>70</v>
      </c>
      <c r="AB16" s="267"/>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6" t="s">
        <v>72</v>
      </c>
      <c r="H17" s="267"/>
      <c r="I17" s="137" t="str">
        <f>IFERROR(IF(#REF!="","",IF(Aerial!AR2="",#REF!,#REF!-(SUM(Aerial!AR2,Aerial!AR3,End_Sections!L4,End_Sections!L9)))),"")</f>
        <v/>
      </c>
      <c r="J17" s="130"/>
      <c r="K17" s="131"/>
      <c r="L17" s="266" t="s">
        <v>72</v>
      </c>
      <c r="M17" s="267"/>
      <c r="N17" s="137" t="str">
        <f>IFERROR(IF(#REF!="","",IF(Aerial!AV2="",#REF!,#REF!-(SUM(Aerial!AV2,Aerial!AV3,End_Sections!M4,End_Sections!M9)))),"")</f>
        <v/>
      </c>
      <c r="O17" s="130"/>
      <c r="P17" s="131"/>
      <c r="Q17" s="266" t="s">
        <v>72</v>
      </c>
      <c r="R17" s="267"/>
      <c r="S17" s="137" t="str">
        <f>IFERROR(IF(#REF!="","",IF(Aerial!AZ2="",#REF!,#REF!-(SUM(Aerial!AZ2,Aerial!AZ3,End_Sections!N4,End_Sections!N9)))),"")</f>
        <v/>
      </c>
      <c r="T17" s="130"/>
      <c r="U17" s="131"/>
      <c r="V17" s="266" t="s">
        <v>72</v>
      </c>
      <c r="W17" s="267"/>
      <c r="X17" s="137" t="str">
        <f>IFERROR(IF(#REF!="","",IF(Aerial!BD2="",#REF!,#REF!-(SUM(Aerial!BD2,Aerial!BD3,End_Sections!O4,End_Sections!O9)))),"")</f>
        <v/>
      </c>
      <c r="Y17" s="130"/>
      <c r="Z17" s="131"/>
      <c r="AA17" s="266" t="s">
        <v>72</v>
      </c>
      <c r="AB17" s="267"/>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6" t="s">
        <v>71</v>
      </c>
      <c r="H18" s="268"/>
      <c r="I18" s="137" t="str">
        <f>IFERROR(IF(#REF!="","",I17-(SUM(#REF!))-(SUM(End_Sections!L3,End_Sections!L8))),"")</f>
        <v/>
      </c>
      <c r="J18" s="130"/>
      <c r="K18" s="131"/>
      <c r="L18" s="266" t="s">
        <v>71</v>
      </c>
      <c r="M18" s="268"/>
      <c r="N18" s="137" t="str">
        <f>IFERROR(IF(#REF!="","",N17-(SUM(#REF!))-(SUM(End_Sections!M3,End_Sections!M8))),"")</f>
        <v/>
      </c>
      <c r="O18" s="130"/>
      <c r="P18" s="131"/>
      <c r="Q18" s="266" t="s">
        <v>71</v>
      </c>
      <c r="R18" s="268"/>
      <c r="S18" s="137" t="str">
        <f>IFERROR(IF(#REF!="","",S17-(SUM(#REF!))-(SUM(End_Sections!N3,End_Sections!N8))),"")</f>
        <v/>
      </c>
      <c r="T18" s="130"/>
      <c r="U18" s="131"/>
      <c r="V18" s="266" t="s">
        <v>71</v>
      </c>
      <c r="W18" s="268"/>
      <c r="X18" s="137" t="str">
        <f>IFERROR(IF(#REF!="","",X17-(SUM(#REF!))-(SUM(End_Sections!O3,End_Sections!O8))),"")</f>
        <v/>
      </c>
      <c r="Y18" s="130"/>
      <c r="Z18" s="131"/>
      <c r="AA18" s="266" t="s">
        <v>71</v>
      </c>
      <c r="AB18" s="268"/>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3" t="s">
        <v>88</v>
      </c>
      <c r="C19" s="263"/>
      <c r="D19" s="263"/>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6" t="s">
        <v>77</v>
      </c>
      <c r="H23" s="268"/>
      <c r="I23" s="137" t="e">
        <f>J23</f>
        <v>#REF!</v>
      </c>
      <c r="J23" s="138" t="e">
        <f>IF(K23=0,"",K23)</f>
        <v>#REF!</v>
      </c>
      <c r="K23" s="131" t="e">
        <f>IF(#REF!="","",IF(Aerial!AR3="","",SUM(Aerial!AR3,End_Sections!L9)))</f>
        <v>#REF!</v>
      </c>
      <c r="L23" s="266" t="s">
        <v>77</v>
      </c>
      <c r="M23" s="268"/>
      <c r="N23" s="137" t="e">
        <f>O23</f>
        <v>#REF!</v>
      </c>
      <c r="O23" s="138" t="e">
        <f>IF(P23=0,"",P23)</f>
        <v>#REF!</v>
      </c>
      <c r="P23" s="131" t="e">
        <f>IF(#REF!="","",IF(Aerial!AV3="","",SUM(Aerial!AV3,End_Sections!M9)))</f>
        <v>#REF!</v>
      </c>
      <c r="Q23" s="266" t="s">
        <v>77</v>
      </c>
      <c r="R23" s="268"/>
      <c r="S23" s="137" t="e">
        <f>T23</f>
        <v>#REF!</v>
      </c>
      <c r="T23" s="138" t="e">
        <f>IF(U23=0,"",U23)</f>
        <v>#REF!</v>
      </c>
      <c r="U23" s="131" t="e">
        <f>IF(#REF!="","",IF(Aerial!AZ3="","",SUM(Aerial!AZ3,End_Sections!N9)))</f>
        <v>#REF!</v>
      </c>
      <c r="V23" s="266" t="s">
        <v>77</v>
      </c>
      <c r="W23" s="268"/>
      <c r="X23" s="137" t="e">
        <f>Y23</f>
        <v>#REF!</v>
      </c>
      <c r="Y23" s="138" t="e">
        <f>IF(Z23=0,"",Z23)</f>
        <v>#REF!</v>
      </c>
      <c r="Z23" s="131" t="e">
        <f>IF(#REF!="","",IF(Aerial!BD3="","",SUM(Aerial!BD3,End_Sections!O9)))</f>
        <v>#REF!</v>
      </c>
      <c r="AA23" s="266" t="s">
        <v>77</v>
      </c>
      <c r="AB23" s="268"/>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3" t="s">
        <v>92</v>
      </c>
      <c r="C24" s="273"/>
      <c r="D24" s="273"/>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4" t="s">
        <v>93</v>
      </c>
      <c r="C25" s="264"/>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5" t="s">
        <v>94</v>
      </c>
      <c r="C26" s="265"/>
      <c r="D26" s="145"/>
      <c r="E26" s="129"/>
      <c r="F26" s="129"/>
      <c r="G26" s="271" t="s">
        <v>95</v>
      </c>
      <c r="H26" s="271"/>
      <c r="I26" s="271"/>
      <c r="J26" s="130"/>
      <c r="K26" s="131"/>
      <c r="L26" s="271" t="s">
        <v>96</v>
      </c>
      <c r="M26" s="271"/>
      <c r="N26" s="271"/>
      <c r="O26" s="130"/>
      <c r="P26" s="131"/>
      <c r="Q26" s="271" t="s">
        <v>97</v>
      </c>
      <c r="R26" s="271"/>
      <c r="S26" s="271"/>
      <c r="T26" s="130"/>
      <c r="U26" s="131"/>
      <c r="V26" s="271" t="s">
        <v>98</v>
      </c>
      <c r="W26" s="271"/>
      <c r="X26" s="271"/>
      <c r="Y26" s="130"/>
      <c r="Z26" s="131"/>
      <c r="AA26" s="271" t="s">
        <v>99</v>
      </c>
      <c r="AB26" s="271"/>
      <c r="AC26" s="271"/>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4" t="s">
        <v>100</v>
      </c>
      <c r="C27" s="264"/>
      <c r="D27" s="145"/>
      <c r="E27" s="129"/>
      <c r="F27" s="129"/>
      <c r="G27" s="266" t="s">
        <v>70</v>
      </c>
      <c r="H27" s="267"/>
      <c r="I27" s="137" t="str">
        <f>IFERROR(IF(AND(#REF!="Y",#REF!="N"),#REF!,IF(AND(#REF!&gt;0,End_Sections!Q2="B"),IF(#REF!&lt;1000,#REF!+10,#REF!+20),#REF!)),"")</f>
        <v/>
      </c>
      <c r="J27" s="130"/>
      <c r="K27" s="131"/>
      <c r="L27" s="266" t="s">
        <v>70</v>
      </c>
      <c r="M27" s="267"/>
      <c r="N27" s="137" t="str">
        <f>IFERROR(IF(AND(#REF!="Y",#REF!="N"),#REF!,IF(AND(#REF!&gt;0,End_Sections!R2="B"),IF(#REF!&lt;1000,#REF!+10,#REF!+20),#REF!)),"")</f>
        <v/>
      </c>
      <c r="O27" s="130"/>
      <c r="P27" s="131"/>
      <c r="Q27" s="266" t="s">
        <v>70</v>
      </c>
      <c r="R27" s="267"/>
      <c r="S27" s="137" t="str">
        <f>IFERROR(IF(AND(#REF!="Y",#REF!="N"),#REF!,IF(AND(#REF!&gt;0,End_Sections!S2="B"),IF(#REF!&lt;1000,#REF!+10,#REF!+20),#REF!)),"")</f>
        <v/>
      </c>
      <c r="T27" s="130"/>
      <c r="U27" s="131"/>
      <c r="V27" s="266" t="s">
        <v>70</v>
      </c>
      <c r="W27" s="267"/>
      <c r="X27" s="137" t="str">
        <f>IFERROR(IF(AND(#REF!="Y",#REF!="N"),#REF!,IF(AND(#REF!&gt;0,End_Sections!T2="B"),IF(#REF!&lt;1000,#REF!+10,#REF!+20),#REF!)),"")</f>
        <v/>
      </c>
      <c r="Y27" s="130"/>
      <c r="Z27" s="131"/>
      <c r="AA27" s="266" t="s">
        <v>70</v>
      </c>
      <c r="AB27" s="267"/>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5" t="s">
        <v>101</v>
      </c>
      <c r="C28" s="265"/>
      <c r="D28" s="145"/>
      <c r="E28" s="129"/>
      <c r="F28" s="129"/>
      <c r="G28" s="266" t="s">
        <v>71</v>
      </c>
      <c r="H28" s="268"/>
      <c r="I28" s="137" t="str">
        <f>IFERROR(IF(#REF!="","",#REF!-(SUM(#REF!))-(SUM(End_Sections!Q3,End_Sections!Q8))),"")</f>
        <v/>
      </c>
      <c r="J28" s="130"/>
      <c r="K28" s="131"/>
      <c r="L28" s="266" t="s">
        <v>71</v>
      </c>
      <c r="M28" s="268"/>
      <c r="N28" s="137" t="str">
        <f>IFERROR(IF(#REF!="","",#REF!-(SUM(#REF!))-(SUM(End_Sections!R3,End_Sections!R8))),"")</f>
        <v/>
      </c>
      <c r="O28" s="130"/>
      <c r="P28" s="131"/>
      <c r="Q28" s="266" t="s">
        <v>71</v>
      </c>
      <c r="R28" s="268"/>
      <c r="S28" s="137" t="str">
        <f>IFERROR(IF(#REF!="","",#REF!-(SUM(#REF!))-(SUM(End_Sections!S3,End_Sections!S8))),"")</f>
        <v/>
      </c>
      <c r="T28" s="130"/>
      <c r="U28" s="131"/>
      <c r="V28" s="266" t="s">
        <v>71</v>
      </c>
      <c r="W28" s="268"/>
      <c r="X28" s="137" t="str">
        <f>IFERROR(IF(#REF!="","",#REF!-(SUM(#REF!))-(SUM(End_Sections!T3,End_Sections!T8))),"")</f>
        <v/>
      </c>
      <c r="Y28" s="130"/>
      <c r="Z28" s="131"/>
      <c r="AA28" s="266" t="s">
        <v>71</v>
      </c>
      <c r="AB28" s="268"/>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5" t="s">
        <v>102</v>
      </c>
      <c r="C29" s="265"/>
      <c r="D29" s="145"/>
      <c r="E29" s="129"/>
      <c r="F29" s="129"/>
      <c r="G29" s="266" t="s">
        <v>75</v>
      </c>
      <c r="H29" s="268"/>
      <c r="I29" s="137" t="str">
        <f>IFERROR(IF(AND(#REF!="Y",#REF!="N"),J29,IF(End_Sections!Q2="A",IF(#REF!&lt;1000,J29+10,J29+20),J29)),"")</f>
        <v/>
      </c>
      <c r="J29" s="138" t="e">
        <f>IF(K29=0,"",K29)</f>
        <v>#REF!</v>
      </c>
      <c r="K29" s="131" t="e">
        <f>IF(#REF!=0,#REF!,IF(Aerial!BL3="",SUM(Aerial!BL2,End_Sections!Q4,End_Sections!Q9),Aerial!BL2))</f>
        <v>#REF!</v>
      </c>
      <c r="L29" s="266" t="s">
        <v>75</v>
      </c>
      <c r="M29" s="268"/>
      <c r="N29" s="137" t="str">
        <f>IFERROR(IF(AND(#REF!="Y",#REF!="N"),O29,IF(End_Sections!R2="A",IF(#REF!&lt;1000,O29+10,O29+20),O29)),"")</f>
        <v/>
      </c>
      <c r="O29" s="138" t="e">
        <f>IF(P29=0,"",P29)</f>
        <v>#REF!</v>
      </c>
      <c r="P29" s="131" t="e">
        <f>IF(#REF!=0,#REF!,IF(Aerial!BP3="",SUM(Aerial!BP2,End_Sections!R4,End_Sections!R9),Aerial!BP2))</f>
        <v>#REF!</v>
      </c>
      <c r="Q29" s="266" t="s">
        <v>75</v>
      </c>
      <c r="R29" s="268"/>
      <c r="S29" s="137" t="str">
        <f>IFERROR(IF(AND(#REF!="Y",#REF!="N"),T29,IF(End_Sections!S2="A",IF(#REF!&lt;1000,T29+10,T29+20),T29)),"")</f>
        <v/>
      </c>
      <c r="T29" s="138" t="e">
        <f>IF(U29=0,"",U29)</f>
        <v>#REF!</v>
      </c>
      <c r="U29" s="131" t="e">
        <f>IF(#REF!=0,#REF!,IF(Aerial!BT3="",SUM(Aerial!BT2,End_Sections!S4,End_Sections!S9),Aerial!BT2))</f>
        <v>#REF!</v>
      </c>
      <c r="V29" s="266" t="s">
        <v>75</v>
      </c>
      <c r="W29" s="268"/>
      <c r="X29" s="137" t="str">
        <f>IFERROR(IF(AND(#REF!="Y",#REF!="N"),Y29,IF(End_Sections!T2="A",IF(#REF!&lt;1000,Y29+10,Y29+20),Y29)),"")</f>
        <v/>
      </c>
      <c r="Y29" s="138" t="e">
        <f>IF(Z29=0,"",Z29)</f>
        <v>#REF!</v>
      </c>
      <c r="Z29" s="131" t="e">
        <f>IF(#REF!=0,#REF!,IF(Aerial!BX3="",SUM(Aerial!BX2,End_Sections!T4,End_Sections!T9),Aerial!BX2))</f>
        <v>#REF!</v>
      </c>
      <c r="AA29" s="266" t="s">
        <v>75</v>
      </c>
      <c r="AB29" s="268"/>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0"/>
      <c r="C30" s="270"/>
      <c r="D30" s="270"/>
      <c r="E30" s="129"/>
      <c r="F30" s="129"/>
      <c r="G30" s="266" t="s">
        <v>77</v>
      </c>
      <c r="H30" s="268"/>
      <c r="I30" s="137" t="e">
        <f>J30</f>
        <v>#REF!</v>
      </c>
      <c r="J30" s="138" t="e">
        <f>IF(K30=0,"",K30)</f>
        <v>#REF!</v>
      </c>
      <c r="K30" s="131" t="e">
        <f>IF(J29="","",IF(Aerial!BL3="","",SUM(Aerial!BL3,End_Sections!Q9)))</f>
        <v>#REF!</v>
      </c>
      <c r="L30" s="266" t="s">
        <v>77</v>
      </c>
      <c r="M30" s="268"/>
      <c r="N30" s="137" t="e">
        <f>O30</f>
        <v>#REF!</v>
      </c>
      <c r="O30" s="138" t="e">
        <f>IF(P30=0,"",P30)</f>
        <v>#REF!</v>
      </c>
      <c r="P30" s="131" t="e">
        <f>IF(O29="","",IF(Aerial!BP3="","",SUM(Aerial!BP3,End_Sections!R9)))</f>
        <v>#REF!</v>
      </c>
      <c r="Q30" s="266" t="s">
        <v>77</v>
      </c>
      <c r="R30" s="268"/>
      <c r="S30" s="137" t="e">
        <f>T30</f>
        <v>#REF!</v>
      </c>
      <c r="T30" s="138" t="e">
        <f>IF(U30=0,"",U30)</f>
        <v>#REF!</v>
      </c>
      <c r="U30" s="131" t="e">
        <f>IF(T29="","",IF(Aerial!BT3="","",SUM(Aerial!BT3,End_Sections!S9)))</f>
        <v>#REF!</v>
      </c>
      <c r="V30" s="266" t="s">
        <v>77</v>
      </c>
      <c r="W30" s="268"/>
      <c r="X30" s="137" t="e">
        <f>Y30</f>
        <v>#REF!</v>
      </c>
      <c r="Y30" s="138" t="e">
        <f>IF(Z30=0,"",Z30)</f>
        <v>#REF!</v>
      </c>
      <c r="Z30" s="131" t="e">
        <f>IF(Y29="","",IF(Aerial!BX3="","",SUM(Aerial!BX3,End_Sections!T9)))</f>
        <v>#REF!</v>
      </c>
      <c r="AA30" s="266" t="s">
        <v>77</v>
      </c>
      <c r="AB30" s="268"/>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9"/>
      <c r="C31" s="269"/>
      <c r="D31" s="136"/>
      <c r="E31" s="129"/>
      <c r="F31" s="129"/>
      <c r="G31" s="269"/>
      <c r="H31" s="269"/>
      <c r="I31" s="132"/>
      <c r="J31" s="133"/>
      <c r="K31" s="131"/>
      <c r="L31" s="269"/>
      <c r="M31" s="269"/>
      <c r="N31" s="132"/>
      <c r="O31" s="133"/>
      <c r="P31" s="131"/>
      <c r="Q31" s="269"/>
      <c r="R31" s="269"/>
      <c r="S31" s="132"/>
      <c r="T31" s="133"/>
      <c r="U31" s="131"/>
      <c r="V31" s="269"/>
      <c r="W31" s="269"/>
      <c r="X31" s="132"/>
      <c r="Y31" s="133"/>
      <c r="Z31" s="131"/>
      <c r="AA31" s="269"/>
      <c r="AB31" s="269"/>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9"/>
      <c r="C32" s="269"/>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1" t="s">
        <v>103</v>
      </c>
      <c r="H33" s="271"/>
      <c r="I33" s="271"/>
      <c r="J33" s="130"/>
      <c r="K33" s="131"/>
      <c r="L33" s="271" t="s">
        <v>104</v>
      </c>
      <c r="M33" s="271"/>
      <c r="N33" s="271"/>
      <c r="O33" s="130"/>
      <c r="P33" s="131"/>
      <c r="Q33" s="271" t="s">
        <v>105</v>
      </c>
      <c r="R33" s="271"/>
      <c r="S33" s="271"/>
      <c r="T33" s="130"/>
      <c r="U33" s="131"/>
      <c r="V33" s="271" t="s">
        <v>106</v>
      </c>
      <c r="W33" s="271"/>
      <c r="X33" s="271"/>
      <c r="Y33" s="130"/>
      <c r="Z33" s="131"/>
      <c r="AA33" s="271" t="s">
        <v>107</v>
      </c>
      <c r="AB33" s="271"/>
      <c r="AC33" s="271"/>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6" t="s">
        <v>70</v>
      </c>
      <c r="H34" s="267"/>
      <c r="I34" s="137" t="str">
        <f>IFERROR(IF(AND(#REF!="Y",#REF!="N"),I35,IF(AND(I35&gt;0,End_Sections!V2="B"),IF(#REF!&lt;1000,I35+10,I35+20),I35)),"")</f>
        <v/>
      </c>
      <c r="J34" s="130"/>
      <c r="K34" s="131"/>
      <c r="L34" s="266" t="s">
        <v>70</v>
      </c>
      <c r="M34" s="267"/>
      <c r="N34" s="137" t="str">
        <f>IFERROR(IF(AND(#REF!="Y",#REF!="N"),N35,IF(AND(N35&gt;0,End_Sections!W2="B"),IF(#REF!&lt;1000,N35+10,N35+20),N35)),"")</f>
        <v/>
      </c>
      <c r="O34" s="130"/>
      <c r="P34" s="131"/>
      <c r="Q34" s="266" t="s">
        <v>70</v>
      </c>
      <c r="R34" s="267"/>
      <c r="S34" s="137" t="str">
        <f>IFERROR(IF(AND(#REF!="Y",#REF!="N"),S35,IF(AND(S35&gt;0,End_Sections!X2="B"),IF(#REF!&lt;1000,S35+10,S35+20),S35)),"")</f>
        <v/>
      </c>
      <c r="T34" s="130"/>
      <c r="U34" s="131"/>
      <c r="V34" s="266" t="s">
        <v>70</v>
      </c>
      <c r="W34" s="267"/>
      <c r="X34" s="137" t="str">
        <f>IFERROR(IF(AND(#REF!="Y",#REF!="N"),X35,IF(AND(X35&gt;0,End_Sections!Y2="B"),IF(#REF!&lt;1000,X35+10,X35+20),X35)),"")</f>
        <v/>
      </c>
      <c r="Y34" s="130"/>
      <c r="Z34" s="131"/>
      <c r="AA34" s="266" t="s">
        <v>70</v>
      </c>
      <c r="AB34" s="267"/>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6" t="s">
        <v>72</v>
      </c>
      <c r="H35" s="267"/>
      <c r="I35" s="137" t="str">
        <f>IFERROR(IF(#REF!="","",IF(Aerial!CF2="",#REF!,#REF!-(SUM(Aerial!CF2,Aerial!CF3,End_Sections!V4,End_Sections!V9)))),"")</f>
        <v/>
      </c>
      <c r="J35" s="130"/>
      <c r="K35" s="131"/>
      <c r="L35" s="266" t="s">
        <v>72</v>
      </c>
      <c r="M35" s="267"/>
      <c r="N35" s="137" t="str">
        <f>IFERROR(IF(#REF!="","",IF(Aerial!CJ2="",#REF!,#REF!-(SUM(Aerial!CJ2,Aerial!CJ3,End_Sections!W4,End_Sections!W9)))),"")</f>
        <v/>
      </c>
      <c r="O35" s="130"/>
      <c r="P35" s="131"/>
      <c r="Q35" s="266" t="s">
        <v>72</v>
      </c>
      <c r="R35" s="267"/>
      <c r="S35" s="137" t="str">
        <f>IFERROR(IF(#REF!="","",IF(Aerial!CN2="",#REF!,#REF!-(SUM(Aerial!CN2,Aerial!CN3,End_Sections!X4,End_Sections!X9)))),"")</f>
        <v/>
      </c>
      <c r="T35" s="130"/>
      <c r="U35" s="131"/>
      <c r="V35" s="266" t="s">
        <v>72</v>
      </c>
      <c r="W35" s="267"/>
      <c r="X35" s="137" t="str">
        <f>IFERROR(IF(#REF!="","",IF(Aerial!CR2="",#REF!,#REF!-(SUM(Aerial!CR2,Aerial!CR3,End_Sections!Y4,End_Sections!Y9)))),"")</f>
        <v/>
      </c>
      <c r="Y35" s="130"/>
      <c r="Z35" s="131"/>
      <c r="AA35" s="266" t="s">
        <v>72</v>
      </c>
      <c r="AB35" s="267"/>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6" t="s">
        <v>71</v>
      </c>
      <c r="H36" s="268"/>
      <c r="I36" s="137" t="str">
        <f>IFERROR(IF(#REF!="","",I35-(SUM(#REF!))-(SUM(End_Sections!V3,End_Sections!V8))),"")</f>
        <v/>
      </c>
      <c r="J36" s="130"/>
      <c r="K36" s="131"/>
      <c r="L36" s="266" t="s">
        <v>71</v>
      </c>
      <c r="M36" s="268"/>
      <c r="N36" s="137" t="str">
        <f>IFERROR(IF(#REF!="","",N35-(SUM(#REF!))-(SUM(End_Sections!W3,End_Sections!W8))),"")</f>
        <v/>
      </c>
      <c r="O36" s="130"/>
      <c r="P36" s="131"/>
      <c r="Q36" s="266" t="s">
        <v>71</v>
      </c>
      <c r="R36" s="268"/>
      <c r="S36" s="137" t="str">
        <f>IFERROR(IF(#REF!="","",S35-(SUM(#REF!))-(SUM(End_Sections!X3,End_Sections!X8))),"")</f>
        <v/>
      </c>
      <c r="T36" s="130"/>
      <c r="U36" s="131"/>
      <c r="V36" s="266" t="s">
        <v>71</v>
      </c>
      <c r="W36" s="268"/>
      <c r="X36" s="137" t="str">
        <f>IFERROR(IF(#REF!="","",X35-(SUM(#REF!))-(SUM(End_Sections!Y3,End_Sections!Y8))),"")</f>
        <v/>
      </c>
      <c r="Y36" s="130"/>
      <c r="Z36" s="131"/>
      <c r="AA36" s="266" t="s">
        <v>71</v>
      </c>
      <c r="AB36" s="268"/>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6" t="s">
        <v>75</v>
      </c>
      <c r="H37" s="268"/>
      <c r="I37" s="137" t="str">
        <f>IFERROR(IF(AND(#REF!="Y",#REF!="N"),J37,IF(End_Sections!V2="A",IF(#REF!&lt;1000,J37+10,J37+20),J37)),"")</f>
        <v/>
      </c>
      <c r="J37" s="138" t="e">
        <f>IF(K37=0,"",K37)</f>
        <v>#REF!</v>
      </c>
      <c r="K37" s="131" t="e">
        <f>IF(I35=0,#REF!,IF(Aerial!CF3="",SUM(Aerial!CF2,End_Sections!V4,End_Sections!V9),Aerial!CF2))</f>
        <v>#REF!</v>
      </c>
      <c r="L37" s="266" t="s">
        <v>75</v>
      </c>
      <c r="M37" s="268"/>
      <c r="N37" s="137" t="str">
        <f>IFERROR(IF(AND(#REF!="Y",#REF!="N"),O37,IF(End_Sections!W2="A",IF(#REF!&lt;1000,O37+10,O37+20),O37)),"")</f>
        <v/>
      </c>
      <c r="O37" s="138" t="e">
        <f>IF(P37=0,"",P37)</f>
        <v>#REF!</v>
      </c>
      <c r="P37" s="131" t="e">
        <f>IF(N35=0,#REF!,IF(Aerial!CJ3="",SUM(Aerial!CJ2,End_Sections!W4,End_Sections!W9),Aerial!CJ2))</f>
        <v>#REF!</v>
      </c>
      <c r="Q37" s="266" t="s">
        <v>75</v>
      </c>
      <c r="R37" s="268"/>
      <c r="S37" s="137" t="str">
        <f>IFERROR(IF(AND(#REF!="Y",#REF!="N"),T37,IF(End_Sections!X2="A",IF(#REF!&lt;1000,T37+10,T37+20),T37)),"")</f>
        <v/>
      </c>
      <c r="T37" s="138" t="e">
        <f>IF(U37=0,"",U37)</f>
        <v>#REF!</v>
      </c>
      <c r="U37" s="131" t="e">
        <f>IF(S35=0,#REF!,IF(Aerial!CN3="",SUM(Aerial!CN2,End_Sections!X4,End_Sections!X9),Aerial!CN2))</f>
        <v>#REF!</v>
      </c>
      <c r="V37" s="266" t="s">
        <v>75</v>
      </c>
      <c r="W37" s="268"/>
      <c r="X37" s="137" t="str">
        <f>IFERROR(IF(AND(#REF!="Y",#REF!="N"),Y37,IF(End_Sections!Y2="A",IF(#REF!&lt;1000,Y37+10,Y37+20),Y37)),"")</f>
        <v/>
      </c>
      <c r="Y37" s="138" t="e">
        <f>IF(Z37=0,"",Z37)</f>
        <v>#REF!</v>
      </c>
      <c r="Z37" s="131" t="e">
        <f>IF(X35=0,#REF!,IF(Aerial!CR3="",SUM(Aerial!CR2,End_Sections!Y4,End_Sections!Y9),Aerial!CR2))</f>
        <v>#REF!</v>
      </c>
      <c r="AA37" s="266" t="s">
        <v>75</v>
      </c>
      <c r="AB37" s="268"/>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6" t="s">
        <v>77</v>
      </c>
      <c r="H38" s="268"/>
      <c r="I38" s="137" t="e">
        <f>J38</f>
        <v>#REF!</v>
      </c>
      <c r="J38" s="138" t="e">
        <f>IF(K38="","",K38)</f>
        <v>#REF!</v>
      </c>
      <c r="K38" s="131" t="e">
        <f>IF(J37="","",IF(Aerial!CF3="","",SUM(Aerial!CF3,End_Sections!V9)))</f>
        <v>#REF!</v>
      </c>
      <c r="L38" s="266" t="s">
        <v>77</v>
      </c>
      <c r="M38" s="268"/>
      <c r="N38" s="137" t="e">
        <f>O38</f>
        <v>#REF!</v>
      </c>
      <c r="O38" s="138" t="e">
        <f>IF(P38="","",P38)</f>
        <v>#REF!</v>
      </c>
      <c r="P38" s="131" t="e">
        <f>IF(O37="","",IF(Aerial!CJ3="","",SUM(Aerial!CJ3,End_Sections!W9)))</f>
        <v>#REF!</v>
      </c>
      <c r="Q38" s="266" t="s">
        <v>77</v>
      </c>
      <c r="R38" s="268"/>
      <c r="S38" s="137" t="e">
        <f>T38</f>
        <v>#REF!</v>
      </c>
      <c r="T38" s="138" t="e">
        <f>IF(U38="","",U38)</f>
        <v>#REF!</v>
      </c>
      <c r="U38" s="131" t="e">
        <f>IF(T37="","",IF(Aerial!CN3="","",SUM(Aerial!CN3,End_Sections!X9)))</f>
        <v>#REF!</v>
      </c>
      <c r="V38" s="266" t="s">
        <v>77</v>
      </c>
      <c r="W38" s="268"/>
      <c r="X38" s="137" t="e">
        <f>Y38</f>
        <v>#REF!</v>
      </c>
      <c r="Y38" s="138" t="e">
        <f>IF(Z38="","",Z38)</f>
        <v>#REF!</v>
      </c>
      <c r="Z38" s="131" t="e">
        <f>IF(Y37="","",IF(Aerial!CR3="","",SUM(Aerial!CR3,End_Sections!Y9)))</f>
        <v>#REF!</v>
      </c>
      <c r="AA38" s="266" t="s">
        <v>77</v>
      </c>
      <c r="AB38" s="268"/>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9"/>
      <c r="H39" s="269"/>
      <c r="I39" s="132"/>
      <c r="J39" s="133"/>
      <c r="K39" s="131" t="e">
        <f>K38</f>
        <v>#REF!</v>
      </c>
      <c r="L39" s="269"/>
      <c r="M39" s="269"/>
      <c r="N39" s="132"/>
      <c r="O39" s="133"/>
      <c r="P39" s="131"/>
      <c r="Q39" s="269"/>
      <c r="R39" s="269"/>
      <c r="S39" s="132"/>
      <c r="T39" s="133"/>
      <c r="U39" s="131"/>
      <c r="V39" s="269"/>
      <c r="W39" s="269"/>
      <c r="X39" s="132"/>
      <c r="Y39" s="133"/>
      <c r="Z39" s="131"/>
      <c r="AA39" s="269"/>
      <c r="AB39" s="269"/>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9"/>
      <c r="H40" s="269"/>
      <c r="I40" s="132"/>
      <c r="J40" s="133"/>
      <c r="K40" s="131"/>
      <c r="L40" s="269"/>
      <c r="M40" s="269"/>
      <c r="N40" s="132"/>
      <c r="O40" s="133"/>
      <c r="P40" s="131"/>
      <c r="Q40" s="269"/>
      <c r="R40" s="269"/>
      <c r="S40" s="132"/>
      <c r="T40" s="133"/>
      <c r="U40" s="131"/>
      <c r="V40" s="269"/>
      <c r="W40" s="269"/>
      <c r="X40" s="132"/>
      <c r="Y40" s="133"/>
      <c r="Z40" s="131"/>
      <c r="AA40" s="269"/>
      <c r="AB40" s="269"/>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1" t="s">
        <v>108</v>
      </c>
      <c r="H41" s="271"/>
      <c r="I41" s="271"/>
      <c r="J41" s="130"/>
      <c r="K41" s="131"/>
      <c r="L41" s="271" t="s">
        <v>109</v>
      </c>
      <c r="M41" s="271"/>
      <c r="N41" s="271"/>
      <c r="O41" s="130"/>
      <c r="P41" s="131"/>
      <c r="Q41" s="271" t="s">
        <v>110</v>
      </c>
      <c r="R41" s="271"/>
      <c r="S41" s="271"/>
      <c r="T41" s="130"/>
      <c r="U41" s="131"/>
      <c r="V41" s="271" t="s">
        <v>111</v>
      </c>
      <c r="W41" s="271"/>
      <c r="X41" s="271"/>
      <c r="Y41" s="130"/>
      <c r="Z41" s="131"/>
      <c r="AA41" s="271" t="s">
        <v>112</v>
      </c>
      <c r="AB41" s="271"/>
      <c r="AC41" s="271"/>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6" t="s">
        <v>70</v>
      </c>
      <c r="H42" s="267"/>
      <c r="I42" s="137" t="str">
        <f>IFERROR(IF(AND(#REF!="Y",#REF!="N"),I43,IF(AND(I43&gt;0,End_Sections!AA2="B"),IF(#REF!&lt;1000,I43+10,I43+20),I43)),"")</f>
        <v/>
      </c>
      <c r="J42" s="130"/>
      <c r="K42" s="131"/>
      <c r="L42" s="266" t="s">
        <v>70</v>
      </c>
      <c r="M42" s="267"/>
      <c r="N42" s="137" t="str">
        <f>IFERROR(IF(AND(#REF!="Y",#REF!="N"),N43,IF(AND(N43&gt;0,End_Sections!AB2="B"),IF(#REF!&lt;1000,N43+10,N43+20),N43)),"")</f>
        <v/>
      </c>
      <c r="O42" s="130"/>
      <c r="P42" s="131"/>
      <c r="Q42" s="266" t="s">
        <v>70</v>
      </c>
      <c r="R42" s="267"/>
      <c r="S42" s="137" t="str">
        <f>IFERROR(IF(AND(#REF!="Y",#REF!="N"),S43,IF(AND(S43&gt;0,End_Sections!AC2="B"),IF(#REF!&lt;1000,S43+10,S43+20),S43)),"")</f>
        <v/>
      </c>
      <c r="T42" s="130"/>
      <c r="U42" s="131"/>
      <c r="V42" s="266" t="s">
        <v>70</v>
      </c>
      <c r="W42" s="267"/>
      <c r="X42" s="137" t="str">
        <f>IFERROR(IF(AND(#REF!="Y",#REF!="N"),X43,IF(AND(X43&gt;0,End_Sections!AD2="B"),IF(#REF!&lt;1000,X43+10,X43+20),X43)),"")</f>
        <v/>
      </c>
      <c r="Y42" s="130"/>
      <c r="Z42" s="131"/>
      <c r="AA42" s="266" t="s">
        <v>70</v>
      </c>
      <c r="AB42" s="267"/>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6" t="s">
        <v>72</v>
      </c>
      <c r="H43" s="267"/>
      <c r="I43" s="137" t="str">
        <f>IFERROR(IF(#REF!="","",IF(Aerial!CZ2="",#REF!,#REF!-(SUM(Aerial!CZ2,Aerial!CZ3,End_Sections!AA4,End_Sections!AA9)))),"")</f>
        <v/>
      </c>
      <c r="J43" s="130"/>
      <c r="K43" s="131"/>
      <c r="L43" s="266" t="s">
        <v>72</v>
      </c>
      <c r="M43" s="267"/>
      <c r="N43" s="137" t="str">
        <f>IFERROR(IF(#REF!="","",IF(Aerial!DD2="",#REF!,#REF!-(SUM(Aerial!DD2,Aerial!DD3,End_Sections!AB4,End_Sections!AB9)))),"")</f>
        <v/>
      </c>
      <c r="O43" s="130"/>
      <c r="P43" s="131"/>
      <c r="Q43" s="266" t="s">
        <v>72</v>
      </c>
      <c r="R43" s="267"/>
      <c r="S43" s="137" t="str">
        <f>IFERROR(IF(#REF!="","",IF(Aerial!DH2="",#REF!,#REF!-(SUM(Aerial!DH2,Aerial!DH3,End_Sections!AC4,End_Sections!AC9)))),"")</f>
        <v/>
      </c>
      <c r="T43" s="130"/>
      <c r="U43" s="131"/>
      <c r="V43" s="266" t="s">
        <v>72</v>
      </c>
      <c r="W43" s="267"/>
      <c r="X43" s="137" t="str">
        <f>IFERROR(IF(#REF!="","",IF(Aerial!DN2="",#REF!,#REF!-(SUM(Aerial!DL2,Aerial!DL3,End_Sections!AD4,End_Sections!AD9)))),"")</f>
        <v/>
      </c>
      <c r="Y43" s="130"/>
      <c r="Z43" s="131"/>
      <c r="AA43" s="266" t="s">
        <v>72</v>
      </c>
      <c r="AB43" s="267"/>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6" t="s">
        <v>71</v>
      </c>
      <c r="H44" s="268"/>
      <c r="I44" s="137" t="str">
        <f>IFERROR(IF(#REF!="","",I43-(SUM(#REF!))-(SUM(End_Sections!AA3,End_Sections!AA8))),"")</f>
        <v/>
      </c>
      <c r="J44" s="130"/>
      <c r="K44" s="131"/>
      <c r="L44" s="266" t="s">
        <v>71</v>
      </c>
      <c r="M44" s="268"/>
      <c r="N44" s="137" t="str">
        <f>IFERROR(IF(#REF!="","",N43-(SUM(#REF!))-(SUM(End_Sections!AB3,End_Sections!AB8))),"")</f>
        <v/>
      </c>
      <c r="O44" s="130"/>
      <c r="P44" s="131"/>
      <c r="Q44" s="266" t="s">
        <v>71</v>
      </c>
      <c r="R44" s="268"/>
      <c r="S44" s="137" t="str">
        <f>IFERROR(IF(#REF!="","",S43-(SUM(#REF!))-(SUM(End_Sections!AC3,End_Sections!AC8))),"")</f>
        <v/>
      </c>
      <c r="T44" s="130"/>
      <c r="U44" s="131"/>
      <c r="V44" s="266" t="s">
        <v>71</v>
      </c>
      <c r="W44" s="268"/>
      <c r="X44" s="137" t="str">
        <f>IFERROR(IF(#REF!="","",X43-(SUM(#REF!))-(SUM(End_Sections!AD3,End_Sections!AD8))),"")</f>
        <v/>
      </c>
      <c r="Y44" s="130"/>
      <c r="Z44" s="131"/>
      <c r="AA44" s="266" t="s">
        <v>71</v>
      </c>
      <c r="AB44" s="268"/>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6" t="s">
        <v>75</v>
      </c>
      <c r="H45" s="268"/>
      <c r="I45" s="137" t="str">
        <f>IFERROR(IF(AND(#REF!="Y",#REF!="N"),J45,IF(End_Sections!AA2="A",IF(#REF!&lt;1000,J45+10,J45+20),J45)),"")</f>
        <v/>
      </c>
      <c r="J45" s="138" t="e">
        <f>IF(K45=0,"",K45)</f>
        <v>#REF!</v>
      </c>
      <c r="K45" s="131" t="e">
        <f>IF(I43=0,#REF!,IF(Aerial!CZ3="",SUM(Aerial!CZ2,End_Sections!AA4,End_Sections!AA9),Aerial!CZ2))</f>
        <v>#REF!</v>
      </c>
      <c r="L45" s="266" t="s">
        <v>75</v>
      </c>
      <c r="M45" s="268"/>
      <c r="N45" s="137" t="str">
        <f>IFERROR(IF(AND(#REF!="Y",#REF!="N"),O45,IF(End_Sections!AB2="A",IF(#REF!&lt;1000,O45+10,O45+20),O45)),"")</f>
        <v/>
      </c>
      <c r="O45" s="138" t="e">
        <f>IF(P45=0,"",P45)</f>
        <v>#REF!</v>
      </c>
      <c r="P45" s="131" t="e">
        <f>IF(N43=0,#REF!,IF(Aerial!DD3="",SUM(Aerial!DD2,End_Sections!AB4,End_Sections!AB9),Aerial!DD2))</f>
        <v>#REF!</v>
      </c>
      <c r="Q45" s="266" t="s">
        <v>75</v>
      </c>
      <c r="R45" s="268"/>
      <c r="S45" s="137" t="str">
        <f>IFERROR(IF(AND(#REF!="Y",#REF!="N"),T45,IF(End_Sections!AC2="A",IF(#REF!&lt;1000,T45+10,T45+20),T45)),"")</f>
        <v/>
      </c>
      <c r="T45" s="138" t="e">
        <f>IF(U45=0,"",U45)</f>
        <v>#REF!</v>
      </c>
      <c r="U45" s="131" t="e">
        <f>IF(S43=0,#REF!,IF(Aerial!DH3="",SUM(Aerial!DH2,End_Sections!AC4,End_Sections!AC9),Aerial!DH2))</f>
        <v>#REF!</v>
      </c>
      <c r="V45" s="266" t="s">
        <v>75</v>
      </c>
      <c r="W45" s="268"/>
      <c r="X45" s="137" t="str">
        <f>IFERROR(IF(AND(#REF!="Y",#REF!="N"),Y45,IF(End_Sections!AD2="A",IF(#REF!&lt;1000,Y45+10,Y45+20),Y45)),"")</f>
        <v/>
      </c>
      <c r="Y45" s="138" t="e">
        <f>IF(Z45=0,"",Z45)</f>
        <v>#REF!</v>
      </c>
      <c r="Z45" s="131" t="e">
        <f>IF(X43=0,#REF!,IF(Aerial!DL3="",SUM(Aerial!DL2,End_Sections!AD4,End_Sections!AD9),Aerial!DL2))</f>
        <v>#REF!</v>
      </c>
      <c r="AA45" s="266" t="s">
        <v>75</v>
      </c>
      <c r="AB45" s="268"/>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6" t="s">
        <v>77</v>
      </c>
      <c r="H46" s="268"/>
      <c r="I46" s="137" t="e">
        <f>J46</f>
        <v>#REF!</v>
      </c>
      <c r="J46" s="138" t="e">
        <f>IF(K46=0,"",K46)</f>
        <v>#REF!</v>
      </c>
      <c r="K46" s="131" t="e">
        <f>IF(J45="","",IF(Aerial!CZ3="","",SUM(Aerial!CZ3,End_Sections!AA9)))</f>
        <v>#REF!</v>
      </c>
      <c r="L46" s="266" t="s">
        <v>77</v>
      </c>
      <c r="M46" s="268"/>
      <c r="N46" s="137" t="e">
        <f>O46</f>
        <v>#REF!</v>
      </c>
      <c r="O46" s="138" t="e">
        <f>IF(P46=0,"",P46)</f>
        <v>#REF!</v>
      </c>
      <c r="P46" s="131" t="e">
        <f>IF(O45="","",IF(Aerial!DD3="","",SUM(Aerial!DD3,End_Sections!AB9)))</f>
        <v>#REF!</v>
      </c>
      <c r="Q46" s="266" t="s">
        <v>77</v>
      </c>
      <c r="R46" s="268"/>
      <c r="S46" s="137" t="e">
        <f>T46</f>
        <v>#REF!</v>
      </c>
      <c r="T46" s="138" t="e">
        <f>IF(U46=0,"",U46)</f>
        <v>#REF!</v>
      </c>
      <c r="U46" s="131" t="e">
        <f>IF(T45="","",IF(Aerial!DH3="","",SUM(Aerial!DH3,End_Sections!AC9)))</f>
        <v>#REF!</v>
      </c>
      <c r="V46" s="266" t="s">
        <v>77</v>
      </c>
      <c r="W46" s="268"/>
      <c r="X46" s="137" t="e">
        <f>Y46</f>
        <v>#REF!</v>
      </c>
      <c r="Y46" s="138" t="e">
        <f>IF(Z46=0,"",Z46)</f>
        <v>#REF!</v>
      </c>
      <c r="Z46" s="131" t="e">
        <f>IF(Y45="","",IF(Aerial!DL3="","",SUM(Aerial!DL3,End_Sections!AD9)))</f>
        <v>#REF!</v>
      </c>
      <c r="AA46" s="266" t="s">
        <v>77</v>
      </c>
      <c r="AB46" s="268"/>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1" t="s">
        <v>113</v>
      </c>
      <c r="H49" s="271"/>
      <c r="I49" s="271"/>
      <c r="J49" s="130"/>
      <c r="K49" s="131"/>
      <c r="L49" s="271" t="s">
        <v>114</v>
      </c>
      <c r="M49" s="271"/>
      <c r="N49" s="271"/>
      <c r="O49" s="130"/>
      <c r="P49" s="131"/>
      <c r="Q49" s="271" t="s">
        <v>115</v>
      </c>
      <c r="R49" s="271"/>
      <c r="S49" s="271"/>
      <c r="T49" s="130"/>
      <c r="U49" s="131"/>
      <c r="V49" s="271" t="s">
        <v>116</v>
      </c>
      <c r="W49" s="271"/>
      <c r="X49" s="271"/>
      <c r="Y49" s="130"/>
      <c r="Z49" s="131"/>
      <c r="AA49" s="271" t="s">
        <v>117</v>
      </c>
      <c r="AB49" s="271"/>
      <c r="AC49" s="271"/>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6" t="s">
        <v>70</v>
      </c>
      <c r="H50" s="267"/>
      <c r="I50" s="137" t="str">
        <f>IFERROR(IF(AND(#REF!="Y",#REF!="N"),I51,IF(AND(I51&gt;0,End_Sections!AF2="B"),IF(#REF!&lt;1000,I51+10,I51+20),I51)),"")</f>
        <v/>
      </c>
      <c r="J50" s="130"/>
      <c r="K50" s="131"/>
      <c r="L50" s="266" t="s">
        <v>70</v>
      </c>
      <c r="M50" s="267"/>
      <c r="N50" s="137" t="str">
        <f>IFERROR(IF(AND(#REF!="Y",#REF!="N"),N51,IF(AND(N51&gt;0,End_Sections!AG2="B"),IF(#REF!&lt;1000,N51+10,N51+20),N51)),"")</f>
        <v/>
      </c>
      <c r="O50" s="130"/>
      <c r="P50" s="131"/>
      <c r="Q50" s="266" t="s">
        <v>70</v>
      </c>
      <c r="R50" s="267"/>
      <c r="S50" s="137" t="str">
        <f>IFERROR(IF(AND(#REF!="Y",#REF!="N"),S51,IF(AND(S51&gt;0,End_Sections!AH2="B"),IF(#REF!&lt;1000,S51+10,S51+20),S51)),"")</f>
        <v/>
      </c>
      <c r="T50" s="130"/>
      <c r="U50" s="131"/>
      <c r="V50" s="266" t="s">
        <v>70</v>
      </c>
      <c r="W50" s="267"/>
      <c r="X50" s="137" t="str">
        <f>IFERROR(IF(AND(#REF!="Y",#REF!="N"),X51,IF(AND(X51&gt;0,End_Sections!AI2="B"),IF(#REF!&lt;1000,X51+10,X51+20),X51)),"")</f>
        <v/>
      </c>
      <c r="Y50" s="130"/>
      <c r="Z50" s="131"/>
      <c r="AA50" s="266" t="s">
        <v>70</v>
      </c>
      <c r="AB50" s="267"/>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6" t="s">
        <v>72</v>
      </c>
      <c r="H51" s="267"/>
      <c r="I51" s="137" t="str">
        <f>IFERROR(IF(#REF!="","",IF(Aerial!DT2="",#REF!,#REF!-(SUM(Aerial!DT2,Aerial!DT3,End_Sections!AF4,End_Sections!AF9)))),"")</f>
        <v/>
      </c>
      <c r="J51" s="130"/>
      <c r="K51" s="131"/>
      <c r="L51" s="266" t="s">
        <v>72</v>
      </c>
      <c r="M51" s="267"/>
      <c r="N51" s="137" t="str">
        <f>IFERROR(IF(#REF!="","",IF(Aerial!DX2="",#REF!,#REF!-(SUM(Aerial!DX2,Aerial!DX3,End_Sections!AG4,End_Sections!AG9)))),"")</f>
        <v/>
      </c>
      <c r="O51" s="130"/>
      <c r="P51" s="131"/>
      <c r="Q51" s="266" t="s">
        <v>72</v>
      </c>
      <c r="R51" s="267"/>
      <c r="S51" s="137" t="str">
        <f>IFERROR(IF(#REF!="","",IF(Aerial!EB2="",#REF!,#REF!-(SUM(Aerial!EB2,Aerial!EB3,End_Sections!AH4,End_Sections!AH9)))),"")</f>
        <v/>
      </c>
      <c r="T51" s="130"/>
      <c r="U51" s="131"/>
      <c r="V51" s="266" t="s">
        <v>72</v>
      </c>
      <c r="W51" s="267"/>
      <c r="X51" s="137" t="str">
        <f>IFERROR(IF(#REF!="","",IF(Aerial!EF2="",#REF!,#REF!-(SUM(Aerial!EF2,Aerial!EF3,End_Sections!AI4,End_Sections!AI9)))),"")</f>
        <v/>
      </c>
      <c r="Y51" s="130"/>
      <c r="Z51" s="131"/>
      <c r="AA51" s="266" t="s">
        <v>72</v>
      </c>
      <c r="AB51" s="267"/>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6" t="s">
        <v>71</v>
      </c>
      <c r="H52" s="268"/>
      <c r="I52" s="137" t="str">
        <f>IFERROR(IF(#REF!="","",I51-(SUM(#REF!))-(SUM(End_Sections!AF3,End_Sections!AF8))),"")</f>
        <v/>
      </c>
      <c r="J52" s="130"/>
      <c r="K52" s="131"/>
      <c r="L52" s="266" t="s">
        <v>71</v>
      </c>
      <c r="M52" s="268"/>
      <c r="N52" s="137" t="str">
        <f>IFERROR(IF(#REF!="","",N51-(SUM(#REF!))-(SUM(End_Sections!AG3,End_Sections!AG8))),"")</f>
        <v/>
      </c>
      <c r="O52" s="130"/>
      <c r="P52" s="131"/>
      <c r="Q52" s="266" t="s">
        <v>71</v>
      </c>
      <c r="R52" s="268"/>
      <c r="S52" s="137" t="str">
        <f>IFERROR(IF(#REF!="","",S51-(SUM(#REF!))-(SUM(End_Sections!AH3,End_Sections!AH8))),"")</f>
        <v/>
      </c>
      <c r="T52" s="130"/>
      <c r="U52" s="131"/>
      <c r="V52" s="266" t="s">
        <v>71</v>
      </c>
      <c r="W52" s="268"/>
      <c r="X52" s="137" t="str">
        <f>IFERROR(IF(#REF!="","",X51-(SUM(#REF!))-(SUM(End_Sections!AI3,End_Sections!AI8))),"")</f>
        <v/>
      </c>
      <c r="Y52" s="130"/>
      <c r="Z52" s="131"/>
      <c r="AA52" s="266" t="s">
        <v>71</v>
      </c>
      <c r="AB52" s="268"/>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6" t="s">
        <v>75</v>
      </c>
      <c r="H53" s="268"/>
      <c r="I53" s="137" t="str">
        <f>IFERROR(IF(AND(#REF!="Y",#REF!="N"),J53,IF(End_Sections!AF2="A",IF(#REF!&lt;1000,J53+10,J53+20),J53)),"")</f>
        <v/>
      </c>
      <c r="J53" s="138" t="e">
        <f>IF(K53=0,"",K53)</f>
        <v>#REF!</v>
      </c>
      <c r="K53" s="131" t="e">
        <f>IF(I51=0,#REF!,IF(Aerial!DT3="",SUM(Aerial!DT2,End_Sections!AF4,End_Sections!AF9),Aerial!DT2))</f>
        <v>#REF!</v>
      </c>
      <c r="L53" s="266" t="s">
        <v>75</v>
      </c>
      <c r="M53" s="268"/>
      <c r="N53" s="137" t="str">
        <f>IFERROR(IF(AND(#REF!="Y",#REF!="N"),O53,IF(End_Sections!AG2="A",IF(#REF!&lt;1000,O53+10,O53+20),O53)),"")</f>
        <v/>
      </c>
      <c r="O53" s="138" t="e">
        <f>IF(P53=0,"",P53)</f>
        <v>#REF!</v>
      </c>
      <c r="P53" s="131" t="e">
        <f>IF(N51=0,#REF!,IF(Aerial!DX3="",SUM(Aerial!DX2,End_Sections!AG4,End_Sections!AG9),Aerial!DX2))</f>
        <v>#REF!</v>
      </c>
      <c r="Q53" s="266" t="s">
        <v>75</v>
      </c>
      <c r="R53" s="268"/>
      <c r="S53" s="137" t="str">
        <f>IFERROR(IF(AND(#REF!="Y",#REF!="N"),T53,IF(End_Sections!AH2="A",IF(#REF!&lt;1000,T53+10,T53+20),T53)),"")</f>
        <v/>
      </c>
      <c r="T53" s="138" t="e">
        <f>IF(U53=0,"",U53)</f>
        <v>#REF!</v>
      </c>
      <c r="U53" s="131" t="e">
        <f>IF(S51=0,#REF!,IF(Aerial!EB3="",SUM(Aerial!EB2,End_Sections!AH4,End_Sections!AH9),Aerial!EB2))</f>
        <v>#REF!</v>
      </c>
      <c r="V53" s="266" t="s">
        <v>75</v>
      </c>
      <c r="W53" s="268"/>
      <c r="X53" s="137" t="str">
        <f>IFERROR(IF(AND(#REF!="Y",#REF!="N"),Y53,IF(End_Sections!AI2="A",IF(#REF!&lt;1000,Y53+10,Y53+20),Y53)),"")</f>
        <v/>
      </c>
      <c r="Y53" s="138" t="e">
        <f>IF(Z53=0,"",Z53)</f>
        <v>#REF!</v>
      </c>
      <c r="Z53" s="131" t="e">
        <f>IF(X51=0,#REF!,IF(Aerial!EF3="",SUM(Aerial!EF2,End_Sections!AI4,End_Sections!AI9),Aerial!EF2))</f>
        <v>#REF!</v>
      </c>
      <c r="AA53" s="266" t="s">
        <v>75</v>
      </c>
      <c r="AB53" s="268"/>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6" t="s">
        <v>77</v>
      </c>
      <c r="H54" s="268"/>
      <c r="I54" s="137" t="e">
        <f>J54</f>
        <v>#REF!</v>
      </c>
      <c r="J54" s="138" t="e">
        <f>IF(K54=0,"",K54)</f>
        <v>#REF!</v>
      </c>
      <c r="K54" s="131" t="e">
        <f>IF(J53="","",IF(Aerial!DT3="","",SUM(Aerial!DT3,End_Sections!AF9)))</f>
        <v>#REF!</v>
      </c>
      <c r="L54" s="266" t="s">
        <v>77</v>
      </c>
      <c r="M54" s="268"/>
      <c r="N54" s="137" t="e">
        <f>O54</f>
        <v>#REF!</v>
      </c>
      <c r="O54" s="138" t="e">
        <f>IF(P54=0,"",P54)</f>
        <v>#REF!</v>
      </c>
      <c r="P54" s="131" t="e">
        <f>IF(O53="","",IF(Aerial!DX3="","",SUM(Aerial!DX3,End_Sections!AG9)))</f>
        <v>#REF!</v>
      </c>
      <c r="Q54" s="266" t="s">
        <v>77</v>
      </c>
      <c r="R54" s="268"/>
      <c r="S54" s="137" t="e">
        <f>T54</f>
        <v>#REF!</v>
      </c>
      <c r="T54" s="138" t="e">
        <f>IF(U54=0,"",U54)</f>
        <v>#REF!</v>
      </c>
      <c r="U54" s="131" t="e">
        <f>IF(T53="","",IF(Aerial!EB3="","",SUM(Aerial!EB3,End_Sections!AH9)))</f>
        <v>#REF!</v>
      </c>
      <c r="V54" s="266" t="s">
        <v>77</v>
      </c>
      <c r="W54" s="268"/>
      <c r="X54" s="137" t="e">
        <f>Y54</f>
        <v>#REF!</v>
      </c>
      <c r="Y54" s="138" t="e">
        <f>IF(Z54=0,"",Z54)</f>
        <v>#REF!</v>
      </c>
      <c r="Z54" s="131" t="e">
        <f>IF(Y53="","",IF(Aerial!EF3="","",SUM(Aerial!EF3,End_Sections!AI9)))</f>
        <v>#REF!</v>
      </c>
      <c r="AA54" s="266" t="s">
        <v>77</v>
      </c>
      <c r="AB54" s="268"/>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1" t="s">
        <v>118</v>
      </c>
      <c r="H57" s="271"/>
      <c r="I57" s="271"/>
      <c r="J57" s="130"/>
      <c r="K57" s="131"/>
      <c r="L57" s="271" t="s">
        <v>119</v>
      </c>
      <c r="M57" s="271"/>
      <c r="N57" s="271"/>
      <c r="O57" s="130"/>
      <c r="P57" s="131"/>
      <c r="Q57" s="271" t="s">
        <v>120</v>
      </c>
      <c r="R57" s="271"/>
      <c r="S57" s="271"/>
      <c r="T57" s="130"/>
      <c r="U57" s="131"/>
      <c r="V57" s="271" t="s">
        <v>121</v>
      </c>
      <c r="W57" s="271"/>
      <c r="X57" s="271"/>
      <c r="Y57" s="130"/>
      <c r="Z57" s="131"/>
      <c r="AA57" s="271" t="s">
        <v>122</v>
      </c>
      <c r="AB57" s="271"/>
      <c r="AC57" s="271"/>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6" t="s">
        <v>70</v>
      </c>
      <c r="H58" s="267"/>
      <c r="I58" s="137" t="str">
        <f>IFERROR(IF(AND(#REF!="Y",#REF!="N"),I59,IF(AND(I59&gt;0,End_Sections!AK2="B"),IF(#REF!&lt;1000,I59+10,I59+20),I59)),"")</f>
        <v/>
      </c>
      <c r="J58" s="130"/>
      <c r="K58" s="131"/>
      <c r="L58" s="266" t="s">
        <v>70</v>
      </c>
      <c r="M58" s="267"/>
      <c r="N58" s="137" t="str">
        <f>IFERROR(IF(AND(#REF!="Y",#REF!="N"),N59,IF(AND(N59&gt;0,End_Sections!AL2="B"),IF(#REF!&lt;1000,N59+10,N59+20),N59)),"")</f>
        <v/>
      </c>
      <c r="O58" s="130"/>
      <c r="P58" s="131"/>
      <c r="Q58" s="266" t="s">
        <v>70</v>
      </c>
      <c r="R58" s="267"/>
      <c r="S58" s="137" t="str">
        <f>IFERROR(IF(AND(#REF!="Y",#REF!="N"),S59,IF(AND(S59&gt;0,End_Sections!AM2="B"),IF(#REF!&lt;1000,S59+10,S59+20),S59)),"")</f>
        <v/>
      </c>
      <c r="T58" s="130"/>
      <c r="U58" s="131"/>
      <c r="V58" s="266" t="s">
        <v>70</v>
      </c>
      <c r="W58" s="267"/>
      <c r="X58" s="137" t="str">
        <f>IFERROR(IF(AND(#REF!="Y",#REF!="N"),X59,IF(AND(X59&gt;0,End_Sections!AN2="B"),IF(#REF!&lt;1000,X59+10,X59+20),X59)),"")</f>
        <v/>
      </c>
      <c r="Y58" s="130"/>
      <c r="Z58" s="131"/>
      <c r="AA58" s="266" t="s">
        <v>70</v>
      </c>
      <c r="AB58" s="267"/>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6" t="s">
        <v>72</v>
      </c>
      <c r="H59" s="267"/>
      <c r="I59" s="137" t="str">
        <f>IFERROR(IF(#REF!="","",IF(Aerial!EN2="",#REF!,#REF!-(SUM(Aerial!EN2,Aerial!EN3,End_Sections!AK4,End_Sections!AK9)))),"")</f>
        <v/>
      </c>
      <c r="J59" s="130"/>
      <c r="K59" s="131"/>
      <c r="L59" s="266" t="s">
        <v>72</v>
      </c>
      <c r="M59" s="267"/>
      <c r="N59" s="137" t="str">
        <f>IFERROR(IF(#REF!="","",IF(Aerial!ER2="",#REF!,#REF!-(SUM(Aerial!ER2,Aerial!ER3,End_Sections!AL4,End_Sections!AL9)))),"")</f>
        <v/>
      </c>
      <c r="O59" s="130"/>
      <c r="P59" s="131"/>
      <c r="Q59" s="266" t="s">
        <v>72</v>
      </c>
      <c r="R59" s="267"/>
      <c r="S59" s="137" t="str">
        <f>IFERROR(IF(#REF!="","",IF(Aerial!EV2="",#REF!,#REF!-(SUM(Aerial!EV2,Aerial!EV3,End_Sections!AM4,End_Sections!AM9)))),"")</f>
        <v/>
      </c>
      <c r="T59" s="130"/>
      <c r="U59" s="131"/>
      <c r="V59" s="266" t="s">
        <v>72</v>
      </c>
      <c r="W59" s="267"/>
      <c r="X59" s="137" t="str">
        <f>IFERROR(IF(#REF!="","",IF(Aerial!EZ2="",#REF!,#REF!-(SUM(Aerial!EZ2,Aerial!EZ3,End_Sections!AN4,End_Sections!AN9)))),"")</f>
        <v/>
      </c>
      <c r="Y59" s="130"/>
      <c r="Z59" s="131"/>
      <c r="AA59" s="266" t="s">
        <v>72</v>
      </c>
      <c r="AB59" s="267"/>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6" t="s">
        <v>71</v>
      </c>
      <c r="H60" s="268"/>
      <c r="I60" s="137" t="str">
        <f>IFERROR(IF(#REF!="","",I59-(SUM(#REF!))-(SUM(End_Sections!AK3,End_Sections!AK8))),"")</f>
        <v/>
      </c>
      <c r="J60" s="130"/>
      <c r="K60" s="131"/>
      <c r="L60" s="266" t="s">
        <v>71</v>
      </c>
      <c r="M60" s="268"/>
      <c r="N60" s="137" t="str">
        <f>IFERROR(IF(#REF!="","",N59-(SUM(#REF!))-(SUM(End_Sections!AL3,End_Sections!AL8))),"")</f>
        <v/>
      </c>
      <c r="O60" s="130"/>
      <c r="P60" s="131"/>
      <c r="Q60" s="266" t="s">
        <v>71</v>
      </c>
      <c r="R60" s="268"/>
      <c r="S60" s="137" t="str">
        <f>IFERROR(IF(#REF!="","",S59-(SUM(#REF!))-(SUM(End_Sections!AM3,End_Sections!AM8))),"")</f>
        <v/>
      </c>
      <c r="T60" s="130"/>
      <c r="U60" s="131"/>
      <c r="V60" s="266" t="s">
        <v>71</v>
      </c>
      <c r="W60" s="268"/>
      <c r="X60" s="137" t="str">
        <f>IFERROR(IF(#REF!="","",X59-(SUM(#REF!))-(SUM(End_Sections!AN3,End_Sections!AN8))),"")</f>
        <v/>
      </c>
      <c r="Y60" s="130"/>
      <c r="Z60" s="131"/>
      <c r="AA60" s="266" t="s">
        <v>71</v>
      </c>
      <c r="AB60" s="268"/>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6" t="s">
        <v>75</v>
      </c>
      <c r="H61" s="268"/>
      <c r="I61" s="137" t="str">
        <f>IFERROR(IF(AND(#REF!="Y",#REF!="N"),J61,IF(End_Sections!AK2="A",IF(#REF!&lt;1000,J61+10,J61+20),J61)),"")</f>
        <v/>
      </c>
      <c r="J61" s="138" t="e">
        <f>IF(K61=0,"",K61)</f>
        <v>#REF!</v>
      </c>
      <c r="K61" s="131" t="e">
        <f>IF(I59=0,#REF!,IF(Aerial!EN3="",SUM(Aerial!EN2,End_Sections!AK4,End_Sections!AK9),Aerial!EN2))</f>
        <v>#REF!</v>
      </c>
      <c r="L61" s="266" t="s">
        <v>75</v>
      </c>
      <c r="M61" s="268"/>
      <c r="N61" s="137" t="str">
        <f>IFERROR(IF(AND(#REF!="Y",#REF!="N"),O61,IF(End_Sections!AL2="A",IF(#REF!&lt;1000,O61+10,O61+20),O61)),"")</f>
        <v/>
      </c>
      <c r="O61" s="138" t="e">
        <f>IF(P61=0,"",P61)</f>
        <v>#REF!</v>
      </c>
      <c r="P61" s="131" t="e">
        <f>IF(N59=0,#REF!,IF(Aerial!ER3="",SUM(Aerial!ER2,End_Sections!AL4,End_Sections!AL9),Aerial!ER2))</f>
        <v>#REF!</v>
      </c>
      <c r="Q61" s="266" t="s">
        <v>75</v>
      </c>
      <c r="R61" s="268"/>
      <c r="S61" s="137" t="str">
        <f>IFERROR(IF(AND(#REF!="Y",#REF!="N"),T61,IF(End_Sections!AM2="A",IF(#REF!&lt;1000,T61+10,T61+20),T61)),"")</f>
        <v/>
      </c>
      <c r="T61" s="138" t="e">
        <f>IF(U61=0,"",U61)</f>
        <v>#REF!</v>
      </c>
      <c r="U61" s="131" t="e">
        <f>IF(S59=0,#REF!,IF(Aerial!EV3="",SUM(Aerial!EV2,End_Sections!AM4,End_Sections!AM9),Aerial!EV2))</f>
        <v>#REF!</v>
      </c>
      <c r="V61" s="266" t="s">
        <v>75</v>
      </c>
      <c r="W61" s="268"/>
      <c r="X61" s="137" t="str">
        <f>IFERROR(IF(AND(#REF!="Y",#REF!="N"),Y61,IF(End_Sections!AN2="A",IF(#REF!&lt;1000,Y61+10,Y61+20),Y61)),"")</f>
        <v/>
      </c>
      <c r="Y61" s="138" t="e">
        <f>IF(Z61=0,"",Z61)</f>
        <v>#REF!</v>
      </c>
      <c r="Z61" s="131" t="e">
        <f>IF(X59=0,#REF!,IF(Aerial!EZ3="",SUM(Aerial!EZ2,End_Sections!AN4,End_Sections!AN9),Aerial!EZ2))</f>
        <v>#REF!</v>
      </c>
      <c r="AA61" s="266" t="s">
        <v>75</v>
      </c>
      <c r="AB61" s="268"/>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6" t="s">
        <v>77</v>
      </c>
      <c r="H62" s="268"/>
      <c r="I62" s="137" t="e">
        <f>J62</f>
        <v>#REF!</v>
      </c>
      <c r="J62" s="138" t="e">
        <f>IF(K62=0,"",K62)</f>
        <v>#REF!</v>
      </c>
      <c r="K62" s="131" t="e">
        <f>IF(J61="","",IF(Aerial!EN3="","",SUM(Aerial!EN3,End_Sections!AK9)))</f>
        <v>#REF!</v>
      </c>
      <c r="L62" s="266" t="s">
        <v>77</v>
      </c>
      <c r="M62" s="268"/>
      <c r="N62" s="137" t="e">
        <f>O62</f>
        <v>#REF!</v>
      </c>
      <c r="O62" s="138" t="e">
        <f>IF(P62=0,"",P62)</f>
        <v>#REF!</v>
      </c>
      <c r="P62" s="131" t="e">
        <f>IF(O61="","",IF(Aerial!ER3="","",SUM(Aerial!ER3,End_Sections!AL9)))</f>
        <v>#REF!</v>
      </c>
      <c r="Q62" s="266" t="s">
        <v>77</v>
      </c>
      <c r="R62" s="268"/>
      <c r="S62" s="137" t="e">
        <f>T62</f>
        <v>#REF!</v>
      </c>
      <c r="T62" s="138" t="e">
        <f>IF(U62=0,"",U62)</f>
        <v>#REF!</v>
      </c>
      <c r="U62" s="131" t="e">
        <f>IF(T61="","",IF(Aerial!EV3="","",SUM(Aerial!EV3,End_Sections!AM9)))</f>
        <v>#REF!</v>
      </c>
      <c r="V62" s="266" t="s">
        <v>77</v>
      </c>
      <c r="W62" s="268"/>
      <c r="X62" s="137" t="e">
        <f>Y62</f>
        <v>#REF!</v>
      </c>
      <c r="Y62" s="138" t="e">
        <f>IF(Z62=0,"",Z62)</f>
        <v>#REF!</v>
      </c>
      <c r="Z62" s="131" t="e">
        <f>IF(Y61="","",IF(Aerial!EZ3="","",SUM(Aerial!EZ3,End_Sections!AN9)))</f>
        <v>#REF!</v>
      </c>
      <c r="AA62" s="266" t="s">
        <v>77</v>
      </c>
      <c r="AB62" s="268"/>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BH1" zoomScale="115" zoomScaleNormal="115" workbookViewId="0">
      <pane ySplit="8" topLeftCell="A9" activePane="bottomLeft" state="frozen"/>
      <selection pane="bottomLeft" activeCell="BP20" sqref="BP20"/>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7" t="s">
        <v>123</v>
      </c>
      <c r="B1" s="277"/>
      <c r="C1" s="277"/>
      <c r="D1" s="277"/>
      <c r="F1" s="277" t="s">
        <v>124</v>
      </c>
      <c r="G1" s="277"/>
      <c r="H1" s="277"/>
      <c r="I1" s="277"/>
      <c r="K1" s="277" t="s">
        <v>125</v>
      </c>
      <c r="L1" s="277"/>
      <c r="M1" s="277"/>
      <c r="N1" s="277"/>
      <c r="P1" s="277" t="s">
        <v>126</v>
      </c>
      <c r="Q1" s="277"/>
      <c r="R1" s="277"/>
      <c r="S1" s="277"/>
      <c r="U1" s="277" t="s">
        <v>127</v>
      </c>
      <c r="V1" s="277"/>
      <c r="W1" s="277"/>
      <c r="X1" s="277"/>
      <c r="Z1" s="277" t="s">
        <v>128</v>
      </c>
      <c r="AA1" s="277"/>
      <c r="AB1" s="277"/>
      <c r="AC1" s="277"/>
      <c r="AE1" s="277" t="s">
        <v>129</v>
      </c>
      <c r="AF1" s="277"/>
      <c r="AG1" s="277"/>
      <c r="AH1" s="277"/>
      <c r="AJ1" s="277" t="s">
        <v>130</v>
      </c>
      <c r="AK1" s="277"/>
      <c r="AL1" s="277"/>
      <c r="AM1" s="277"/>
      <c r="AO1" s="277" t="s">
        <v>131</v>
      </c>
      <c r="AP1" s="277"/>
      <c r="AQ1" s="277"/>
      <c r="AR1" s="277"/>
      <c r="AT1" s="277" t="s">
        <v>132</v>
      </c>
      <c r="AU1" s="277"/>
      <c r="AV1" s="277"/>
      <c r="AW1" s="277"/>
      <c r="AY1" s="277" t="s">
        <v>133</v>
      </c>
      <c r="AZ1" s="277"/>
      <c r="BA1" s="277"/>
      <c r="BB1" s="277"/>
      <c r="BD1" s="277" t="s">
        <v>134</v>
      </c>
      <c r="BE1" s="277"/>
      <c r="BF1" s="277"/>
      <c r="BG1" s="277"/>
      <c r="BI1" s="277" t="s">
        <v>135</v>
      </c>
      <c r="BJ1" s="277"/>
      <c r="BK1" s="277"/>
      <c r="BL1" s="277"/>
      <c r="BN1" s="277" t="s">
        <v>136</v>
      </c>
      <c r="BO1" s="277"/>
      <c r="BP1" s="277"/>
      <c r="BQ1" s="277"/>
      <c r="BS1" s="277" t="s">
        <v>137</v>
      </c>
      <c r="BT1" s="277"/>
      <c r="BU1" s="277"/>
      <c r="BV1" s="277"/>
      <c r="BX1" s="277" t="s">
        <v>138</v>
      </c>
      <c r="BY1" s="277"/>
      <c r="BZ1" s="277"/>
      <c r="CA1" s="277"/>
      <c r="CC1" s="277" t="s">
        <v>139</v>
      </c>
      <c r="CD1" s="277"/>
      <c r="CE1" s="277"/>
      <c r="CF1" s="277"/>
      <c r="CH1" s="277" t="s">
        <v>140</v>
      </c>
      <c r="CI1" s="277"/>
      <c r="CJ1" s="277"/>
      <c r="CK1" s="277"/>
      <c r="CM1" s="277" t="s">
        <v>141</v>
      </c>
      <c r="CN1" s="277"/>
      <c r="CO1" s="277"/>
      <c r="CP1" s="277"/>
      <c r="CR1" s="277" t="s">
        <v>142</v>
      </c>
      <c r="CS1" s="277"/>
      <c r="CT1" s="277"/>
      <c r="CU1" s="277"/>
      <c r="CW1" s="277" t="s">
        <v>143</v>
      </c>
      <c r="CX1" s="277"/>
      <c r="CY1" s="277"/>
      <c r="CZ1" s="277"/>
      <c r="DB1" s="277" t="s">
        <v>144</v>
      </c>
      <c r="DC1" s="277"/>
      <c r="DD1" s="277"/>
      <c r="DE1" s="277"/>
      <c r="DG1" s="277" t="s">
        <v>145</v>
      </c>
      <c r="DH1" s="277"/>
      <c r="DI1" s="277"/>
      <c r="DJ1" s="277"/>
      <c r="DL1" s="277" t="s">
        <v>146</v>
      </c>
      <c r="DM1" s="277"/>
      <c r="DN1" s="277"/>
      <c r="DO1" s="277"/>
      <c r="DQ1" s="277" t="s">
        <v>147</v>
      </c>
      <c r="DR1" s="277"/>
      <c r="DS1" s="277"/>
      <c r="DT1" s="277"/>
      <c r="DV1" s="277" t="s">
        <v>148</v>
      </c>
      <c r="DW1" s="277"/>
      <c r="DX1" s="277"/>
      <c r="DY1" s="277"/>
      <c r="EA1" s="277" t="s">
        <v>149</v>
      </c>
      <c r="EB1" s="277"/>
      <c r="EC1" s="277"/>
      <c r="ED1" s="277"/>
      <c r="EF1" s="277" t="s">
        <v>150</v>
      </c>
      <c r="EG1" s="277"/>
      <c r="EH1" s="277"/>
      <c r="EI1" s="277"/>
      <c r="EK1" s="277" t="s">
        <v>151</v>
      </c>
      <c r="EL1" s="277"/>
      <c r="EM1" s="277"/>
      <c r="EN1" s="277"/>
      <c r="EP1" s="277" t="s">
        <v>152</v>
      </c>
      <c r="EQ1" s="277"/>
      <c r="ER1" s="277"/>
      <c r="ES1" s="277"/>
      <c r="EU1" s="277" t="s">
        <v>153</v>
      </c>
      <c r="EV1" s="277"/>
      <c r="EW1" s="277"/>
      <c r="EX1" s="277"/>
      <c r="EZ1" s="277" t="s">
        <v>154</v>
      </c>
      <c r="FA1" s="277"/>
      <c r="FB1" s="277"/>
      <c r="FC1" s="277"/>
      <c r="FE1" s="277" t="s">
        <v>155</v>
      </c>
      <c r="FF1" s="277"/>
      <c r="FG1" s="277"/>
      <c r="FH1" s="277"/>
      <c r="FJ1" s="277" t="s">
        <v>156</v>
      </c>
      <c r="FK1" s="277"/>
      <c r="FL1" s="277"/>
      <c r="FM1" s="277"/>
      <c r="FO1" s="277" t="s">
        <v>157</v>
      </c>
      <c r="FP1" s="277"/>
      <c r="FQ1" s="277"/>
      <c r="FR1" s="277"/>
      <c r="FT1" s="277" t="s">
        <v>158</v>
      </c>
      <c r="FU1" s="277"/>
      <c r="FV1" s="277"/>
      <c r="FW1" s="277"/>
      <c r="FY1" s="277" t="s">
        <v>159</v>
      </c>
      <c r="FZ1" s="277"/>
      <c r="GA1" s="277"/>
      <c r="GB1" s="277"/>
      <c r="GD1" s="277" t="s">
        <v>160</v>
      </c>
      <c r="GE1" s="277"/>
      <c r="GF1" s="277"/>
      <c r="GG1" s="277"/>
      <c r="GI1" s="277" t="s">
        <v>161</v>
      </c>
      <c r="GJ1" s="277"/>
      <c r="GK1" s="277"/>
      <c r="GL1" s="277"/>
      <c r="GN1" s="277" t="s">
        <v>162</v>
      </c>
      <c r="GO1" s="277"/>
      <c r="GP1" s="277"/>
      <c r="GQ1" s="277"/>
      <c r="GS1" s="277" t="s">
        <v>163</v>
      </c>
      <c r="GT1" s="277"/>
      <c r="GU1" s="277"/>
      <c r="GV1" s="277"/>
      <c r="GX1" s="277" t="s">
        <v>164</v>
      </c>
      <c r="GY1" s="277"/>
      <c r="GZ1" s="277"/>
      <c r="HA1" s="277"/>
      <c r="HC1" s="277" t="s">
        <v>165</v>
      </c>
      <c r="HD1" s="277"/>
      <c r="HE1" s="277"/>
      <c r="HF1" s="277"/>
      <c r="HH1" s="277" t="s">
        <v>166</v>
      </c>
      <c r="HI1" s="277"/>
      <c r="HJ1" s="277"/>
      <c r="HK1" s="277"/>
      <c r="HM1" s="277" t="s">
        <v>167</v>
      </c>
      <c r="HN1" s="277"/>
      <c r="HO1" s="277"/>
      <c r="HP1" s="277"/>
      <c r="HR1" s="277" t="s">
        <v>168</v>
      </c>
      <c r="HS1" s="277"/>
      <c r="HT1" s="277"/>
      <c r="HU1" s="277"/>
      <c r="HW1" s="277" t="s">
        <v>169</v>
      </c>
      <c r="HX1" s="277"/>
      <c r="HY1" s="277"/>
      <c r="HZ1" s="277"/>
      <c r="IB1" s="277" t="s">
        <v>170</v>
      </c>
      <c r="IC1" s="277"/>
      <c r="ID1" s="277"/>
      <c r="IE1" s="277"/>
      <c r="IG1" s="277" t="s">
        <v>171</v>
      </c>
      <c r="IH1" s="277"/>
      <c r="II1" s="277"/>
      <c r="IJ1" s="277"/>
      <c r="IL1" s="277" t="s">
        <v>172</v>
      </c>
      <c r="IM1" s="277"/>
      <c r="IN1" s="277"/>
      <c r="IO1" s="277"/>
    </row>
    <row r="2" spans="1:250" x14ac:dyDescent="0.25">
      <c r="A2" s="278" t="s">
        <v>173</v>
      </c>
      <c r="B2" s="278"/>
      <c r="C2" s="278"/>
      <c r="D2" s="14">
        <f>IF(D3="","",IF(AND(D5="Y",D6="N"),D3,IF(D3&lt;1000,D3+10,D3+20)))</f>
        <v>1791</v>
      </c>
      <c r="F2" s="278" t="s">
        <v>173</v>
      </c>
      <c r="G2" s="278"/>
      <c r="H2" s="278"/>
      <c r="I2" s="14">
        <f>IF(I3="","",IF(AND(I5="Y",I6="N"),I3,IF(I3&lt;1000,I3+10,I3+20)))</f>
        <v>1618</v>
      </c>
      <c r="K2" s="278" t="s">
        <v>173</v>
      </c>
      <c r="L2" s="278"/>
      <c r="M2" s="278"/>
      <c r="N2" s="14">
        <f>IF(N3="","",IF(AND(N5="Y",N6="N"),N3,IF(N3&lt;1000,N3+10,N3+20)))</f>
        <v>1556</v>
      </c>
      <c r="P2" s="278" t="s">
        <v>173</v>
      </c>
      <c r="Q2" s="278"/>
      <c r="R2" s="278"/>
      <c r="S2" s="14">
        <f>IF(S3="","",IF(AND(S5="Y",S6="N"),S3,IF(S3&lt;1000,S3+10,S3+20)))</f>
        <v>2280</v>
      </c>
      <c r="U2" s="278" t="s">
        <v>173</v>
      </c>
      <c r="V2" s="278"/>
      <c r="W2" s="278"/>
      <c r="X2" s="14">
        <f>IF(X3="","",IF(AND(X5="Y",X6="N"),X3,IF(X3&lt;1000,X3+10,X3+20)))</f>
        <v>2708</v>
      </c>
      <c r="Z2" s="278" t="s">
        <v>173</v>
      </c>
      <c r="AA2" s="278"/>
      <c r="AB2" s="278"/>
      <c r="AC2" s="14">
        <f>IF(AC3="","",IF(AND(AC5="Y",AC6="N"),AC3,IF(AC3&lt;1000,AC3+10,AC3+20)))</f>
        <v>2901</v>
      </c>
      <c r="AE2" s="278" t="s">
        <v>173</v>
      </c>
      <c r="AF2" s="278"/>
      <c r="AG2" s="278"/>
      <c r="AH2" s="14">
        <f>IF(AH3="","",IF(AND(AH5="Y",AH6="N"),AH3,IF(AH3&lt;1000,AH3+10,AH3+20)))</f>
        <v>2681</v>
      </c>
      <c r="AJ2" s="278" t="s">
        <v>173</v>
      </c>
      <c r="AK2" s="278"/>
      <c r="AL2" s="278"/>
      <c r="AM2" s="14">
        <f>IF(AM3="","",IF(AND(AM5="Y",AM6="N"),AM3,IF(AM3&lt;1000,AM3+10,AM3+20)))</f>
        <v>1819</v>
      </c>
      <c r="AO2" s="278" t="s">
        <v>173</v>
      </c>
      <c r="AP2" s="278"/>
      <c r="AQ2" s="278"/>
      <c r="AR2" s="14">
        <f>IF(AR3="","",IF(AND(AR5="Y",AR6="N"),AR3,IF(AR3&lt;1000,AR3+10,AR3+20)))</f>
        <v>381</v>
      </c>
      <c r="AT2" s="278" t="s">
        <v>173</v>
      </c>
      <c r="AU2" s="278"/>
      <c r="AV2" s="278"/>
      <c r="AW2" s="14">
        <f>IF(AW3="","",IF(AND(AW5="Y",AW6="N"),AW3,IF(AW3&lt;1000,AW3+10,AW3+20)))</f>
        <v>947</v>
      </c>
      <c r="AY2" s="278" t="s">
        <v>173</v>
      </c>
      <c r="AZ2" s="278"/>
      <c r="BA2" s="278"/>
      <c r="BB2" s="14">
        <f>IF(BB3="","",IF(AND(BB5="Y",BB6="N"),BB3,IF(BB3&lt;1000,BB3+10,BB3+20)))</f>
        <v>2819</v>
      </c>
      <c r="BD2" s="278" t="s">
        <v>173</v>
      </c>
      <c r="BE2" s="278"/>
      <c r="BF2" s="278"/>
      <c r="BG2" s="14">
        <f>IF(BG3="","",IF(AND(BG5="Y",BG6="N"),BG3,IF(BG3&lt;1000,BG3+10,BG3+20)))</f>
        <v>649</v>
      </c>
      <c r="BI2" s="278" t="s">
        <v>173</v>
      </c>
      <c r="BJ2" s="278"/>
      <c r="BK2" s="278"/>
      <c r="BL2" s="14">
        <f>IF(BL3="","",IF(AND(BL5="Y",BL6="N"),BL3,IF(BL3&lt;1000,BL3+10,BL3+20)))</f>
        <v>2032</v>
      </c>
      <c r="BN2" s="278" t="s">
        <v>173</v>
      </c>
      <c r="BO2" s="278"/>
      <c r="BP2" s="278"/>
      <c r="BQ2" s="14">
        <f>IF(BQ3="","",IF(AND(BQ5="Y",BQ6="N"),BQ3,IF(BQ3&lt;1000,BQ3+10,BQ3+20)))</f>
        <v>1146</v>
      </c>
      <c r="BS2" s="278" t="s">
        <v>173</v>
      </c>
      <c r="BT2" s="278"/>
      <c r="BU2" s="278"/>
      <c r="BV2" s="14">
        <f>IF(BV3="","",IF(AND(BV5="Y",BV6="N"),BV3,IF(BV3&lt;1000,BV3+10,BV3+20)))</f>
        <v>978</v>
      </c>
      <c r="BX2" s="278" t="s">
        <v>173</v>
      </c>
      <c r="BY2" s="278"/>
      <c r="BZ2" s="278"/>
      <c r="CA2" s="14">
        <f>IF(CA3="","",IF(AND(CA5="Y",CA6="N"),CA3,IF(CA3&lt;1000,CA3+10,CA3+20)))</f>
        <v>1748</v>
      </c>
      <c r="CC2" s="278" t="s">
        <v>173</v>
      </c>
      <c r="CD2" s="278"/>
      <c r="CE2" s="278"/>
      <c r="CF2" s="14">
        <f>IF(CF3="","",IF(AND(CF5="Y",CF6="N"),CF3,IF(CF3&lt;1000,CF3+10,CF3+20)))</f>
        <v>1899</v>
      </c>
      <c r="CH2" s="278" t="s">
        <v>173</v>
      </c>
      <c r="CI2" s="278"/>
      <c r="CJ2" s="278"/>
      <c r="CK2" s="14">
        <f>IF(CK3="","",IF(AND(CK5="Y",CK6="N"),CK3,IF(CK3&lt;1000,CK3+10,CK3+20)))</f>
        <v>1481</v>
      </c>
      <c r="CM2" s="278" t="s">
        <v>173</v>
      </c>
      <c r="CN2" s="278"/>
      <c r="CO2" s="278"/>
      <c r="CP2" s="14">
        <f>IF(CP3="","",IF(AND(CP5="Y",CP6="N"),CP3,IF(CP3&lt;1000,CP3+10,CP3+20)))</f>
        <v>995</v>
      </c>
      <c r="CR2" s="278" t="s">
        <v>173</v>
      </c>
      <c r="CS2" s="278"/>
      <c r="CT2" s="278"/>
      <c r="CU2" s="14">
        <f>IF(CU3="","",IF(AND(CU5="Y",CU6="N"),CU3,IF(CU3&lt;1000,CU3+10,CU3+20)))</f>
        <v>2370</v>
      </c>
      <c r="CW2" s="278" t="s">
        <v>173</v>
      </c>
      <c r="CX2" s="278"/>
      <c r="CY2" s="278"/>
      <c r="CZ2" s="14">
        <f>IF(CZ3="","",IF(AND(CZ5="Y",CZ6="N"),CZ3,IF(CZ3&lt;1000,CZ3+10,CZ3+20)))</f>
        <v>1615</v>
      </c>
      <c r="DB2" s="278" t="s">
        <v>173</v>
      </c>
      <c r="DC2" s="278"/>
      <c r="DD2" s="278"/>
      <c r="DE2" s="14">
        <f>IF(DE3="","",IF(AND(DE5="Y",DE6="N"),DE3,IF(DE3&lt;1000,DE3+10,DE3+20)))</f>
        <v>1096</v>
      </c>
      <c r="DG2" s="278" t="s">
        <v>173</v>
      </c>
      <c r="DH2" s="278"/>
      <c r="DI2" s="278"/>
      <c r="DJ2" s="14">
        <f>IF(DJ3="","",IF(AND(DJ5="Y",DJ6="N"),DJ3,IF(DJ3&lt;1000,DJ3+10,DJ3+20)))</f>
        <v>484</v>
      </c>
      <c r="DL2" s="278" t="s">
        <v>173</v>
      </c>
      <c r="DM2" s="278"/>
      <c r="DN2" s="278"/>
      <c r="DO2" s="14">
        <f>IF(DO3="","",IF(AND(DO5="Y",DO6="N"),DO3,IF(DO3&lt;1000,DO3+10,DO3+20)))</f>
        <v>485</v>
      </c>
      <c r="DQ2" s="278" t="s">
        <v>173</v>
      </c>
      <c r="DR2" s="278"/>
      <c r="DS2" s="278"/>
      <c r="DT2" s="14">
        <f>IF(DT3="","",IF(AND(DT5="Y",DT6="N"),DT3,IF(DT3&lt;1000,DT3+10,DT3+20)))</f>
        <v>2197</v>
      </c>
      <c r="DV2" s="278" t="s">
        <v>173</v>
      </c>
      <c r="DW2" s="278"/>
      <c r="DX2" s="278"/>
      <c r="DY2" s="14">
        <f>IF(DY3="","",IF(AND(DY5="Y",DY6="N"),DY3,IF(DY3&lt;1000,DY3+10,DY3+20)))</f>
        <v>416</v>
      </c>
      <c r="EA2" s="278" t="s">
        <v>173</v>
      </c>
      <c r="EB2" s="278"/>
      <c r="EC2" s="278"/>
      <c r="ED2" s="14">
        <f>IF(ED3="","",IF(AND(ED5="Y",ED6="N"),ED3,IF(ED3&lt;1000,ED3+10,ED3+20)))</f>
        <v>1073</v>
      </c>
      <c r="EF2" s="278" t="s">
        <v>173</v>
      </c>
      <c r="EG2" s="278"/>
      <c r="EH2" s="278"/>
      <c r="EI2" s="14">
        <f>IF(EI3="","",IF(AND(EI5="Y",EI6="N"),EI3,IF(EI3&lt;1000,EI3+10,EI3+20)))</f>
        <v>110</v>
      </c>
      <c r="EK2" s="278" t="s">
        <v>173</v>
      </c>
      <c r="EL2" s="278"/>
      <c r="EM2" s="278"/>
      <c r="EN2" s="14" t="str">
        <f>IF(EN3="","",IF(AND(EN5="Y",EN6="N"),EN3,IF(EN3&lt;1000,EN3+10,EN3+20)))</f>
        <v/>
      </c>
      <c r="EP2" s="278" t="s">
        <v>173</v>
      </c>
      <c r="EQ2" s="278"/>
      <c r="ER2" s="278"/>
      <c r="ES2" s="14" t="str">
        <f>IF(ES3="","",IF(AND(ES5="Y",ES6="N"),ES3,IF(ES3&lt;1000,ES3+10,ES3+20)))</f>
        <v/>
      </c>
      <c r="EU2" s="278" t="s">
        <v>173</v>
      </c>
      <c r="EV2" s="278"/>
      <c r="EW2" s="278"/>
      <c r="EX2" s="14" t="str">
        <f>IF(EX3="","",IF(AND(EX5="Y",EX6="N"),EX3,IF(EX3&lt;1000,EX3+10,EX3+20)))</f>
        <v/>
      </c>
      <c r="EZ2" s="278" t="s">
        <v>173</v>
      </c>
      <c r="FA2" s="278"/>
      <c r="FB2" s="278"/>
      <c r="FC2" s="14" t="str">
        <f>IF(FC3="","",IF(AND(FC5="Y",FC6="N"),FC3,IF(FC3&lt;1000,FC3+10,FC3+20)))</f>
        <v/>
      </c>
      <c r="FE2" s="278" t="s">
        <v>173</v>
      </c>
      <c r="FF2" s="278"/>
      <c r="FG2" s="278"/>
      <c r="FH2" s="14" t="str">
        <f>IF(FH3="","",IF(AND(FH5="Y",FH6="N"),FH3,IF(FH3&lt;1000,FH3+10,FH3+20)))</f>
        <v/>
      </c>
      <c r="FJ2" s="278" t="s">
        <v>173</v>
      </c>
      <c r="FK2" s="278"/>
      <c r="FL2" s="278"/>
      <c r="FM2" s="14" t="str">
        <f>IF(FM3="","",IF(AND(FM5="Y",FM6="N"),FM3,IF(FM3&lt;1000,FM3+10,FM3+20)))</f>
        <v/>
      </c>
      <c r="FO2" s="278" t="s">
        <v>173</v>
      </c>
      <c r="FP2" s="278"/>
      <c r="FQ2" s="278"/>
      <c r="FR2" s="14" t="str">
        <f>IF(FR3="","",IF(AND(FR5="Y",FR6="N"),FR3,IF(FR3&lt;1000,FR3+10,FR3+20)))</f>
        <v/>
      </c>
      <c r="FT2" s="278" t="s">
        <v>173</v>
      </c>
      <c r="FU2" s="278"/>
      <c r="FV2" s="278"/>
      <c r="FW2" s="14" t="str">
        <f>IF(FW3="","",IF(AND(FW5="Y",FW6="N"),FW3,IF(FW3&lt;1000,FW3+10,FW3+20)))</f>
        <v/>
      </c>
      <c r="FY2" s="278" t="s">
        <v>173</v>
      </c>
      <c r="FZ2" s="278"/>
      <c r="GA2" s="278"/>
      <c r="GB2" s="14" t="str">
        <f>IF(GB3="","",IF(AND(GB5="Y",GB6="N"),GB3,IF(GB3&lt;1000,GB3+10,GB3+20)))</f>
        <v/>
      </c>
      <c r="GD2" s="278" t="s">
        <v>173</v>
      </c>
      <c r="GE2" s="278"/>
      <c r="GF2" s="278"/>
      <c r="GG2" s="14" t="str">
        <f>IF(GG3="","",IF(AND(GG5="Y",GG6="N"),GG3,IF(GG3&lt;1000,GG3+10,GG3+20)))</f>
        <v/>
      </c>
      <c r="GI2" s="278" t="s">
        <v>173</v>
      </c>
      <c r="GJ2" s="278"/>
      <c r="GK2" s="278"/>
      <c r="GL2" s="14" t="str">
        <f>IF(GL3="","",IF(AND(GL5="Y",GL6="N"),GL3,IF(GL3&lt;1000,GL3+10,GL3+20)))</f>
        <v/>
      </c>
      <c r="GN2" s="278" t="s">
        <v>173</v>
      </c>
      <c r="GO2" s="278"/>
      <c r="GP2" s="278"/>
      <c r="GQ2" s="14" t="str">
        <f>IF(GQ3="","",IF(AND(GQ5="Y",GQ6="N"),GQ3,IF(GQ3&lt;1000,GQ3+10,GQ3+20)))</f>
        <v/>
      </c>
      <c r="GS2" s="278" t="s">
        <v>173</v>
      </c>
      <c r="GT2" s="278"/>
      <c r="GU2" s="278"/>
      <c r="GV2" s="14" t="str">
        <f>IF(GV3="","",IF(AND(GV5="Y",GV6="N"),GV3,IF(GV3&lt;1000,GV3+10,GV3+20)))</f>
        <v/>
      </c>
      <c r="GX2" s="278" t="s">
        <v>173</v>
      </c>
      <c r="GY2" s="278"/>
      <c r="GZ2" s="278"/>
      <c r="HA2" s="14" t="str">
        <f>IF(HA3="","",IF(AND(HA5="Y",HA6="N"),HA3,IF(HA3&lt;1000,HA3+10,HA3+20)))</f>
        <v/>
      </c>
      <c r="HC2" s="278" t="s">
        <v>173</v>
      </c>
      <c r="HD2" s="278"/>
      <c r="HE2" s="278"/>
      <c r="HF2" s="14" t="str">
        <f>IF(HF3="","",IF(AND(HF5="Y",HF6="N"),HF3,IF(HF3&lt;1000,HF3+10,HF3+20)))</f>
        <v/>
      </c>
      <c r="HH2" s="278" t="s">
        <v>173</v>
      </c>
      <c r="HI2" s="278"/>
      <c r="HJ2" s="278"/>
      <c r="HK2" s="14" t="str">
        <f>IF(HK3="","",IF(AND(HK5="Y",HK6="N"),HK3,IF(HK3&lt;1000,HK3+10,HK3+20)))</f>
        <v/>
      </c>
      <c r="HM2" s="278" t="s">
        <v>173</v>
      </c>
      <c r="HN2" s="278"/>
      <c r="HO2" s="278"/>
      <c r="HP2" s="14" t="str">
        <f>IF(HP3="","",IF(AND(HP5="Y",HP6="N"),HP3,IF(HP3&lt;1000,HP3+10,HP3+20)))</f>
        <v/>
      </c>
      <c r="HR2" s="278" t="s">
        <v>173</v>
      </c>
      <c r="HS2" s="278"/>
      <c r="HT2" s="278"/>
      <c r="HU2" s="14" t="str">
        <f>IF(HU3="","",IF(AND(HU5="Y",HU6="N"),HU3,IF(HU3&lt;1000,HU3+10,HU3+20)))</f>
        <v/>
      </c>
      <c r="HW2" s="278" t="s">
        <v>173</v>
      </c>
      <c r="HX2" s="278"/>
      <c r="HY2" s="278"/>
      <c r="HZ2" s="14" t="str">
        <f>IF(HZ3="","",IF(AND(HZ5="Y",HZ6="N"),HZ3,IF(HZ3&lt;1000,HZ3+10,HZ3+20)))</f>
        <v/>
      </c>
      <c r="IB2" s="278" t="s">
        <v>173</v>
      </c>
      <c r="IC2" s="278"/>
      <c r="ID2" s="278"/>
      <c r="IE2" s="14" t="str">
        <f>IF(IE3="","",IF(AND(IE5="Y",IE6="N"),IE3,IF(IE3&lt;1000,IE3+10,IE3+20)))</f>
        <v/>
      </c>
      <c r="IG2" s="278" t="s">
        <v>173</v>
      </c>
      <c r="IH2" s="278"/>
      <c r="II2" s="278"/>
      <c r="IJ2" s="14" t="str">
        <f>IF(IJ3="","",IF(AND(IJ5="Y",IJ6="N"),IJ3,IF(IJ3&lt;1000,IJ3+10,IJ3+20)))</f>
        <v/>
      </c>
      <c r="IL2" s="278" t="s">
        <v>173</v>
      </c>
      <c r="IM2" s="278"/>
      <c r="IN2" s="278"/>
      <c r="IO2" s="14" t="str">
        <f>IF(IO3="","",IF(AND(IO5="Y",IO6="N"),IO3,IF(IO3&lt;1000,IO3+10,IO3+20)))</f>
        <v/>
      </c>
    </row>
    <row r="3" spans="1:250" x14ac:dyDescent="0.25">
      <c r="A3" s="278" t="s">
        <v>174</v>
      </c>
      <c r="B3" s="278"/>
      <c r="C3" s="278"/>
      <c r="D3" s="15">
        <f>IF(E3="","",SUM(E3,E5,E6))</f>
        <v>1771</v>
      </c>
      <c r="E3" s="16">
        <f>IF(E9="","",SUM(E9:E208,B9:B208,D9:D208))</f>
        <v>1771</v>
      </c>
      <c r="F3" s="278" t="s">
        <v>174</v>
      </c>
      <c r="G3" s="278"/>
      <c r="H3" s="278"/>
      <c r="I3" s="15">
        <f>IF(J3="","",SUM(J3,J5,J6))</f>
        <v>1598</v>
      </c>
      <c r="J3" s="16">
        <f>IF(J9="","",SUM(J9:J208,G9:G208,I9:I208))</f>
        <v>1598</v>
      </c>
      <c r="K3" s="278" t="s">
        <v>174</v>
      </c>
      <c r="L3" s="278"/>
      <c r="M3" s="278"/>
      <c r="N3" s="15">
        <f>IF(O3="","",SUM(O3,O5,O6))</f>
        <v>1536</v>
      </c>
      <c r="O3" s="16">
        <f>IF(O9="","",SUM(O9:O208,L9:L208,N9:N208))</f>
        <v>1511</v>
      </c>
      <c r="P3" s="278" t="s">
        <v>174</v>
      </c>
      <c r="Q3" s="278"/>
      <c r="R3" s="278"/>
      <c r="S3" s="15">
        <f>IF(T3="","",SUM(T3,T5,T6))</f>
        <v>2260</v>
      </c>
      <c r="T3" s="16">
        <f>IF(T9="","",SUM(T9:T208,Q9:Q208,S9:S208))</f>
        <v>2260</v>
      </c>
      <c r="U3" s="278" t="s">
        <v>174</v>
      </c>
      <c r="V3" s="278"/>
      <c r="W3" s="278"/>
      <c r="X3" s="15">
        <f>IF(Y3="","",SUM(Y3,Y5,Y6))</f>
        <v>2688</v>
      </c>
      <c r="Y3" s="16">
        <f>IF(Y9="","",SUM(Y9:Y208,V9:V208,X9:X208))</f>
        <v>2688</v>
      </c>
      <c r="Z3" s="278" t="s">
        <v>174</v>
      </c>
      <c r="AA3" s="278"/>
      <c r="AB3" s="278"/>
      <c r="AC3" s="15">
        <f>IF(AD3="","",SUM(AD3,AD5,AD6))</f>
        <v>2881</v>
      </c>
      <c r="AD3" s="16">
        <f>IF(AD9="","",SUM(AD9:AD208,AA9:AA208,AC9:AC208))</f>
        <v>2881</v>
      </c>
      <c r="AE3" s="278" t="s">
        <v>174</v>
      </c>
      <c r="AF3" s="278"/>
      <c r="AG3" s="278"/>
      <c r="AH3" s="15">
        <f>IF(AI3="","",SUM(AI3,AI5,AI6))</f>
        <v>2661</v>
      </c>
      <c r="AI3" s="16">
        <f>IF(AI9="","",SUM(AI9:AI208,AF9:AF208,AH9:AH208))</f>
        <v>2646</v>
      </c>
      <c r="AJ3" s="278" t="s">
        <v>174</v>
      </c>
      <c r="AK3" s="278"/>
      <c r="AL3" s="278"/>
      <c r="AM3" s="15">
        <f>IF(AN3="","",SUM(AN3,AN5,AN6))</f>
        <v>1799</v>
      </c>
      <c r="AN3" s="16">
        <f>IF(AN9="","",SUM(AN9:AN208,AK9:AK208,AM9:AM208))</f>
        <v>1799</v>
      </c>
      <c r="AO3" s="278" t="s">
        <v>174</v>
      </c>
      <c r="AP3" s="278"/>
      <c r="AQ3" s="278"/>
      <c r="AR3" s="15">
        <f>IF(AS3="","",SUM(AS3,AS5,AS6))</f>
        <v>381</v>
      </c>
      <c r="AS3" s="16">
        <f>IF(AS9="","",SUM(AS9:AS208,AP9:AP208,AR9:AR208))</f>
        <v>351</v>
      </c>
      <c r="AT3" s="278" t="s">
        <v>174</v>
      </c>
      <c r="AU3" s="278"/>
      <c r="AV3" s="278"/>
      <c r="AW3" s="15">
        <f>IF(AX3="","",SUM(AX3,AX5,AX6))</f>
        <v>937</v>
      </c>
      <c r="AX3" s="16">
        <f>IF(AX9="","",SUM(AX9:AX208,AU9:AU208,AW9:AW208))</f>
        <v>922</v>
      </c>
      <c r="AY3" s="278" t="s">
        <v>174</v>
      </c>
      <c r="AZ3" s="278"/>
      <c r="BA3" s="278"/>
      <c r="BB3" s="15">
        <f>IF(BC3="","",SUM(BC3,BC5,BC6))</f>
        <v>2799</v>
      </c>
      <c r="BC3" s="16">
        <f>IF(BC9="","",SUM(BC9:BC208,AZ9:AZ208,BB9:BB208))</f>
        <v>2799</v>
      </c>
      <c r="BD3" s="278" t="s">
        <v>174</v>
      </c>
      <c r="BE3" s="278"/>
      <c r="BF3" s="278"/>
      <c r="BG3" s="15">
        <f>IF(BH3="","",SUM(BH3,BH5,BH6))</f>
        <v>649</v>
      </c>
      <c r="BH3" s="16">
        <f>IF(BH9="","",SUM(BH9:BH208,BE9:BE208,BG9:BG208))</f>
        <v>619</v>
      </c>
      <c r="BI3" s="278" t="s">
        <v>174</v>
      </c>
      <c r="BJ3" s="278"/>
      <c r="BK3" s="278"/>
      <c r="BL3" s="15">
        <f>IF(BM3="","",SUM(BM3,BM5,BM6))</f>
        <v>2012</v>
      </c>
      <c r="BM3" s="16">
        <f>IF(BM9="","",SUM(BM9:BM208,BJ9:BJ208,BL9:BL208))</f>
        <v>1987</v>
      </c>
      <c r="BN3" s="278" t="s">
        <v>174</v>
      </c>
      <c r="BO3" s="278"/>
      <c r="BP3" s="278"/>
      <c r="BQ3" s="15">
        <f>IF(BR3="","",SUM(BR3,BR5,BR6))</f>
        <v>1126</v>
      </c>
      <c r="BR3" s="16">
        <f>IF(BR9="","",SUM(BR9:BR208,BO9:BO208,BQ9:BQ208))</f>
        <v>1126</v>
      </c>
      <c r="BS3" s="278" t="s">
        <v>174</v>
      </c>
      <c r="BT3" s="278"/>
      <c r="BU3" s="278"/>
      <c r="BV3" s="15">
        <f>IF(BW3="","",SUM(BW3,BW5,BW6))</f>
        <v>978</v>
      </c>
      <c r="BW3" s="16">
        <f>IF(BW9="","",SUM(BW9:BW208,BT9:BT208,BV9:BV208))</f>
        <v>948</v>
      </c>
      <c r="BX3" s="278" t="s">
        <v>174</v>
      </c>
      <c r="BY3" s="278"/>
      <c r="BZ3" s="278"/>
      <c r="CA3" s="15">
        <f>IF(CB3="","",SUM(CB3,CB5,CB6))</f>
        <v>1728</v>
      </c>
      <c r="CB3" s="16">
        <f>IF(CB9="","",SUM(CB9:CB208,BY9:BY208,CA9:CA208))</f>
        <v>1728</v>
      </c>
      <c r="CC3" s="278" t="s">
        <v>174</v>
      </c>
      <c r="CD3" s="278"/>
      <c r="CE3" s="278"/>
      <c r="CF3" s="15">
        <f>IF(CG3="","",SUM(CG3,CG5,CG6))</f>
        <v>1879</v>
      </c>
      <c r="CG3" s="16">
        <f>IF(CG9="","",SUM(CG9:CG208,CD9:CD208,CF9:CF208))</f>
        <v>1879</v>
      </c>
      <c r="CH3" s="278" t="s">
        <v>174</v>
      </c>
      <c r="CI3" s="278"/>
      <c r="CJ3" s="278"/>
      <c r="CK3" s="15">
        <f>IF(CL3="","",SUM(CL3,CL5,CL6))</f>
        <v>1461</v>
      </c>
      <c r="CL3" s="16">
        <f>IF(CL9="","",SUM(CL9:CL208,CI9:CI208,CK9:CK208))</f>
        <v>1446</v>
      </c>
      <c r="CM3" s="278" t="s">
        <v>174</v>
      </c>
      <c r="CN3" s="278"/>
      <c r="CO3" s="278"/>
      <c r="CP3" s="15">
        <f>IF(CQ3="","",SUM(CQ3,CQ5,CQ6))</f>
        <v>985</v>
      </c>
      <c r="CQ3" s="16">
        <f>IF(CQ9="","",SUM(CQ9:CQ208,CN9:CN208,CP9:CP208))</f>
        <v>960</v>
      </c>
      <c r="CR3" s="278" t="s">
        <v>174</v>
      </c>
      <c r="CS3" s="278"/>
      <c r="CT3" s="278"/>
      <c r="CU3" s="15">
        <f>IF(CV3="","",SUM(CV3,CV5,CV6))</f>
        <v>2350</v>
      </c>
      <c r="CV3" s="16">
        <f>IF(CV9="","",SUM(CV9:CV208,CS9:CS208,CU9:CU208))</f>
        <v>2335</v>
      </c>
      <c r="CW3" s="278" t="s">
        <v>174</v>
      </c>
      <c r="CX3" s="278"/>
      <c r="CY3" s="278"/>
      <c r="CZ3" s="15">
        <f>IF(DA3="","",SUM(DA3,DA5,DA6))</f>
        <v>1595</v>
      </c>
      <c r="DA3" s="16">
        <f>IF(DA9="","",SUM(DA9:DA208,CX9:CX208,CZ9:CZ208))</f>
        <v>1595</v>
      </c>
      <c r="DB3" s="278" t="s">
        <v>174</v>
      </c>
      <c r="DC3" s="278"/>
      <c r="DD3" s="278"/>
      <c r="DE3" s="15">
        <f>IF(DF3="","",SUM(DF3,DF5,DF6))</f>
        <v>1096</v>
      </c>
      <c r="DF3" s="16">
        <f>IF(DF9="","",SUM(DF9:DF208,DC9:DC208,DE9:DE208))</f>
        <v>1066</v>
      </c>
      <c r="DG3" s="278" t="s">
        <v>174</v>
      </c>
      <c r="DH3" s="278"/>
      <c r="DI3" s="278"/>
      <c r="DJ3" s="15">
        <f>IF(DK3="","",SUM(DK3,DK5,DK6))</f>
        <v>484</v>
      </c>
      <c r="DK3" s="16">
        <f>IF(DK9="","",SUM(DK9:DK208,DH9:DH208,DJ9:DJ208))</f>
        <v>454</v>
      </c>
      <c r="DL3" s="278" t="s">
        <v>174</v>
      </c>
      <c r="DM3" s="278"/>
      <c r="DN3" s="278"/>
      <c r="DO3" s="15">
        <f>IF(DP3="","",SUM(DP3,DP5,DP6))</f>
        <v>485</v>
      </c>
      <c r="DP3" s="16">
        <f>IF(DP9="","",SUM(DP9:DP208,DM9:DM208,DO9:DO208))</f>
        <v>455</v>
      </c>
      <c r="DQ3" s="278" t="s">
        <v>174</v>
      </c>
      <c r="DR3" s="278"/>
      <c r="DS3" s="278"/>
      <c r="DT3" s="15">
        <f>IF(DU3="","",SUM(DU3,DU5,DU6))</f>
        <v>2177</v>
      </c>
      <c r="DU3" s="16">
        <f>IF(DU9="","",SUM(DU9:DU208,DR9:DR208,DT9:DT208))</f>
        <v>2177</v>
      </c>
      <c r="DV3" s="278" t="s">
        <v>174</v>
      </c>
      <c r="DW3" s="278"/>
      <c r="DX3" s="278"/>
      <c r="DY3" s="15">
        <f>IF(DZ3="","",SUM(DZ3,DZ5,DZ6))</f>
        <v>416</v>
      </c>
      <c r="DZ3" s="16">
        <f>IF(DZ9="","",SUM(DZ9:DZ208,DW9:DW208,DY9:DY208))</f>
        <v>386</v>
      </c>
      <c r="EA3" s="278" t="s">
        <v>174</v>
      </c>
      <c r="EB3" s="278"/>
      <c r="EC3" s="278"/>
      <c r="ED3" s="15">
        <f>IF(EE3="","",SUM(EE3,EE5,EE6))</f>
        <v>1053</v>
      </c>
      <c r="EE3" s="16">
        <f>IF(EE9="","",SUM(EE9:EE208,EB9:EB208,ED9:ED208))</f>
        <v>1038</v>
      </c>
      <c r="EF3" s="278" t="s">
        <v>174</v>
      </c>
      <c r="EG3" s="278"/>
      <c r="EH3" s="278"/>
      <c r="EI3" s="15">
        <f>IF(EJ3="","",SUM(EJ3,EJ5,EJ6))</f>
        <v>100</v>
      </c>
      <c r="EJ3" s="16">
        <f>IF(EJ9="","",SUM(EJ9:EJ208,EG9:EG208,EI9:EI208))</f>
        <v>100</v>
      </c>
      <c r="EK3" s="278" t="s">
        <v>174</v>
      </c>
      <c r="EL3" s="278"/>
      <c r="EM3" s="278"/>
      <c r="EN3" s="15" t="str">
        <f>IF(EO3="","",SUM(EO3,EO5,EO6))</f>
        <v/>
      </c>
      <c r="EO3" s="16" t="str">
        <f>IF(EO9="","",SUM(EO9:EO208,EL9:EL208,EN9:EN208))</f>
        <v/>
      </c>
      <c r="EP3" s="278" t="s">
        <v>174</v>
      </c>
      <c r="EQ3" s="278"/>
      <c r="ER3" s="278"/>
      <c r="ES3" s="15" t="str">
        <f>IF(ET3="","",SUM(ET3,ET5,ET6))</f>
        <v/>
      </c>
      <c r="ET3" s="16" t="str">
        <f>IF(ET9="","",SUM(ET9:ET208,EQ9:EQ208,ES9:ES208))</f>
        <v/>
      </c>
      <c r="EU3" s="278" t="s">
        <v>174</v>
      </c>
      <c r="EV3" s="278"/>
      <c r="EW3" s="278"/>
      <c r="EX3" s="15" t="str">
        <f>IF(EY3="","",SUM(EY3,EY5,EY6))</f>
        <v/>
      </c>
      <c r="EY3" s="16" t="str">
        <f>IF(EY9="","",SUM(EY9:EY208,EV9:EV208,EX9:EX208))</f>
        <v/>
      </c>
      <c r="EZ3" s="278" t="s">
        <v>174</v>
      </c>
      <c r="FA3" s="278"/>
      <c r="FB3" s="278"/>
      <c r="FC3" s="15" t="str">
        <f>IF(FD3="","",SUM(FD3,FD5,FD6))</f>
        <v/>
      </c>
      <c r="FD3" s="16" t="str">
        <f>IF(FD9="","",SUM(FD9:FD208,FA9:FA208,FC9:FC208))</f>
        <v/>
      </c>
      <c r="FE3" s="278" t="s">
        <v>174</v>
      </c>
      <c r="FF3" s="278"/>
      <c r="FG3" s="278"/>
      <c r="FH3" s="15" t="str">
        <f>IF(FI3="","",SUM(FI3,FI5,FI6))</f>
        <v/>
      </c>
      <c r="FI3" s="16" t="str">
        <f>IF(FI9="","",SUM(FI9:FI208,FF9:FF208,FH9:FH208))</f>
        <v/>
      </c>
      <c r="FJ3" s="278" t="s">
        <v>174</v>
      </c>
      <c r="FK3" s="278"/>
      <c r="FL3" s="278"/>
      <c r="FM3" s="15" t="str">
        <f>IF(FN3="","",SUM(FN3,FN5,FN6))</f>
        <v/>
      </c>
      <c r="FN3" s="16" t="str">
        <f>IF(FN9="","",SUM(FN9:FN208,FK9:FK208,FM9:FM208))</f>
        <v/>
      </c>
      <c r="FO3" s="278" t="s">
        <v>174</v>
      </c>
      <c r="FP3" s="278"/>
      <c r="FQ3" s="278"/>
      <c r="FR3" s="15" t="str">
        <f>IF(FS3="","",SUM(FS3,FS5,FS6))</f>
        <v/>
      </c>
      <c r="FS3" s="16" t="str">
        <f>IF(FS9="","",SUM(FS9:FS208,FP9:FP208,FR9:FR208))</f>
        <v/>
      </c>
      <c r="FT3" s="278" t="s">
        <v>174</v>
      </c>
      <c r="FU3" s="278"/>
      <c r="FV3" s="278"/>
      <c r="FW3" s="15" t="str">
        <f>IF(FX3="","",SUM(FX3,FX5,FX6))</f>
        <v/>
      </c>
      <c r="FX3" s="16" t="str">
        <f>IF(FX9="","",SUM(FX9:FX208,FU9:FU208,FW9:FW208))</f>
        <v/>
      </c>
      <c r="FY3" s="278" t="s">
        <v>174</v>
      </c>
      <c r="FZ3" s="278"/>
      <c r="GA3" s="278"/>
      <c r="GB3" s="15" t="str">
        <f>IF(GC3="","",SUM(GC3,GC5,GC6))</f>
        <v/>
      </c>
      <c r="GC3" s="16" t="str">
        <f>IF(GC9="","",SUM(GC9:GC208,FZ9:FZ208,GB9:GB208))</f>
        <v/>
      </c>
      <c r="GD3" s="278" t="s">
        <v>174</v>
      </c>
      <c r="GE3" s="278"/>
      <c r="GF3" s="278"/>
      <c r="GG3" s="15" t="str">
        <f>IF(GH3="","",SUM(GH3,GH5,GH6))</f>
        <v/>
      </c>
      <c r="GH3" s="16" t="str">
        <f>IF(GH9="","",SUM(GH9:GH208,GE9:GE208,GG9:GG208))</f>
        <v/>
      </c>
      <c r="GI3" s="278" t="s">
        <v>174</v>
      </c>
      <c r="GJ3" s="278"/>
      <c r="GK3" s="278"/>
      <c r="GL3" s="15" t="str">
        <f>IF(GM3="","",SUM(GM3,GM5,GM6))</f>
        <v/>
      </c>
      <c r="GM3" s="16" t="str">
        <f>IF(GM9="","",SUM(GM9:GM208,GJ9:GJ208,GL9:GL208))</f>
        <v/>
      </c>
      <c r="GN3" s="278" t="s">
        <v>174</v>
      </c>
      <c r="GO3" s="278"/>
      <c r="GP3" s="278"/>
      <c r="GQ3" s="15" t="str">
        <f>IF(GR3="","",SUM(GR3,GR5,GR6))</f>
        <v/>
      </c>
      <c r="GR3" s="16" t="str">
        <f>IF(GR9="","",SUM(GR9:GR208,GO9:GO208,GQ9:GQ208))</f>
        <v/>
      </c>
      <c r="GS3" s="278" t="s">
        <v>174</v>
      </c>
      <c r="GT3" s="278"/>
      <c r="GU3" s="278"/>
      <c r="GV3" s="15" t="str">
        <f>IF(GW3="","",SUM(GW3,GW5,GW6))</f>
        <v/>
      </c>
      <c r="GW3" s="16" t="str">
        <f>IF(GW9="","",SUM(GW9:GW208,GT9:GT208,GV9:GV208))</f>
        <v/>
      </c>
      <c r="GX3" s="278" t="s">
        <v>174</v>
      </c>
      <c r="GY3" s="278"/>
      <c r="GZ3" s="278"/>
      <c r="HA3" s="15" t="str">
        <f>IF(HB3="","",SUM(HB3,HB5,HB6))</f>
        <v/>
      </c>
      <c r="HB3" s="16" t="str">
        <f>IF(HB9="","",SUM(HB9:HB208,GY9:GY208,HA9:HA208))</f>
        <v/>
      </c>
      <c r="HC3" s="278" t="s">
        <v>174</v>
      </c>
      <c r="HD3" s="278"/>
      <c r="HE3" s="278"/>
      <c r="HF3" s="15" t="str">
        <f>IF(HG3="","",SUM(HG3,HG5,HG6))</f>
        <v/>
      </c>
      <c r="HG3" s="16" t="str">
        <f>IF(HG9="","",SUM(HG9:HG208,HD9:HD208,HF9:HF208))</f>
        <v/>
      </c>
      <c r="HH3" s="278" t="s">
        <v>174</v>
      </c>
      <c r="HI3" s="278"/>
      <c r="HJ3" s="278"/>
      <c r="HK3" s="15" t="str">
        <f>IF(HL3="","",SUM(HL3,HL5,HL6))</f>
        <v/>
      </c>
      <c r="HL3" s="16" t="str">
        <f>IF(HL9="","",SUM(HL9:HL208,HI9:HI208,HK9:HK208))</f>
        <v/>
      </c>
      <c r="HM3" s="278" t="s">
        <v>174</v>
      </c>
      <c r="HN3" s="278"/>
      <c r="HO3" s="278"/>
      <c r="HP3" s="15" t="str">
        <f>IF(HQ3="","",SUM(HQ3,HQ5,HQ6))</f>
        <v/>
      </c>
      <c r="HQ3" s="16" t="str">
        <f>IF(HQ9="","",SUM(HQ9:HQ208,HN9:HN208,HP9:HP208))</f>
        <v/>
      </c>
      <c r="HR3" s="278" t="s">
        <v>174</v>
      </c>
      <c r="HS3" s="278"/>
      <c r="HT3" s="278"/>
      <c r="HU3" s="15" t="str">
        <f>IF(HV3="","",SUM(HV3,HV5,HV6))</f>
        <v/>
      </c>
      <c r="HV3" s="16" t="str">
        <f>IF(HV9="","",SUM(HV9:HV208,HS9:HS208,HU9:HU208))</f>
        <v/>
      </c>
      <c r="HW3" s="278" t="s">
        <v>174</v>
      </c>
      <c r="HX3" s="278"/>
      <c r="HY3" s="278"/>
      <c r="HZ3" s="15" t="str">
        <f>IF(IA3="","",SUM(IA3,IA5,IA6))</f>
        <v/>
      </c>
      <c r="IA3" s="16" t="str">
        <f>IF(IA9="","",SUM(IA9:IA208,HX9:HX208,HZ9:HZ208))</f>
        <v/>
      </c>
      <c r="IB3" s="278" t="s">
        <v>174</v>
      </c>
      <c r="IC3" s="278"/>
      <c r="ID3" s="278"/>
      <c r="IE3" s="15" t="str">
        <f>IF(IF3="","",SUM(IF3,IF5,IF6))</f>
        <v/>
      </c>
      <c r="IF3" s="16" t="str">
        <f>IF(IF9="","",SUM(IF9:IF208,IC9:IC208,IE9:IE208))</f>
        <v/>
      </c>
      <c r="IG3" s="278" t="s">
        <v>174</v>
      </c>
      <c r="IH3" s="278"/>
      <c r="II3" s="278"/>
      <c r="IJ3" s="15" t="str">
        <f>IF(IK3="","",SUM(IK3,IK5,IK6))</f>
        <v/>
      </c>
      <c r="IK3" s="16" t="str">
        <f>IF(IK9="","",SUM(IK9:IK208,IH9:IH208,IJ9:IJ208))</f>
        <v/>
      </c>
      <c r="IL3" s="278" t="s">
        <v>174</v>
      </c>
      <c r="IM3" s="278"/>
      <c r="IN3" s="278"/>
      <c r="IO3" s="15" t="str">
        <f>IF(IP3="","",SUM(IP3,IP5,IP6))</f>
        <v/>
      </c>
      <c r="IP3" s="16" t="str">
        <f>IF(IP9="","",SUM(IP9:IP208,IM9:IM208,IO9:IO208))</f>
        <v/>
      </c>
    </row>
    <row r="4" spans="1:250" x14ac:dyDescent="0.25">
      <c r="A4" s="274" t="s">
        <v>175</v>
      </c>
      <c r="B4" s="275"/>
      <c r="C4" s="276"/>
      <c r="D4" s="117" t="s">
        <v>179</v>
      </c>
      <c r="F4" s="274" t="s">
        <v>175</v>
      </c>
      <c r="G4" s="275"/>
      <c r="H4" s="276"/>
      <c r="I4" s="117" t="s">
        <v>179</v>
      </c>
      <c r="K4" s="274" t="s">
        <v>175</v>
      </c>
      <c r="L4" s="275"/>
      <c r="M4" s="276"/>
      <c r="N4" s="117" t="s">
        <v>179</v>
      </c>
      <c r="P4" s="274" t="s">
        <v>175</v>
      </c>
      <c r="Q4" s="275"/>
      <c r="R4" s="276"/>
      <c r="S4" s="117" t="s">
        <v>179</v>
      </c>
      <c r="U4" s="274" t="s">
        <v>175</v>
      </c>
      <c r="V4" s="275"/>
      <c r="W4" s="276"/>
      <c r="X4" s="117" t="s">
        <v>178</v>
      </c>
      <c r="Z4" s="274" t="s">
        <v>175</v>
      </c>
      <c r="AA4" s="275"/>
      <c r="AB4" s="276"/>
      <c r="AC4" s="117" t="s">
        <v>179</v>
      </c>
      <c r="AE4" s="274" t="s">
        <v>175</v>
      </c>
      <c r="AF4" s="275"/>
      <c r="AG4" s="276"/>
      <c r="AH4" s="117" t="s">
        <v>179</v>
      </c>
      <c r="AJ4" s="274" t="s">
        <v>175</v>
      </c>
      <c r="AK4" s="275"/>
      <c r="AL4" s="276"/>
      <c r="AM4" s="117" t="s">
        <v>179</v>
      </c>
      <c r="AO4" s="274" t="s">
        <v>175</v>
      </c>
      <c r="AP4" s="275"/>
      <c r="AQ4" s="276"/>
      <c r="AR4" s="117" t="s">
        <v>179</v>
      </c>
      <c r="AT4" s="274" t="s">
        <v>175</v>
      </c>
      <c r="AU4" s="275"/>
      <c r="AV4" s="276"/>
      <c r="AW4" s="117" t="s">
        <v>179</v>
      </c>
      <c r="AY4" s="274" t="s">
        <v>175</v>
      </c>
      <c r="AZ4" s="275"/>
      <c r="BA4" s="276"/>
      <c r="BB4" s="117" t="s">
        <v>179</v>
      </c>
      <c r="BD4" s="274" t="s">
        <v>175</v>
      </c>
      <c r="BE4" s="275"/>
      <c r="BF4" s="276"/>
      <c r="BG4" s="117" t="s">
        <v>179</v>
      </c>
      <c r="BI4" s="274" t="s">
        <v>175</v>
      </c>
      <c r="BJ4" s="275"/>
      <c r="BK4" s="276"/>
      <c r="BL4" s="117" t="s">
        <v>179</v>
      </c>
      <c r="BN4" s="274" t="s">
        <v>175</v>
      </c>
      <c r="BO4" s="275"/>
      <c r="BP4" s="276"/>
      <c r="BQ4" s="117" t="s">
        <v>179</v>
      </c>
      <c r="BS4" s="274" t="s">
        <v>175</v>
      </c>
      <c r="BT4" s="275"/>
      <c r="BU4" s="276"/>
      <c r="BV4" s="117" t="s">
        <v>179</v>
      </c>
      <c r="BX4" s="274" t="s">
        <v>175</v>
      </c>
      <c r="BY4" s="275"/>
      <c r="BZ4" s="276"/>
      <c r="CA4" s="117" t="s">
        <v>179</v>
      </c>
      <c r="CC4" s="274" t="s">
        <v>175</v>
      </c>
      <c r="CD4" s="275"/>
      <c r="CE4" s="276"/>
      <c r="CF4" s="117" t="s">
        <v>179</v>
      </c>
      <c r="CH4" s="274" t="s">
        <v>175</v>
      </c>
      <c r="CI4" s="275"/>
      <c r="CJ4" s="276"/>
      <c r="CK4" s="117" t="s">
        <v>179</v>
      </c>
      <c r="CM4" s="274" t="s">
        <v>175</v>
      </c>
      <c r="CN4" s="275"/>
      <c r="CO4" s="276"/>
      <c r="CP4" s="117" t="s">
        <v>179</v>
      </c>
      <c r="CR4" s="274" t="s">
        <v>175</v>
      </c>
      <c r="CS4" s="275"/>
      <c r="CT4" s="276"/>
      <c r="CU4" s="117" t="s">
        <v>179</v>
      </c>
      <c r="CW4" s="274" t="s">
        <v>175</v>
      </c>
      <c r="CX4" s="275"/>
      <c r="CY4" s="276"/>
      <c r="CZ4" s="117" t="s">
        <v>179</v>
      </c>
      <c r="DB4" s="274" t="s">
        <v>175</v>
      </c>
      <c r="DC4" s="275"/>
      <c r="DD4" s="276"/>
      <c r="DE4" s="117" t="s">
        <v>179</v>
      </c>
      <c r="DG4" s="274" t="s">
        <v>175</v>
      </c>
      <c r="DH4" s="275"/>
      <c r="DI4" s="276"/>
      <c r="DJ4" s="117" t="s">
        <v>179</v>
      </c>
      <c r="DL4" s="274" t="s">
        <v>175</v>
      </c>
      <c r="DM4" s="275"/>
      <c r="DN4" s="276"/>
      <c r="DO4" s="117" t="s">
        <v>179</v>
      </c>
      <c r="DQ4" s="274" t="s">
        <v>175</v>
      </c>
      <c r="DR4" s="275"/>
      <c r="DS4" s="276"/>
      <c r="DT4" s="117" t="s">
        <v>178</v>
      </c>
      <c r="DV4" s="274" t="s">
        <v>175</v>
      </c>
      <c r="DW4" s="275"/>
      <c r="DX4" s="276"/>
      <c r="DY4" s="117" t="s">
        <v>179</v>
      </c>
      <c r="EA4" s="274" t="s">
        <v>175</v>
      </c>
      <c r="EB4" s="275"/>
      <c r="EC4" s="276"/>
      <c r="ED4" s="117" t="s">
        <v>179</v>
      </c>
      <c r="EF4" s="274" t="s">
        <v>175</v>
      </c>
      <c r="EG4" s="275"/>
      <c r="EH4" s="276"/>
      <c r="EI4" s="117" t="s">
        <v>178</v>
      </c>
      <c r="EK4" s="274" t="s">
        <v>175</v>
      </c>
      <c r="EL4" s="275"/>
      <c r="EM4" s="276"/>
      <c r="EN4" s="117" t="s">
        <v>178</v>
      </c>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178</v>
      </c>
      <c r="J5" s="16" t="str">
        <f>IF(I4="N","0",IF(I5="Y",J7/2,"0"))</f>
        <v>0</v>
      </c>
      <c r="K5" s="274" t="s">
        <v>176</v>
      </c>
      <c r="L5" s="275"/>
      <c r="M5" s="276"/>
      <c r="N5" s="117" t="s">
        <v>178</v>
      </c>
      <c r="O5" s="16" t="str">
        <f>IF(N4="N","0",IF(N5="Y",O7/2,"0"))</f>
        <v>0</v>
      </c>
      <c r="P5" s="274" t="s">
        <v>176</v>
      </c>
      <c r="Q5" s="275"/>
      <c r="R5" s="276"/>
      <c r="S5" s="117" t="s">
        <v>178</v>
      </c>
      <c r="T5" s="16" t="str">
        <f>IF(S4="N","0",IF(S5="Y",T7/2,"0"))</f>
        <v>0</v>
      </c>
      <c r="U5" s="274" t="s">
        <v>176</v>
      </c>
      <c r="V5" s="275"/>
      <c r="W5" s="276"/>
      <c r="X5" s="117" t="s">
        <v>178</v>
      </c>
      <c r="Y5" s="16" t="str">
        <f>IF(X4="N","0",IF(X5="Y",Y7/2,"0"))</f>
        <v>0</v>
      </c>
      <c r="Z5" s="274" t="s">
        <v>176</v>
      </c>
      <c r="AA5" s="275"/>
      <c r="AB5" s="276"/>
      <c r="AC5" s="117" t="s">
        <v>178</v>
      </c>
      <c r="AD5" s="16" t="str">
        <f>IF(AC4="N","0",IF(AC5="Y",AD7/2,"0"))</f>
        <v>0</v>
      </c>
      <c r="AE5" s="274" t="s">
        <v>176</v>
      </c>
      <c r="AF5" s="275"/>
      <c r="AG5" s="276"/>
      <c r="AH5" s="117" t="s">
        <v>178</v>
      </c>
      <c r="AI5" s="16" t="str">
        <f>IF(AH4="N","0",IF(AH5="Y",AI7/2,"0"))</f>
        <v>0</v>
      </c>
      <c r="AJ5" s="274" t="s">
        <v>176</v>
      </c>
      <c r="AK5" s="275"/>
      <c r="AL5" s="276"/>
      <c r="AM5" s="117" t="s">
        <v>178</v>
      </c>
      <c r="AN5" s="16" t="str">
        <f>IF(AM4="N","0",IF(AM5="Y",AN7/2,"0"))</f>
        <v>0</v>
      </c>
      <c r="AO5" s="274" t="s">
        <v>176</v>
      </c>
      <c r="AP5" s="275"/>
      <c r="AQ5" s="276"/>
      <c r="AR5" s="117" t="s">
        <v>179</v>
      </c>
      <c r="AS5" s="16">
        <f>IF(AR4="N","0",IF(AR5="Y",AS7/2,"0"))</f>
        <v>15</v>
      </c>
      <c r="AT5" s="274" t="s">
        <v>176</v>
      </c>
      <c r="AU5" s="275"/>
      <c r="AV5" s="276"/>
      <c r="AW5" s="117" t="s">
        <v>178</v>
      </c>
      <c r="AX5" s="16" t="str">
        <f>IF(AW4="N","0",IF(AW5="Y",AX7/2,"0"))</f>
        <v>0</v>
      </c>
      <c r="AY5" s="274" t="s">
        <v>176</v>
      </c>
      <c r="AZ5" s="275"/>
      <c r="BA5" s="276"/>
      <c r="BB5" s="117" t="s">
        <v>178</v>
      </c>
      <c r="BC5" s="16" t="str">
        <f>IF(BB4="N","0",IF(BB5="Y",BC7/2,"0"))</f>
        <v>0</v>
      </c>
      <c r="BD5" s="274" t="s">
        <v>176</v>
      </c>
      <c r="BE5" s="275"/>
      <c r="BF5" s="276"/>
      <c r="BG5" s="117" t="s">
        <v>179</v>
      </c>
      <c r="BH5" s="16">
        <f>IF(BG4="N","0",IF(BG5="Y",BH7/2,"0"))</f>
        <v>15</v>
      </c>
      <c r="BI5" s="274" t="s">
        <v>176</v>
      </c>
      <c r="BJ5" s="275"/>
      <c r="BK5" s="276"/>
      <c r="BL5" s="117" t="s">
        <v>178</v>
      </c>
      <c r="BM5" s="16" t="str">
        <f>IF(BL4="N","0",IF(BL5="Y",BM7/2,"0"))</f>
        <v>0</v>
      </c>
      <c r="BN5" s="274" t="s">
        <v>176</v>
      </c>
      <c r="BO5" s="275"/>
      <c r="BP5" s="276"/>
      <c r="BQ5" s="117" t="s">
        <v>178</v>
      </c>
      <c r="BR5" s="16" t="str">
        <f>IF(BQ4="N","0",IF(BQ5="Y",BR7/2,"0"))</f>
        <v>0</v>
      </c>
      <c r="BS5" s="274" t="s">
        <v>176</v>
      </c>
      <c r="BT5" s="275"/>
      <c r="BU5" s="276"/>
      <c r="BV5" s="117" t="s">
        <v>179</v>
      </c>
      <c r="BW5" s="16">
        <f>IF(BV4="N","0",IF(BV5="Y",BW7/2,"0"))</f>
        <v>15</v>
      </c>
      <c r="BX5" s="274" t="s">
        <v>176</v>
      </c>
      <c r="BY5" s="275"/>
      <c r="BZ5" s="276"/>
      <c r="CA5" s="117" t="s">
        <v>178</v>
      </c>
      <c r="CB5" s="16" t="str">
        <f>IF(CA4="N","0",IF(CA5="Y",CB7/2,"0"))</f>
        <v>0</v>
      </c>
      <c r="CC5" s="274" t="s">
        <v>176</v>
      </c>
      <c r="CD5" s="275"/>
      <c r="CE5" s="276"/>
      <c r="CF5" s="117" t="s">
        <v>178</v>
      </c>
      <c r="CG5" s="16" t="str">
        <f>IF(CF4="N","0",IF(CF5="Y",CG7/2,"0"))</f>
        <v>0</v>
      </c>
      <c r="CH5" s="274" t="s">
        <v>176</v>
      </c>
      <c r="CI5" s="275"/>
      <c r="CJ5" s="276"/>
      <c r="CK5" s="117" t="s">
        <v>178</v>
      </c>
      <c r="CL5" s="16" t="str">
        <f>IF(CK4="N","0",IF(CK5="Y",CL7/2,"0"))</f>
        <v>0</v>
      </c>
      <c r="CM5" s="274" t="s">
        <v>176</v>
      </c>
      <c r="CN5" s="275"/>
      <c r="CO5" s="276"/>
      <c r="CP5" s="117" t="s">
        <v>178</v>
      </c>
      <c r="CQ5" s="16" t="str">
        <f>IF(CP4="N","0",IF(CP5="Y",CQ7/2,"0"))</f>
        <v>0</v>
      </c>
      <c r="CR5" s="274" t="s">
        <v>176</v>
      </c>
      <c r="CS5" s="275"/>
      <c r="CT5" s="276"/>
      <c r="CU5" s="117" t="s">
        <v>178</v>
      </c>
      <c r="CV5" s="16" t="str">
        <f>IF(CU4="N","0",IF(CU5="Y",CV7/2,"0"))</f>
        <v>0</v>
      </c>
      <c r="CW5" s="274" t="s">
        <v>176</v>
      </c>
      <c r="CX5" s="275"/>
      <c r="CY5" s="276"/>
      <c r="CZ5" s="117" t="s">
        <v>178</v>
      </c>
      <c r="DA5" s="16" t="str">
        <f>IF(CZ4="N","0",IF(CZ5="Y",DA7/2,"0"))</f>
        <v>0</v>
      </c>
      <c r="DB5" s="274" t="s">
        <v>176</v>
      </c>
      <c r="DC5" s="275"/>
      <c r="DD5" s="276"/>
      <c r="DE5" s="117" t="s">
        <v>179</v>
      </c>
      <c r="DF5" s="16">
        <f>IF(DE4="N","0",IF(DE5="Y",DF7/2,"0"))</f>
        <v>15</v>
      </c>
      <c r="DG5" s="274" t="s">
        <v>176</v>
      </c>
      <c r="DH5" s="275"/>
      <c r="DI5" s="276"/>
      <c r="DJ5" s="117" t="s">
        <v>179</v>
      </c>
      <c r="DK5" s="16">
        <f>IF(DJ4="N","0",IF(DJ5="Y",DK7/2,"0"))</f>
        <v>15</v>
      </c>
      <c r="DL5" s="274" t="s">
        <v>176</v>
      </c>
      <c r="DM5" s="275"/>
      <c r="DN5" s="276"/>
      <c r="DO5" s="117" t="s">
        <v>179</v>
      </c>
      <c r="DP5" s="16">
        <f>IF(DO4="N","0",IF(DO5="Y",DP7/2,"0"))</f>
        <v>15</v>
      </c>
      <c r="DQ5" s="274" t="s">
        <v>176</v>
      </c>
      <c r="DR5" s="275"/>
      <c r="DS5" s="276"/>
      <c r="DT5" s="117" t="s">
        <v>178</v>
      </c>
      <c r="DU5" s="16" t="str">
        <f>IF(DT4="N","0",IF(DT5="Y",DU7/2,"0"))</f>
        <v>0</v>
      </c>
      <c r="DV5" s="274" t="s">
        <v>176</v>
      </c>
      <c r="DW5" s="275"/>
      <c r="DX5" s="276"/>
      <c r="DY5" s="117" t="s">
        <v>179</v>
      </c>
      <c r="DZ5" s="16">
        <f>IF(DY4="N","0",IF(DY5="Y",DZ7/2,"0"))</f>
        <v>15</v>
      </c>
      <c r="EA5" s="274" t="s">
        <v>176</v>
      </c>
      <c r="EB5" s="275"/>
      <c r="EC5" s="276"/>
      <c r="ED5" s="117" t="s">
        <v>178</v>
      </c>
      <c r="EE5" s="16" t="str">
        <f>IF(ED4="N","0",IF(ED5="Y",EE7/2,"0"))</f>
        <v>0</v>
      </c>
      <c r="EF5" s="274" t="s">
        <v>176</v>
      </c>
      <c r="EG5" s="275"/>
      <c r="EH5" s="276"/>
      <c r="EI5" s="117" t="s">
        <v>178</v>
      </c>
      <c r="EJ5" s="16" t="str">
        <f>IF(EI4="N","0",IF(EI5="Y",EJ7/2,"0"))</f>
        <v>0</v>
      </c>
      <c r="EK5" s="274" t="s">
        <v>176</v>
      </c>
      <c r="EL5" s="275"/>
      <c r="EM5" s="276"/>
      <c r="EN5" s="117" t="s">
        <v>178</v>
      </c>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179</v>
      </c>
      <c r="J6" s="16" t="str">
        <f>IF(I4="N","0",IF(I6="N",J7/2,"0"))</f>
        <v>0</v>
      </c>
      <c r="K6" s="274" t="s">
        <v>177</v>
      </c>
      <c r="L6" s="275"/>
      <c r="M6" s="276"/>
      <c r="N6" s="117" t="s">
        <v>178</v>
      </c>
      <c r="O6" s="16">
        <f>IF(N4="N","0",IF(N6="N",O7/2,"0"))</f>
        <v>25</v>
      </c>
      <c r="P6" s="274" t="s">
        <v>177</v>
      </c>
      <c r="Q6" s="275"/>
      <c r="R6" s="276"/>
      <c r="S6" s="117" t="s">
        <v>179</v>
      </c>
      <c r="T6" s="16" t="str">
        <f>IF(S4="N","0",IF(S6="N",T7/2,"0"))</f>
        <v>0</v>
      </c>
      <c r="U6" s="274" t="s">
        <v>177</v>
      </c>
      <c r="V6" s="275"/>
      <c r="W6" s="276"/>
      <c r="X6" s="117" t="s">
        <v>179</v>
      </c>
      <c r="Y6" s="16" t="str">
        <f>IF(X4="N","0",IF(X6="N",Y7/2,"0"))</f>
        <v>0</v>
      </c>
      <c r="Z6" s="274" t="s">
        <v>177</v>
      </c>
      <c r="AA6" s="275"/>
      <c r="AB6" s="276"/>
      <c r="AC6" s="117" t="s">
        <v>179</v>
      </c>
      <c r="AD6" s="16" t="str">
        <f>IF(AC4="N","0",IF(AC6="N",AD7/2,"0"))</f>
        <v>0</v>
      </c>
      <c r="AE6" s="274" t="s">
        <v>177</v>
      </c>
      <c r="AF6" s="275"/>
      <c r="AG6" s="276"/>
      <c r="AH6" s="117" t="s">
        <v>178</v>
      </c>
      <c r="AI6" s="16">
        <f>IF(AH4="N","0",IF(AH6="N",AI7/2,"0"))</f>
        <v>15</v>
      </c>
      <c r="AJ6" s="274" t="s">
        <v>177</v>
      </c>
      <c r="AK6" s="275"/>
      <c r="AL6" s="276"/>
      <c r="AM6" s="117" t="s">
        <v>179</v>
      </c>
      <c r="AN6" s="16" t="str">
        <f>IF(AM4="N","0",IF(AM6="N",AN7/2,"0"))</f>
        <v>0</v>
      </c>
      <c r="AO6" s="274" t="s">
        <v>177</v>
      </c>
      <c r="AP6" s="275"/>
      <c r="AQ6" s="276"/>
      <c r="AR6" s="117" t="s">
        <v>178</v>
      </c>
      <c r="AS6" s="16">
        <f>IF(AR4="N","0",IF(AR6="N",AS7/2,"0"))</f>
        <v>15</v>
      </c>
      <c r="AT6" s="274" t="s">
        <v>177</v>
      </c>
      <c r="AU6" s="275"/>
      <c r="AV6" s="276"/>
      <c r="AW6" s="117" t="s">
        <v>178</v>
      </c>
      <c r="AX6" s="16">
        <f>IF(AW4="N","0",IF(AW6="N",AX7/2,"0"))</f>
        <v>15</v>
      </c>
      <c r="AY6" s="274" t="s">
        <v>177</v>
      </c>
      <c r="AZ6" s="275"/>
      <c r="BA6" s="276"/>
      <c r="BB6" s="117" t="s">
        <v>179</v>
      </c>
      <c r="BC6" s="16" t="str">
        <f>IF(BB4="N","0",IF(BB6="N",BC7/2,"0"))</f>
        <v>0</v>
      </c>
      <c r="BD6" s="274" t="s">
        <v>177</v>
      </c>
      <c r="BE6" s="275"/>
      <c r="BF6" s="276"/>
      <c r="BG6" s="117" t="s">
        <v>178</v>
      </c>
      <c r="BH6" s="16">
        <f>IF(BG4="N","0",IF(BG6="N",BH7/2,"0"))</f>
        <v>15</v>
      </c>
      <c r="BI6" s="274" t="s">
        <v>177</v>
      </c>
      <c r="BJ6" s="275"/>
      <c r="BK6" s="276"/>
      <c r="BL6" s="117" t="s">
        <v>178</v>
      </c>
      <c r="BM6" s="16">
        <f>IF(BL4="N","0",IF(BL6="N",BM7/2,"0"))</f>
        <v>25</v>
      </c>
      <c r="BN6" s="274" t="s">
        <v>177</v>
      </c>
      <c r="BO6" s="275"/>
      <c r="BP6" s="276"/>
      <c r="BQ6" s="117" t="s">
        <v>179</v>
      </c>
      <c r="BR6" s="16" t="str">
        <f>IF(BQ4="N","0",IF(BQ6="N",BR7/2,"0"))</f>
        <v>0</v>
      </c>
      <c r="BS6" s="274" t="s">
        <v>177</v>
      </c>
      <c r="BT6" s="275"/>
      <c r="BU6" s="276"/>
      <c r="BV6" s="117" t="s">
        <v>178</v>
      </c>
      <c r="BW6" s="16">
        <f>IF(BV4="N","0",IF(BV6="N",BW7/2,"0"))</f>
        <v>15</v>
      </c>
      <c r="BX6" s="274" t="s">
        <v>177</v>
      </c>
      <c r="BY6" s="275"/>
      <c r="BZ6" s="276"/>
      <c r="CA6" s="117" t="s">
        <v>179</v>
      </c>
      <c r="CB6" s="16" t="str">
        <f>IF(CA4="N","0",IF(CA6="N",CB7/2,"0"))</f>
        <v>0</v>
      </c>
      <c r="CC6" s="274" t="s">
        <v>177</v>
      </c>
      <c r="CD6" s="275"/>
      <c r="CE6" s="276"/>
      <c r="CF6" s="117" t="s">
        <v>179</v>
      </c>
      <c r="CG6" s="16" t="str">
        <f>IF(CF4="N","0",IF(CF6="N",CG7/2,"0"))</f>
        <v>0</v>
      </c>
      <c r="CH6" s="274" t="s">
        <v>177</v>
      </c>
      <c r="CI6" s="275"/>
      <c r="CJ6" s="276"/>
      <c r="CK6" s="117" t="s">
        <v>178</v>
      </c>
      <c r="CL6" s="16">
        <f>IF(CK4="N","0",IF(CK6="N",CL7/2,"0"))</f>
        <v>15</v>
      </c>
      <c r="CM6" s="274" t="s">
        <v>177</v>
      </c>
      <c r="CN6" s="275"/>
      <c r="CO6" s="276"/>
      <c r="CP6" s="117" t="s">
        <v>178</v>
      </c>
      <c r="CQ6" s="16">
        <f>IF(CP4="N","0",IF(CP6="N",CQ7/2,"0"))</f>
        <v>25</v>
      </c>
      <c r="CR6" s="274" t="s">
        <v>177</v>
      </c>
      <c r="CS6" s="275"/>
      <c r="CT6" s="276"/>
      <c r="CU6" s="117" t="s">
        <v>178</v>
      </c>
      <c r="CV6" s="16">
        <f>IF(CU4="N","0",IF(CU6="N",CV7/2,"0"))</f>
        <v>15</v>
      </c>
      <c r="CW6" s="274" t="s">
        <v>177</v>
      </c>
      <c r="CX6" s="275"/>
      <c r="CY6" s="276"/>
      <c r="CZ6" s="117" t="s">
        <v>179</v>
      </c>
      <c r="DA6" s="16" t="str">
        <f>IF(CZ4="N","0",IF(CZ6="N",DA7/2,"0"))</f>
        <v>0</v>
      </c>
      <c r="DB6" s="274" t="s">
        <v>177</v>
      </c>
      <c r="DC6" s="275"/>
      <c r="DD6" s="276"/>
      <c r="DE6" s="117" t="s">
        <v>178</v>
      </c>
      <c r="DF6" s="16">
        <f>IF(DE4="N","0",IF(DE6="N",DF7/2,"0"))</f>
        <v>15</v>
      </c>
      <c r="DG6" s="274" t="s">
        <v>177</v>
      </c>
      <c r="DH6" s="275"/>
      <c r="DI6" s="276"/>
      <c r="DJ6" s="117" t="s">
        <v>178</v>
      </c>
      <c r="DK6" s="16">
        <f>IF(DJ4="N","0",IF(DJ6="N",DK7/2,"0"))</f>
        <v>15</v>
      </c>
      <c r="DL6" s="274" t="s">
        <v>177</v>
      </c>
      <c r="DM6" s="275"/>
      <c r="DN6" s="276"/>
      <c r="DO6" s="117" t="s">
        <v>178</v>
      </c>
      <c r="DP6" s="16">
        <f>IF(DO4="N","0",IF(DO6="N",DP7/2,"0"))</f>
        <v>15</v>
      </c>
      <c r="DQ6" s="274" t="s">
        <v>177</v>
      </c>
      <c r="DR6" s="275"/>
      <c r="DS6" s="276"/>
      <c r="DT6" s="117" t="s">
        <v>179</v>
      </c>
      <c r="DU6" s="16" t="str">
        <f>IF(DT4="N","0",IF(DT6="N",DU7/2,"0"))</f>
        <v>0</v>
      </c>
      <c r="DV6" s="274" t="s">
        <v>177</v>
      </c>
      <c r="DW6" s="275"/>
      <c r="DX6" s="276"/>
      <c r="DY6" s="117" t="s">
        <v>178</v>
      </c>
      <c r="DZ6" s="16">
        <f>IF(DY4="N","0",IF(DY6="N",DZ7/2,"0"))</f>
        <v>15</v>
      </c>
      <c r="EA6" s="274" t="s">
        <v>177</v>
      </c>
      <c r="EB6" s="275"/>
      <c r="EC6" s="276"/>
      <c r="ED6" s="117" t="s">
        <v>178</v>
      </c>
      <c r="EE6" s="16">
        <f>IF(ED4="N","0",IF(ED6="N",EE7/2,"0"))</f>
        <v>15</v>
      </c>
      <c r="EF6" s="274" t="s">
        <v>177</v>
      </c>
      <c r="EG6" s="275"/>
      <c r="EH6" s="276"/>
      <c r="EI6" s="117" t="s">
        <v>179</v>
      </c>
      <c r="EJ6" s="16" t="str">
        <f>IF(EI4="N","0",IF(EI6="N",EJ7/2,"0"))</f>
        <v>0</v>
      </c>
      <c r="EK6" s="274" t="s">
        <v>177</v>
      </c>
      <c r="EL6" s="275"/>
      <c r="EM6" s="276"/>
      <c r="EN6" s="117" t="s">
        <v>179</v>
      </c>
      <c r="EO6" s="16" t="str">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t="s">
        <v>492</v>
      </c>
      <c r="E7" s="16">
        <f>IF(OR(D7="RPX",D7="SS"),30,IF(OR(D7="RPX-T",D7="EUC"),50,0))</f>
        <v>50</v>
      </c>
      <c r="F7" s="274" t="s">
        <v>180</v>
      </c>
      <c r="G7" s="275"/>
      <c r="H7" s="276"/>
      <c r="I7" s="117" t="s">
        <v>492</v>
      </c>
      <c r="J7" s="16">
        <f>IF(OR(I7="RPX",I7="SS"),30,IF(OR(I7="RPX-T",I7="EUC"),50,0))</f>
        <v>50</v>
      </c>
      <c r="K7" s="274" t="s">
        <v>180</v>
      </c>
      <c r="L7" s="275"/>
      <c r="M7" s="276"/>
      <c r="N7" s="117" t="s">
        <v>492</v>
      </c>
      <c r="O7" s="16">
        <f>IF(OR(N7="RPX",N7="SS"),30,IF(OR(N7="RPX-T",N7="EUC"),50,0))</f>
        <v>50</v>
      </c>
      <c r="P7" s="274" t="s">
        <v>180</v>
      </c>
      <c r="Q7" s="275"/>
      <c r="R7" s="276"/>
      <c r="S7" s="117" t="s">
        <v>492</v>
      </c>
      <c r="T7" s="16">
        <f>IF(OR(S7="RPX",S7="SS"),30,IF(OR(S7="RPX-T",S7="EUC"),50,0))</f>
        <v>50</v>
      </c>
      <c r="U7" s="274" t="s">
        <v>180</v>
      </c>
      <c r="V7" s="275"/>
      <c r="W7" s="276"/>
      <c r="X7" s="117"/>
      <c r="Y7" s="16">
        <f>IF(OR(X7="RPX",X7="SS"),30,IF(OR(X7="RPX-T",X7="EUC"),50,0))</f>
        <v>0</v>
      </c>
      <c r="Z7" s="274" t="s">
        <v>180</v>
      </c>
      <c r="AA7" s="275"/>
      <c r="AB7" s="276"/>
      <c r="AC7" s="117" t="s">
        <v>492</v>
      </c>
      <c r="AD7" s="16">
        <f>IF(OR(AC7="RPX",AC7="SS"),30,IF(OR(AC7="RPX-T",AC7="EUC"),50,0))</f>
        <v>50</v>
      </c>
      <c r="AE7" s="274" t="s">
        <v>180</v>
      </c>
      <c r="AF7" s="275"/>
      <c r="AG7" s="276"/>
      <c r="AH7" s="117" t="s">
        <v>487</v>
      </c>
      <c r="AI7" s="16">
        <f>IF(OR(AH7="RPX",AH7="SS"),30,IF(OR(AH7="RPX-T",AH7="EUC"),50,0))</f>
        <v>30</v>
      </c>
      <c r="AJ7" s="274" t="s">
        <v>180</v>
      </c>
      <c r="AK7" s="275"/>
      <c r="AL7" s="276"/>
      <c r="AM7" s="117" t="s">
        <v>487</v>
      </c>
      <c r="AN7" s="16">
        <f>IF(OR(AM7="RPX",AM7="SS"),30,IF(OR(AM7="RPX-T",AM7="EUC"),50,0))</f>
        <v>30</v>
      </c>
      <c r="AO7" s="274" t="s">
        <v>180</v>
      </c>
      <c r="AP7" s="275"/>
      <c r="AQ7" s="276"/>
      <c r="AR7" s="117" t="s">
        <v>487</v>
      </c>
      <c r="AS7" s="16">
        <f>IF(OR(AR7="RPX",AR7="SS"),30,IF(OR(AR7="RPX-T",AR7="EUC"),50,0))</f>
        <v>30</v>
      </c>
      <c r="AT7" s="274" t="s">
        <v>180</v>
      </c>
      <c r="AU7" s="275"/>
      <c r="AV7" s="276"/>
      <c r="AW7" s="117" t="s">
        <v>487</v>
      </c>
      <c r="AX7" s="16">
        <f>IF(OR(AW7="RPX",AW7="SS"),30,IF(OR(AW7="RPX-T",AW7="EUC"),50,0))</f>
        <v>30</v>
      </c>
      <c r="AY7" s="274" t="s">
        <v>180</v>
      </c>
      <c r="AZ7" s="275"/>
      <c r="BA7" s="276"/>
      <c r="BB7" s="117" t="s">
        <v>492</v>
      </c>
      <c r="BC7" s="16">
        <f>IF(OR(BB7="RPX",BB7="SS"),30,IF(OR(BB7="RPX-T",BB7="EUC"),50,0))</f>
        <v>50</v>
      </c>
      <c r="BD7" s="274" t="s">
        <v>180</v>
      </c>
      <c r="BE7" s="275"/>
      <c r="BF7" s="276"/>
      <c r="BG7" s="117" t="s">
        <v>487</v>
      </c>
      <c r="BH7" s="16">
        <f>IF(OR(BG7="RPX",BG7="SS"),30,IF(OR(BG7="RPX-T",BG7="EUC"),50,0))</f>
        <v>30</v>
      </c>
      <c r="BI7" s="274" t="s">
        <v>180</v>
      </c>
      <c r="BJ7" s="275"/>
      <c r="BK7" s="276"/>
      <c r="BL7" s="117" t="s">
        <v>492</v>
      </c>
      <c r="BM7" s="16">
        <f>IF(OR(BL7="RPX",BL7="SS"),30,IF(OR(BL7="RPX-T",BL7="EUC"),50,0))</f>
        <v>50</v>
      </c>
      <c r="BN7" s="274" t="s">
        <v>180</v>
      </c>
      <c r="BO7" s="275"/>
      <c r="BP7" s="276"/>
      <c r="BQ7" s="117" t="s">
        <v>487</v>
      </c>
      <c r="BR7" s="16">
        <f>IF(OR(BQ7="RPX",BQ7="SS"),30,IF(OR(BQ7="RPX-T",BQ7="EUC"),50,0))</f>
        <v>30</v>
      </c>
      <c r="BS7" s="274" t="s">
        <v>180</v>
      </c>
      <c r="BT7" s="275"/>
      <c r="BU7" s="276"/>
      <c r="BV7" s="117" t="s">
        <v>487</v>
      </c>
      <c r="BW7" s="16">
        <f>IF(OR(BV7="RPX",BV7="SS"),30,IF(OR(BV7="RPX-T",BV7="EUC"),50,0))</f>
        <v>30</v>
      </c>
      <c r="BX7" s="274" t="s">
        <v>180</v>
      </c>
      <c r="BY7" s="275"/>
      <c r="BZ7" s="276"/>
      <c r="CA7" s="117" t="s">
        <v>492</v>
      </c>
      <c r="CB7" s="16">
        <f>IF(OR(CA7="RPX",CA7="SS"),30,IF(OR(CA7="RPX-T",CA7="EUC"),50,0))</f>
        <v>50</v>
      </c>
      <c r="CC7" s="274" t="s">
        <v>180</v>
      </c>
      <c r="CD7" s="275"/>
      <c r="CE7" s="276"/>
      <c r="CF7" s="117" t="s">
        <v>487</v>
      </c>
      <c r="CG7" s="16">
        <f>IF(OR(CF7="RPX",CF7="SS"),30,IF(OR(CF7="RPX-T",CF7="EUC"),50,0))</f>
        <v>30</v>
      </c>
      <c r="CH7" s="274" t="s">
        <v>180</v>
      </c>
      <c r="CI7" s="275"/>
      <c r="CJ7" s="276"/>
      <c r="CK7" s="117" t="s">
        <v>487</v>
      </c>
      <c r="CL7" s="16">
        <f>IF(OR(CK7="RPX",CK7="SS"),30,IF(OR(CK7="RPX-T",CK7="EUC"),50,0))</f>
        <v>30</v>
      </c>
      <c r="CM7" s="274" t="s">
        <v>180</v>
      </c>
      <c r="CN7" s="275"/>
      <c r="CO7" s="276"/>
      <c r="CP7" s="117" t="s">
        <v>492</v>
      </c>
      <c r="CQ7" s="16">
        <f>IF(OR(CP7="RPX",CP7="SS"),30,IF(OR(CP7="RPX-T",CP7="EUC"),50,0))</f>
        <v>50</v>
      </c>
      <c r="CR7" s="274" t="s">
        <v>180</v>
      </c>
      <c r="CS7" s="275"/>
      <c r="CT7" s="276"/>
      <c r="CU7" s="117" t="s">
        <v>487</v>
      </c>
      <c r="CV7" s="16">
        <f>IF(OR(CU7="RPX",CU7="SS"),30,IF(OR(CU7="RPX-T",CU7="EUC"),50,0))</f>
        <v>30</v>
      </c>
      <c r="CW7" s="274" t="s">
        <v>180</v>
      </c>
      <c r="CX7" s="275"/>
      <c r="CY7" s="276"/>
      <c r="CZ7" s="117" t="s">
        <v>487</v>
      </c>
      <c r="DA7" s="16">
        <f>IF(OR(CZ7="RPX",CZ7="SS"),30,IF(OR(CZ7="RPX-T",CZ7="EUC"),50,0))</f>
        <v>30</v>
      </c>
      <c r="DB7" s="274" t="s">
        <v>180</v>
      </c>
      <c r="DC7" s="275"/>
      <c r="DD7" s="276"/>
      <c r="DE7" s="117" t="s">
        <v>487</v>
      </c>
      <c r="DF7" s="16">
        <f>IF(OR(DE7="RPX",DE7="SS"),30,IF(OR(DE7="RPX-T",DE7="EUC"),50,0))</f>
        <v>30</v>
      </c>
      <c r="DG7" s="274" t="s">
        <v>180</v>
      </c>
      <c r="DH7" s="275"/>
      <c r="DI7" s="276"/>
      <c r="DJ7" s="117" t="s">
        <v>487</v>
      </c>
      <c r="DK7" s="16">
        <f>IF(OR(DJ7="RPX",DJ7="SS"),30,IF(OR(DJ7="RPX-T",DJ7="EUC"),50,0))</f>
        <v>30</v>
      </c>
      <c r="DL7" s="274" t="s">
        <v>180</v>
      </c>
      <c r="DM7" s="275"/>
      <c r="DN7" s="276"/>
      <c r="DO7" s="117" t="s">
        <v>487</v>
      </c>
      <c r="DP7" s="16">
        <f>IF(OR(DO7="RPX",DO7="SS"),30,IF(OR(DO7="RPX-T",DO7="EUC"),50,0))</f>
        <v>30</v>
      </c>
      <c r="DQ7" s="274" t="s">
        <v>180</v>
      </c>
      <c r="DR7" s="275"/>
      <c r="DS7" s="276"/>
      <c r="DT7" s="117" t="s">
        <v>487</v>
      </c>
      <c r="DU7" s="16">
        <f>IF(OR(DT7="RPX",DT7="SS"),30,IF(OR(DT7="RPX-T",DT7="EUC"),50,0))</f>
        <v>30</v>
      </c>
      <c r="DV7" s="274" t="s">
        <v>180</v>
      </c>
      <c r="DW7" s="275"/>
      <c r="DX7" s="276"/>
      <c r="DY7" s="117" t="s">
        <v>487</v>
      </c>
      <c r="DZ7" s="16">
        <f>IF(OR(DY7="RPX",DY7="SS"),30,IF(OR(DY7="RPX-T",DY7="EUC"),50,0))</f>
        <v>30</v>
      </c>
      <c r="EA7" s="274" t="s">
        <v>180</v>
      </c>
      <c r="EB7" s="275"/>
      <c r="EC7" s="276"/>
      <c r="ED7" s="117" t="s">
        <v>487</v>
      </c>
      <c r="EE7" s="16">
        <f>IF(OR(ED7="RPX",ED7="SS"),30,IF(OR(ED7="RPX-T",ED7="EUC"),50,0))</f>
        <v>30</v>
      </c>
      <c r="EF7" s="274" t="s">
        <v>180</v>
      </c>
      <c r="EG7" s="275"/>
      <c r="EH7" s="276"/>
      <c r="EI7" s="117"/>
      <c r="EJ7" s="16">
        <f>IF(OR(EI7="RPX",EI7="SS"),30,IF(OR(EI7="RPX-T",EI7="EUC"),50,0))</f>
        <v>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c r="AK9" s="90"/>
      <c r="AL9" s="90">
        <v>0</v>
      </c>
      <c r="AM9" s="116"/>
      <c r="AN9" s="16">
        <f>IF(AJ9="",IF(AL9="","",AL9),AJ9)</f>
        <v>0</v>
      </c>
      <c r="AO9" s="90"/>
      <c r="AP9" s="90"/>
      <c r="AQ9" s="90">
        <v>0</v>
      </c>
      <c r="AR9" s="116"/>
      <c r="AS9" s="16">
        <f>IF(AO9="",IF(AQ9="","",AQ9),AO9)</f>
        <v>0</v>
      </c>
      <c r="AT9" s="90"/>
      <c r="AU9" s="90"/>
      <c r="AV9" s="90">
        <v>0</v>
      </c>
      <c r="AW9" s="116"/>
      <c r="AX9" s="16">
        <f>IF(AT9="",IF(AV9="","",AV9),AT9)</f>
        <v>0</v>
      </c>
      <c r="AY9" s="90"/>
      <c r="AZ9" s="90"/>
      <c r="BA9" s="90">
        <v>0</v>
      </c>
      <c r="BB9" s="116"/>
      <c r="BC9" s="16">
        <f>IF(AY9="",IF(BA9="","",BA9),AY9)</f>
        <v>0</v>
      </c>
      <c r="BD9" s="90"/>
      <c r="BE9" s="90"/>
      <c r="BF9" s="90">
        <v>0</v>
      </c>
      <c r="BG9" s="116"/>
      <c r="BH9" s="16">
        <f>IF(BD9="",IF(BF9="","",BF9),BD9)</f>
        <v>0</v>
      </c>
      <c r="BI9" s="90">
        <v>0</v>
      </c>
      <c r="BJ9" s="90"/>
      <c r="BK9" s="90"/>
      <c r="BL9" s="116"/>
      <c r="BM9" s="16">
        <f>IF(BI9="",IF(BK9="","",BK9),BI9)</f>
        <v>0</v>
      </c>
      <c r="BN9" s="90"/>
      <c r="BO9" s="90"/>
      <c r="BP9" s="90">
        <v>0</v>
      </c>
      <c r="BQ9" s="116"/>
      <c r="BR9" s="16">
        <f>IF(BN9="",IF(BP9="","",BP9),BN9)</f>
        <v>0</v>
      </c>
      <c r="BS9" s="90"/>
      <c r="BT9" s="90"/>
      <c r="BU9" s="90">
        <v>0</v>
      </c>
      <c r="BV9" s="116"/>
      <c r="BW9" s="16">
        <f>IF(BS9="",IF(BU9="","",BU9),BS9)</f>
        <v>0</v>
      </c>
      <c r="BX9" s="90">
        <v>0</v>
      </c>
      <c r="BY9" s="90"/>
      <c r="BZ9" s="90"/>
      <c r="CA9" s="116"/>
      <c r="CB9" s="16">
        <f>IF(BX9="",IF(BZ9="","",BZ9),BX9)</f>
        <v>0</v>
      </c>
      <c r="CC9" s="90"/>
      <c r="CD9" s="90"/>
      <c r="CE9" s="90">
        <v>0</v>
      </c>
      <c r="CF9" s="116"/>
      <c r="CG9" s="16">
        <f>IF(CC9="",IF(CE9="","",CE9),CC9)</f>
        <v>0</v>
      </c>
      <c r="CH9" s="90"/>
      <c r="CI9" s="90"/>
      <c r="CJ9" s="90">
        <v>0</v>
      </c>
      <c r="CK9" s="116"/>
      <c r="CL9" s="16">
        <f>IF(CH9="",IF(CJ9="","",CJ9),CH9)</f>
        <v>0</v>
      </c>
      <c r="CM9" s="90">
        <v>0</v>
      </c>
      <c r="CN9" s="90"/>
      <c r="CO9" s="90"/>
      <c r="CP9" s="116"/>
      <c r="CQ9" s="16">
        <f>IF(CM9="",IF(CO9="","",CO9),CM9)</f>
        <v>0</v>
      </c>
      <c r="CR9" s="90"/>
      <c r="CS9" s="90"/>
      <c r="CT9" s="90">
        <v>0</v>
      </c>
      <c r="CU9" s="116"/>
      <c r="CV9" s="16">
        <f>IF(CR9="",IF(CT9="","",CT9),CR9)</f>
        <v>0</v>
      </c>
      <c r="CW9" s="90"/>
      <c r="CX9" s="90"/>
      <c r="CY9" s="90">
        <v>0</v>
      </c>
      <c r="CZ9" s="116"/>
      <c r="DA9" s="16">
        <f>IF(CW9="",IF(CY9="","",CY9),CW9)</f>
        <v>0</v>
      </c>
      <c r="DB9" s="90"/>
      <c r="DC9" s="90"/>
      <c r="DD9" s="90">
        <v>0</v>
      </c>
      <c r="DE9" s="116"/>
      <c r="DF9" s="16">
        <f>IF(DB9="",IF(DD9="","",DD9),DB9)</f>
        <v>0</v>
      </c>
      <c r="DG9" s="90"/>
      <c r="DH9" s="90"/>
      <c r="DI9" s="90">
        <v>0</v>
      </c>
      <c r="DJ9" s="116"/>
      <c r="DK9" s="16">
        <f>IF(DG9="",IF(DI9="","",DI9),DG9)</f>
        <v>0</v>
      </c>
      <c r="DL9" s="90"/>
      <c r="DM9" s="90"/>
      <c r="DN9" s="90">
        <v>0</v>
      </c>
      <c r="DO9" s="116"/>
      <c r="DP9" s="16">
        <f>IF(DL9="",IF(DN9="","",DN9),DL9)</f>
        <v>0</v>
      </c>
      <c r="DQ9" s="90"/>
      <c r="DR9" s="90"/>
      <c r="DS9" s="90">
        <v>0</v>
      </c>
      <c r="DT9" s="116"/>
      <c r="DU9" s="16">
        <f>IF(DQ9="",IF(DS9="","",DS9),DQ9)</f>
        <v>0</v>
      </c>
      <c r="DV9" s="90"/>
      <c r="DW9" s="90"/>
      <c r="DX9" s="90">
        <v>0</v>
      </c>
      <c r="DY9" s="116"/>
      <c r="DZ9" s="16">
        <f>IF(DV9="",IF(DX9="","",DX9),DV9)</f>
        <v>0</v>
      </c>
      <c r="EA9" s="90"/>
      <c r="EB9" s="90"/>
      <c r="EC9" s="90">
        <v>0</v>
      </c>
      <c r="ED9" s="116"/>
      <c r="EE9" s="16">
        <f>IF(EA9="",IF(EC9="","",EC9),EA9)</f>
        <v>0</v>
      </c>
      <c r="EF9" s="90">
        <v>0</v>
      </c>
      <c r="EG9" s="90"/>
      <c r="EH9" s="90"/>
      <c r="EI9" s="116"/>
      <c r="EJ9" s="16">
        <f>IF(EF9="",IF(EH9="","",EH9),EF9)</f>
        <v>0</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c r="AL10" s="90"/>
      <c r="AM10" s="116">
        <v>50</v>
      </c>
      <c r="AN10" s="16">
        <f>IF(AJ10="",AL10,AJ10)</f>
        <v>0</v>
      </c>
      <c r="AO10" s="90"/>
      <c r="AP10" s="90"/>
      <c r="AQ10" s="90"/>
      <c r="AR10" s="116">
        <v>50</v>
      </c>
      <c r="AS10" s="16">
        <f>IF(AO10="",AQ10,AO10)</f>
        <v>0</v>
      </c>
      <c r="AT10" s="90"/>
      <c r="AU10" s="90"/>
      <c r="AV10" s="90"/>
      <c r="AW10" s="116">
        <v>50</v>
      </c>
      <c r="AX10" s="16">
        <f>IF(AT10="",AV10,AT10)</f>
        <v>0</v>
      </c>
      <c r="AY10" s="90"/>
      <c r="AZ10" s="90"/>
      <c r="BA10" s="90"/>
      <c r="BB10" s="116">
        <v>50</v>
      </c>
      <c r="BC10" s="16">
        <f>IF(AY10="",BA10,AY10)</f>
        <v>0</v>
      </c>
      <c r="BD10" s="90"/>
      <c r="BE10" s="90"/>
      <c r="BF10" s="90"/>
      <c r="BG10" s="116">
        <v>50</v>
      </c>
      <c r="BH10" s="16">
        <f>IF(BD10="",BF10,BD10)</f>
        <v>0</v>
      </c>
      <c r="BI10" s="90"/>
      <c r="BJ10" s="90">
        <v>50</v>
      </c>
      <c r="BK10" s="90"/>
      <c r="BL10" s="116"/>
      <c r="BM10" s="16">
        <f>IF(BI10="",BK10,BI10)</f>
        <v>0</v>
      </c>
      <c r="BN10" s="90"/>
      <c r="BO10" s="90"/>
      <c r="BP10" s="90"/>
      <c r="BQ10" s="116">
        <v>50</v>
      </c>
      <c r="BR10" s="16">
        <f>IF(BN10="",BP10,BN10)</f>
        <v>0</v>
      </c>
      <c r="BS10" s="90"/>
      <c r="BT10" s="90"/>
      <c r="BU10" s="90"/>
      <c r="BV10" s="116">
        <v>50</v>
      </c>
      <c r="BW10" s="16">
        <f>IF(BS10="",BU10,BS10)</f>
        <v>0</v>
      </c>
      <c r="BX10" s="90"/>
      <c r="BY10" s="90">
        <v>50</v>
      </c>
      <c r="BZ10" s="90"/>
      <c r="CA10" s="116"/>
      <c r="CB10" s="16">
        <f>IF(BX10="",BZ10,BX10)</f>
        <v>0</v>
      </c>
      <c r="CC10" s="90"/>
      <c r="CD10" s="90"/>
      <c r="CE10" s="90"/>
      <c r="CF10" s="116">
        <v>50</v>
      </c>
      <c r="CG10" s="16">
        <f>IF(CC10="",CE10,CC10)</f>
        <v>0</v>
      </c>
      <c r="CH10" s="90"/>
      <c r="CI10" s="90"/>
      <c r="CJ10" s="90"/>
      <c r="CK10" s="116">
        <v>50</v>
      </c>
      <c r="CL10" s="16">
        <f>IF(CH10="",CJ10,CH10)</f>
        <v>0</v>
      </c>
      <c r="CM10" s="90"/>
      <c r="CN10" s="90">
        <v>50</v>
      </c>
      <c r="CO10" s="90"/>
      <c r="CP10" s="116"/>
      <c r="CQ10" s="16">
        <f>IF(CM10="",CO10,CM10)</f>
        <v>0</v>
      </c>
      <c r="CR10" s="90"/>
      <c r="CS10" s="90"/>
      <c r="CT10" s="90"/>
      <c r="CU10" s="116">
        <v>50</v>
      </c>
      <c r="CV10" s="16">
        <f>IF(CR10="",CT10,CR10)</f>
        <v>0</v>
      </c>
      <c r="CW10" s="90"/>
      <c r="CX10" s="90"/>
      <c r="CY10" s="90"/>
      <c r="CZ10" s="116">
        <v>50</v>
      </c>
      <c r="DA10" s="16">
        <f>IF(CW10="",CY10,CW10)</f>
        <v>0</v>
      </c>
      <c r="DB10" s="90"/>
      <c r="DC10" s="90"/>
      <c r="DD10" s="90"/>
      <c r="DE10" s="116">
        <v>50</v>
      </c>
      <c r="DF10" s="16">
        <f>IF(DB10="",DD10,DB10)</f>
        <v>0</v>
      </c>
      <c r="DG10" s="90"/>
      <c r="DH10" s="90"/>
      <c r="DI10" s="90"/>
      <c r="DJ10" s="116">
        <v>50</v>
      </c>
      <c r="DK10" s="16">
        <f>IF(DG10="",DI10,DG10)</f>
        <v>0</v>
      </c>
      <c r="DL10" s="90"/>
      <c r="DM10" s="90"/>
      <c r="DN10" s="90"/>
      <c r="DO10" s="116">
        <v>50</v>
      </c>
      <c r="DP10" s="16">
        <f>IF(DL10="",DN10,DL10)</f>
        <v>0</v>
      </c>
      <c r="DQ10" s="90"/>
      <c r="DR10" s="90"/>
      <c r="DS10" s="90"/>
      <c r="DT10" s="116">
        <v>50</v>
      </c>
      <c r="DU10" s="16">
        <f>IF(DQ10="",DS10,DQ10)</f>
        <v>0</v>
      </c>
      <c r="DV10" s="90"/>
      <c r="DW10" s="90"/>
      <c r="DX10" s="90"/>
      <c r="DY10" s="116">
        <v>50</v>
      </c>
      <c r="DZ10" s="16">
        <f>IF(DV10="",DX10,DV10)</f>
        <v>0</v>
      </c>
      <c r="EA10" s="90"/>
      <c r="EB10" s="90"/>
      <c r="EC10" s="90"/>
      <c r="ED10" s="116">
        <v>50</v>
      </c>
      <c r="EE10" s="16">
        <f>IF(EA10="",EC10,EA10)</f>
        <v>0</v>
      </c>
      <c r="EF10" s="90"/>
      <c r="EG10" s="90">
        <v>50</v>
      </c>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67</v>
      </c>
      <c r="B11" s="90"/>
      <c r="C11" s="116"/>
      <c r="D11" s="116"/>
      <c r="E11" s="16">
        <f t="shared" ref="E11:E74" si="1">IF(A11="",C11,A11)</f>
        <v>67</v>
      </c>
      <c r="F11" s="90">
        <v>182</v>
      </c>
      <c r="G11" s="90"/>
      <c r="H11" s="90"/>
      <c r="I11" s="116"/>
      <c r="J11" s="16">
        <f t="shared" ref="J11:J74" si="2">IF(F11="",H11,F11)</f>
        <v>182</v>
      </c>
      <c r="K11" s="90">
        <v>480</v>
      </c>
      <c r="L11" s="90"/>
      <c r="M11" s="90"/>
      <c r="N11" s="116"/>
      <c r="O11" s="16">
        <f t="shared" ref="O11:O74" si="3">IF(K11="",M11,K11)</f>
        <v>480</v>
      </c>
      <c r="P11" s="90">
        <v>67</v>
      </c>
      <c r="Q11" s="90"/>
      <c r="R11" s="90"/>
      <c r="S11" s="116"/>
      <c r="T11" s="16">
        <f t="shared" ref="T11:T74" si="4">IF(P11="",R11,P11)</f>
        <v>67</v>
      </c>
      <c r="U11" s="90"/>
      <c r="V11" s="90"/>
      <c r="W11" s="90">
        <v>250</v>
      </c>
      <c r="X11" s="116"/>
      <c r="Y11" s="16">
        <f t="shared" ref="Y11:Y74" si="5">IF(U11="",W11,U11)</f>
        <v>250</v>
      </c>
      <c r="Z11" s="90"/>
      <c r="AA11" s="90"/>
      <c r="AB11" s="90">
        <v>227</v>
      </c>
      <c r="AC11" s="116"/>
      <c r="AD11" s="16">
        <f t="shared" ref="AD11:AD74" si="6">IF(Z11="",AB11,Z11)</f>
        <v>227</v>
      </c>
      <c r="AE11" s="90"/>
      <c r="AF11" s="90"/>
      <c r="AG11" s="90">
        <v>50</v>
      </c>
      <c r="AH11" s="116"/>
      <c r="AI11" s="16">
        <f t="shared" ref="AI11:AI74" si="7">IF(AE11="",AG11,AE11)</f>
        <v>50</v>
      </c>
      <c r="AJ11" s="90"/>
      <c r="AK11" s="90"/>
      <c r="AL11" s="90">
        <v>268</v>
      </c>
      <c r="AM11" s="116"/>
      <c r="AN11" s="16">
        <f t="shared" ref="AN11:AN74" si="8">IF(AJ11="",AL11,AJ11)</f>
        <v>268</v>
      </c>
      <c r="AO11" s="90"/>
      <c r="AP11" s="90"/>
      <c r="AQ11" s="90">
        <v>301</v>
      </c>
      <c r="AR11" s="116"/>
      <c r="AS11" s="16">
        <f t="shared" ref="AS11:AS74" si="9">IF(AO11="",AQ11,AO11)</f>
        <v>301</v>
      </c>
      <c r="AT11" s="90"/>
      <c r="AU11" s="90"/>
      <c r="AV11" s="90">
        <v>187</v>
      </c>
      <c r="AW11" s="116"/>
      <c r="AX11" s="16">
        <f t="shared" ref="AX11:AX74" si="10">IF(AT11="",AV11,AT11)</f>
        <v>187</v>
      </c>
      <c r="AY11" s="90"/>
      <c r="AZ11" s="90"/>
      <c r="BA11" s="90">
        <v>278</v>
      </c>
      <c r="BB11" s="116"/>
      <c r="BC11" s="16">
        <f t="shared" ref="BC11:BC74" si="11">IF(AY11="",BA11,AY11)</f>
        <v>278</v>
      </c>
      <c r="BD11" s="90"/>
      <c r="BE11" s="90"/>
      <c r="BF11" s="90">
        <v>258</v>
      </c>
      <c r="BG11" s="116"/>
      <c r="BH11" s="16">
        <f t="shared" ref="BH11:BH74" si="12">IF(BD11="",BF11,BD11)</f>
        <v>258</v>
      </c>
      <c r="BI11" s="90"/>
      <c r="BJ11" s="90">
        <v>23</v>
      </c>
      <c r="BK11" s="90"/>
      <c r="BL11" s="116"/>
      <c r="BM11" s="16">
        <f t="shared" ref="BM11:BM74" si="13">IF(BI11="",BK11,BI11)</f>
        <v>0</v>
      </c>
      <c r="BN11" s="90"/>
      <c r="BO11" s="90"/>
      <c r="BP11" s="90">
        <v>70</v>
      </c>
      <c r="BQ11" s="116"/>
      <c r="BR11" s="16">
        <f t="shared" ref="BR11:BR74" si="14">IF(BN11="",BP11,BN11)</f>
        <v>70</v>
      </c>
      <c r="BS11" s="90"/>
      <c r="BT11" s="90"/>
      <c r="BU11" s="90">
        <v>156</v>
      </c>
      <c r="BV11" s="116"/>
      <c r="BW11" s="16">
        <f t="shared" ref="BW11:BW74" si="15">IF(BS11="",BU11,BS11)</f>
        <v>156</v>
      </c>
      <c r="BX11" s="90"/>
      <c r="BY11" s="90">
        <v>26</v>
      </c>
      <c r="BZ11" s="90"/>
      <c r="CA11" s="116"/>
      <c r="CB11" s="16">
        <f>IF(BX11="",BZ11,BX11)</f>
        <v>0</v>
      </c>
      <c r="CC11" s="90"/>
      <c r="CD11" s="90"/>
      <c r="CE11" s="90">
        <v>121</v>
      </c>
      <c r="CF11" s="116"/>
      <c r="CG11" s="16">
        <f t="shared" ref="CG11:CG74" si="16">IF(CC11="",CE11,CC11)</f>
        <v>121</v>
      </c>
      <c r="CH11" s="90"/>
      <c r="CI11" s="90"/>
      <c r="CJ11" s="90">
        <v>290</v>
      </c>
      <c r="CK11" s="116"/>
      <c r="CL11" s="16">
        <f t="shared" ref="CL11:CL74" si="17">IF(CH11="",CJ11,CH11)</f>
        <v>290</v>
      </c>
      <c r="CM11" s="90">
        <v>168</v>
      </c>
      <c r="CN11" s="90"/>
      <c r="CO11" s="90"/>
      <c r="CP11" s="116"/>
      <c r="CQ11" s="16">
        <f t="shared" ref="CQ11:CQ74" si="18">IF(CM11="",CO11,CM11)</f>
        <v>168</v>
      </c>
      <c r="CR11" s="90"/>
      <c r="CS11" s="90"/>
      <c r="CT11" s="90">
        <v>420</v>
      </c>
      <c r="CU11" s="116"/>
      <c r="CV11" s="16">
        <f t="shared" ref="CV11:CV74" si="19">IF(CR11="",CT11,CR11)</f>
        <v>420</v>
      </c>
      <c r="CW11" s="90"/>
      <c r="CX11" s="90"/>
      <c r="CY11" s="90">
        <v>277</v>
      </c>
      <c r="CZ11" s="116"/>
      <c r="DA11" s="16">
        <f t="shared" ref="DA11:DA74" si="20">IF(CW11="",CY11,CW11)</f>
        <v>277</v>
      </c>
      <c r="DB11" s="90"/>
      <c r="DC11" s="90"/>
      <c r="DD11" s="90">
        <v>157</v>
      </c>
      <c r="DE11" s="116"/>
      <c r="DF11" s="16">
        <f t="shared" ref="DF11:DF74" si="21">IF(DB11="",DD11,DB11)</f>
        <v>157</v>
      </c>
      <c r="DG11" s="90"/>
      <c r="DH11" s="90"/>
      <c r="DI11" s="90">
        <v>97</v>
      </c>
      <c r="DJ11" s="116"/>
      <c r="DK11" s="16">
        <f t="shared" ref="DK11:DK74" si="22">IF(DG11="",DI11,DG11)</f>
        <v>97</v>
      </c>
      <c r="DL11" s="90"/>
      <c r="DM11" s="90"/>
      <c r="DN11" s="90">
        <v>200</v>
      </c>
      <c r="DO11" s="116"/>
      <c r="DP11" s="16">
        <f t="shared" ref="DP11:DP74" si="23">IF(DL11="",DN11,DL11)</f>
        <v>200</v>
      </c>
      <c r="DQ11" s="90"/>
      <c r="DR11" s="90"/>
      <c r="DS11" s="90">
        <v>310</v>
      </c>
      <c r="DT11" s="116"/>
      <c r="DU11" s="16">
        <f t="shared" ref="DU11:DU74" si="24">IF(DQ11="",DS11,DQ11)</f>
        <v>310</v>
      </c>
      <c r="DV11" s="90"/>
      <c r="DW11" s="90"/>
      <c r="DX11" s="90">
        <v>149</v>
      </c>
      <c r="DY11" s="116"/>
      <c r="DZ11" s="16">
        <f t="shared" ref="DZ11:DZ74" si="25">IF(DV11="",DX11,DV11)</f>
        <v>149</v>
      </c>
      <c r="EA11" s="90"/>
      <c r="EB11" s="90"/>
      <c r="EC11" s="90">
        <v>138</v>
      </c>
      <c r="ED11" s="116"/>
      <c r="EE11" s="16">
        <f t="shared" ref="EE11:EE74" si="26">IF(EA11="",EC11,EA11)</f>
        <v>138</v>
      </c>
      <c r="EF11" s="90"/>
      <c r="EG11" s="90">
        <v>50</v>
      </c>
      <c r="EH11" s="90"/>
      <c r="EI11" s="116"/>
      <c r="EJ11" s="16">
        <f t="shared" ref="EJ11:EJ74" si="27">IF(EF11="",EH11,EF11)</f>
        <v>0</v>
      </c>
      <c r="EK11" s="90"/>
      <c r="EL11" s="90"/>
      <c r="EM11" s="90"/>
      <c r="EN11" s="116"/>
      <c r="EO11" s="16">
        <f t="shared" ref="EO11:EO74" si="28">IF(EK11="",EM11,EK11)</f>
        <v>0</v>
      </c>
      <c r="EP11" s="90"/>
      <c r="EQ11" s="90"/>
      <c r="ER11" s="90"/>
      <c r="ES11" s="116"/>
      <c r="ET11" s="16">
        <f t="shared" ref="ET11:ET74" si="29">IF(EP11="",ER11,EP11)</f>
        <v>0</v>
      </c>
      <c r="EU11" s="90"/>
      <c r="EV11" s="90"/>
      <c r="EW11" s="90"/>
      <c r="EX11" s="116"/>
      <c r="EY11" s="16">
        <f t="shared" ref="EY11:EY74" si="30">IF(EU11="",EW11,EU11)</f>
        <v>0</v>
      </c>
      <c r="EZ11" s="90"/>
      <c r="FA11" s="90"/>
      <c r="FB11" s="90"/>
      <c r="FC11" s="116"/>
      <c r="FD11" s="16">
        <f t="shared" ref="FD11:FD74" si="31">IF(EZ11="",FB11,EZ11)</f>
        <v>0</v>
      </c>
      <c r="FE11" s="90"/>
      <c r="FF11" s="90"/>
      <c r="FG11" s="90"/>
      <c r="FH11" s="116"/>
      <c r="FI11" s="16">
        <f t="shared" si="0"/>
        <v>0</v>
      </c>
      <c r="FJ11" s="90"/>
      <c r="FK11" s="90"/>
      <c r="FL11" s="90"/>
      <c r="FM11" s="116"/>
      <c r="FN11" s="16">
        <f t="shared" ref="FN11:FN74" si="32">IF(FJ11="",FL11,FJ11)</f>
        <v>0</v>
      </c>
      <c r="FO11" s="90"/>
      <c r="FP11" s="90"/>
      <c r="FQ11" s="90"/>
      <c r="FR11" s="116"/>
      <c r="FS11" s="16">
        <f t="shared" ref="FS11:FS74" si="33">IF(FO11="",FQ11,FO11)</f>
        <v>0</v>
      </c>
      <c r="FT11" s="90"/>
      <c r="FU11" s="90"/>
      <c r="FV11" s="90"/>
      <c r="FW11" s="116"/>
      <c r="FX11" s="16">
        <f t="shared" ref="FX11:FX74" si="34">IF(FT11="",FV11,FT11)</f>
        <v>0</v>
      </c>
      <c r="FY11" s="90"/>
      <c r="FZ11" s="90"/>
      <c r="GA11" s="90"/>
      <c r="GB11" s="116"/>
      <c r="GC11" s="16">
        <f t="shared" ref="GC11:GC74" si="35">IF(FY11="",GA11,FY11)</f>
        <v>0</v>
      </c>
      <c r="GD11" s="90"/>
      <c r="GE11" s="90"/>
      <c r="GF11" s="90"/>
      <c r="GG11" s="116"/>
      <c r="GH11" s="16">
        <f t="shared" ref="GH11:GH74" si="36">IF(GD11="",GF11,GD11)</f>
        <v>0</v>
      </c>
      <c r="GI11" s="90"/>
      <c r="GJ11" s="90"/>
      <c r="GK11" s="90"/>
      <c r="GL11" s="116"/>
      <c r="GM11" s="16">
        <f t="shared" ref="GM11:GM74" si="37">IF(GI11="",GK11,GI11)</f>
        <v>0</v>
      </c>
      <c r="GN11" s="90"/>
      <c r="GO11" s="90"/>
      <c r="GP11" s="90"/>
      <c r="GQ11" s="116"/>
      <c r="GR11" s="16">
        <f t="shared" ref="GR11:GR74" si="38">IF(GN11="",GP11,GN11)</f>
        <v>0</v>
      </c>
      <c r="GS11" s="90"/>
      <c r="GT11" s="90"/>
      <c r="GU11" s="90"/>
      <c r="GV11" s="116"/>
      <c r="GW11" s="16">
        <f t="shared" ref="GW11:GW74" si="39">IF(GS11="",GU11,GS11)</f>
        <v>0</v>
      </c>
      <c r="GX11" s="90"/>
      <c r="GY11" s="90"/>
      <c r="GZ11" s="90"/>
      <c r="HA11" s="116"/>
      <c r="HB11" s="16">
        <f t="shared" ref="HB11:HB74" si="40">IF(GX11="",GZ11,GX11)</f>
        <v>0</v>
      </c>
      <c r="HC11" s="90"/>
      <c r="HD11" s="90"/>
      <c r="HE11" s="90"/>
      <c r="HF11" s="116"/>
      <c r="HG11" s="16">
        <f t="shared" ref="HG11:HG74" si="41">IF(HC11="",HE11,HC11)</f>
        <v>0</v>
      </c>
      <c r="HH11" s="90"/>
      <c r="HI11" s="90"/>
      <c r="HJ11" s="90"/>
      <c r="HK11" s="116"/>
      <c r="HL11" s="16">
        <f t="shared" ref="HL11:HL74" si="42">IF(HH11="",HJ11,HH11)</f>
        <v>0</v>
      </c>
      <c r="HM11" s="90"/>
      <c r="HN11" s="90"/>
      <c r="HO11" s="90"/>
      <c r="HP11" s="116"/>
      <c r="HQ11" s="16">
        <f t="shared" ref="HQ11:HQ74" si="43">IF(HM11="",HO11,HM11)</f>
        <v>0</v>
      </c>
      <c r="HR11" s="90"/>
      <c r="HS11" s="90"/>
      <c r="HT11" s="90"/>
      <c r="HU11" s="116"/>
      <c r="HV11" s="16">
        <f t="shared" ref="HV11:HV74" si="44">IF(HR11="",HT11,HR11)</f>
        <v>0</v>
      </c>
      <c r="HW11" s="90"/>
      <c r="HX11" s="90"/>
      <c r="HY11" s="90"/>
      <c r="HZ11" s="116"/>
      <c r="IA11" s="16">
        <f t="shared" ref="IA11:IA74" si="45">IF(HW11="",HY11,HW11)</f>
        <v>0</v>
      </c>
      <c r="IB11" s="90"/>
      <c r="IC11" s="90"/>
      <c r="ID11" s="90"/>
      <c r="IE11" s="116"/>
      <c r="IF11" s="16">
        <f t="shared" ref="IF11:IF74" si="46">IF(IB11="",ID11,IB11)</f>
        <v>0</v>
      </c>
      <c r="IG11" s="90"/>
      <c r="IH11" s="90"/>
      <c r="II11" s="90"/>
      <c r="IJ11" s="116"/>
      <c r="IK11" s="16">
        <f t="shared" ref="IK11:IK74" si="47">IF(IG11="",II11,IG11)</f>
        <v>0</v>
      </c>
      <c r="IL11" s="90"/>
      <c r="IM11" s="90"/>
      <c r="IN11" s="90"/>
      <c r="IO11" s="116"/>
      <c r="IP11" s="16">
        <f t="shared" ref="IP11:IP74" si="48">IF(IL11="",IN11,IL11)</f>
        <v>0</v>
      </c>
    </row>
    <row r="12" spans="1:250" x14ac:dyDescent="0.25">
      <c r="A12" s="90">
        <v>872</v>
      </c>
      <c r="B12" s="90"/>
      <c r="C12" s="116"/>
      <c r="D12" s="116"/>
      <c r="E12" s="16">
        <f t="shared" si="1"/>
        <v>872</v>
      </c>
      <c r="F12" s="90">
        <v>726</v>
      </c>
      <c r="G12" s="90"/>
      <c r="H12" s="90"/>
      <c r="I12" s="116"/>
      <c r="J12" s="16">
        <f t="shared" si="2"/>
        <v>726</v>
      </c>
      <c r="K12" s="90"/>
      <c r="L12" s="90">
        <v>20</v>
      </c>
      <c r="M12" s="90"/>
      <c r="N12" s="116"/>
      <c r="O12" s="16">
        <f t="shared" si="3"/>
        <v>0</v>
      </c>
      <c r="P12" s="90"/>
      <c r="Q12" s="90">
        <v>24</v>
      </c>
      <c r="R12" s="90"/>
      <c r="S12" s="116"/>
      <c r="T12" s="16">
        <f t="shared" si="4"/>
        <v>0</v>
      </c>
      <c r="U12" s="90"/>
      <c r="V12" s="90"/>
      <c r="W12" s="90">
        <v>70</v>
      </c>
      <c r="X12" s="116"/>
      <c r="Y12" s="16">
        <f t="shared" si="5"/>
        <v>70</v>
      </c>
      <c r="Z12" s="90"/>
      <c r="AA12" s="90"/>
      <c r="AB12" s="90">
        <v>120</v>
      </c>
      <c r="AC12" s="116"/>
      <c r="AD12" s="16">
        <f t="shared" si="6"/>
        <v>120</v>
      </c>
      <c r="AE12" s="90"/>
      <c r="AF12" s="90"/>
      <c r="AG12" s="90">
        <v>338</v>
      </c>
      <c r="AH12" s="116"/>
      <c r="AI12" s="16">
        <f t="shared" si="7"/>
        <v>338</v>
      </c>
      <c r="AJ12" s="90"/>
      <c r="AK12" s="90"/>
      <c r="AL12" s="90">
        <v>150</v>
      </c>
      <c r="AM12" s="116"/>
      <c r="AN12" s="16">
        <f t="shared" si="8"/>
        <v>150</v>
      </c>
      <c r="AO12" s="90"/>
      <c r="AP12" s="90"/>
      <c r="AQ12" s="90"/>
      <c r="AR12" s="116"/>
      <c r="AS12" s="16">
        <f t="shared" si="9"/>
        <v>0</v>
      </c>
      <c r="AT12" s="90"/>
      <c r="AU12" s="90"/>
      <c r="AV12" s="90">
        <v>175</v>
      </c>
      <c r="AW12" s="116"/>
      <c r="AX12" s="16">
        <f t="shared" si="10"/>
        <v>175</v>
      </c>
      <c r="AY12" s="90"/>
      <c r="AZ12" s="90"/>
      <c r="BA12" s="90">
        <v>264</v>
      </c>
      <c r="BB12" s="116"/>
      <c r="BC12" s="16">
        <f t="shared" si="11"/>
        <v>264</v>
      </c>
      <c r="BD12" s="90"/>
      <c r="BE12" s="90"/>
      <c r="BF12" s="90">
        <v>103</v>
      </c>
      <c r="BG12" s="116"/>
      <c r="BH12" s="16">
        <f t="shared" si="12"/>
        <v>103</v>
      </c>
      <c r="BI12" s="90">
        <v>400</v>
      </c>
      <c r="BJ12" s="90"/>
      <c r="BK12" s="90"/>
      <c r="BL12" s="116"/>
      <c r="BM12" s="16">
        <f t="shared" si="13"/>
        <v>400</v>
      </c>
      <c r="BN12" s="90"/>
      <c r="BO12" s="90"/>
      <c r="BP12" s="90">
        <v>164</v>
      </c>
      <c r="BQ12" s="116"/>
      <c r="BR12" s="16">
        <f t="shared" si="14"/>
        <v>164</v>
      </c>
      <c r="BS12" s="90"/>
      <c r="BT12" s="90"/>
      <c r="BU12" s="90"/>
      <c r="BV12" s="116">
        <v>50</v>
      </c>
      <c r="BW12" s="16">
        <f t="shared" si="15"/>
        <v>0</v>
      </c>
      <c r="BX12" s="90">
        <v>527</v>
      </c>
      <c r="BY12" s="90"/>
      <c r="BZ12" s="90"/>
      <c r="CA12" s="116"/>
      <c r="CB12" s="16">
        <f>IF(BX12="",BZ12,BX12)</f>
        <v>527</v>
      </c>
      <c r="CC12" s="90"/>
      <c r="CD12" s="90"/>
      <c r="CE12" s="90">
        <v>278</v>
      </c>
      <c r="CF12" s="116"/>
      <c r="CG12" s="16">
        <f t="shared" si="16"/>
        <v>278</v>
      </c>
      <c r="CH12" s="90"/>
      <c r="CI12" s="90"/>
      <c r="CJ12" s="90">
        <v>245</v>
      </c>
      <c r="CK12" s="116"/>
      <c r="CL12" s="16">
        <f t="shared" si="17"/>
        <v>245</v>
      </c>
      <c r="CM12" s="90">
        <v>350</v>
      </c>
      <c r="CN12" s="90"/>
      <c r="CO12" s="90"/>
      <c r="CP12" s="116"/>
      <c r="CQ12" s="16">
        <f t="shared" si="18"/>
        <v>350</v>
      </c>
      <c r="CR12" s="90"/>
      <c r="CS12" s="90"/>
      <c r="CT12" s="90">
        <v>245</v>
      </c>
      <c r="CU12" s="116"/>
      <c r="CV12" s="16">
        <f t="shared" si="19"/>
        <v>245</v>
      </c>
      <c r="CW12" s="90"/>
      <c r="CX12" s="90"/>
      <c r="CY12" s="90">
        <v>370</v>
      </c>
      <c r="CZ12" s="116"/>
      <c r="DA12" s="16">
        <f t="shared" si="20"/>
        <v>370</v>
      </c>
      <c r="DB12" s="90"/>
      <c r="DC12" s="90"/>
      <c r="DD12" s="90">
        <v>174</v>
      </c>
      <c r="DE12" s="116"/>
      <c r="DF12" s="16">
        <f t="shared" si="21"/>
        <v>174</v>
      </c>
      <c r="DG12" s="90"/>
      <c r="DH12" s="90"/>
      <c r="DI12" s="90">
        <v>143</v>
      </c>
      <c r="DJ12" s="116"/>
      <c r="DK12" s="16">
        <f t="shared" si="22"/>
        <v>143</v>
      </c>
      <c r="DL12" s="90"/>
      <c r="DM12" s="90"/>
      <c r="DN12" s="90">
        <v>205</v>
      </c>
      <c r="DO12" s="116"/>
      <c r="DP12" s="16">
        <f t="shared" si="23"/>
        <v>205</v>
      </c>
      <c r="DQ12" s="90"/>
      <c r="DR12" s="90"/>
      <c r="DS12" s="90">
        <v>302</v>
      </c>
      <c r="DT12" s="116"/>
      <c r="DU12" s="16">
        <f t="shared" si="24"/>
        <v>302</v>
      </c>
      <c r="DV12" s="90"/>
      <c r="DW12" s="90"/>
      <c r="DX12" s="90">
        <v>187</v>
      </c>
      <c r="DY12" s="116"/>
      <c r="DZ12" s="16">
        <f t="shared" si="25"/>
        <v>187</v>
      </c>
      <c r="EA12" s="90"/>
      <c r="EB12" s="90"/>
      <c r="EC12" s="90">
        <v>325</v>
      </c>
      <c r="ED12" s="116"/>
      <c r="EE12" s="16">
        <f t="shared" si="26"/>
        <v>325</v>
      </c>
      <c r="EF12" s="90"/>
      <c r="EG12" s="90"/>
      <c r="EH12" s="90"/>
      <c r="EI12" s="116"/>
      <c r="EJ12" s="16">
        <f t="shared" si="27"/>
        <v>0</v>
      </c>
      <c r="EK12" s="90"/>
      <c r="EL12" s="90"/>
      <c r="EM12" s="90"/>
      <c r="EN12" s="116"/>
      <c r="EO12" s="16">
        <f t="shared" si="28"/>
        <v>0</v>
      </c>
      <c r="EP12" s="90"/>
      <c r="EQ12" s="90"/>
      <c r="ER12" s="90"/>
      <c r="ES12" s="116"/>
      <c r="ET12" s="16">
        <f t="shared" si="29"/>
        <v>0</v>
      </c>
      <c r="EU12" s="90"/>
      <c r="EV12" s="90"/>
      <c r="EW12" s="90"/>
      <c r="EX12" s="116"/>
      <c r="EY12" s="16">
        <f t="shared" si="30"/>
        <v>0</v>
      </c>
      <c r="EZ12" s="90"/>
      <c r="FA12" s="90"/>
      <c r="FB12" s="90"/>
      <c r="FC12" s="116"/>
      <c r="FD12" s="16">
        <f t="shared" si="31"/>
        <v>0</v>
      </c>
      <c r="FE12" s="90"/>
      <c r="FF12" s="90"/>
      <c r="FG12" s="90"/>
      <c r="FH12" s="116"/>
      <c r="FI12" s="16">
        <f t="shared" si="0"/>
        <v>0</v>
      </c>
      <c r="FJ12" s="90"/>
      <c r="FK12" s="90"/>
      <c r="FL12" s="90"/>
      <c r="FM12" s="116"/>
      <c r="FN12" s="16">
        <f t="shared" si="32"/>
        <v>0</v>
      </c>
      <c r="FO12" s="90"/>
      <c r="FP12" s="90"/>
      <c r="FQ12" s="90"/>
      <c r="FR12" s="116"/>
      <c r="FS12" s="16">
        <f t="shared" si="33"/>
        <v>0</v>
      </c>
      <c r="FT12" s="90"/>
      <c r="FU12" s="90"/>
      <c r="FV12" s="90"/>
      <c r="FW12" s="116"/>
      <c r="FX12" s="16">
        <f t="shared" si="34"/>
        <v>0</v>
      </c>
      <c r="FY12" s="90"/>
      <c r="FZ12" s="90"/>
      <c r="GA12" s="90"/>
      <c r="GB12" s="116"/>
      <c r="GC12" s="16">
        <f t="shared" si="35"/>
        <v>0</v>
      </c>
      <c r="GD12" s="90"/>
      <c r="GE12" s="90"/>
      <c r="GF12" s="90"/>
      <c r="GG12" s="116"/>
      <c r="GH12" s="16">
        <f t="shared" si="36"/>
        <v>0</v>
      </c>
      <c r="GI12" s="90"/>
      <c r="GJ12" s="90"/>
      <c r="GK12" s="90"/>
      <c r="GL12" s="116"/>
      <c r="GM12" s="16">
        <f t="shared" si="37"/>
        <v>0</v>
      </c>
      <c r="GN12" s="90"/>
      <c r="GO12" s="90"/>
      <c r="GP12" s="90"/>
      <c r="GQ12" s="116"/>
      <c r="GR12" s="16">
        <f t="shared" si="38"/>
        <v>0</v>
      </c>
      <c r="GS12" s="90"/>
      <c r="GT12" s="90"/>
      <c r="GU12" s="90"/>
      <c r="GV12" s="116"/>
      <c r="GW12" s="16">
        <f t="shared" si="39"/>
        <v>0</v>
      </c>
      <c r="GX12" s="90"/>
      <c r="GY12" s="90"/>
      <c r="GZ12" s="90"/>
      <c r="HA12" s="116"/>
      <c r="HB12" s="16">
        <f t="shared" si="40"/>
        <v>0</v>
      </c>
      <c r="HC12" s="90"/>
      <c r="HD12" s="90"/>
      <c r="HE12" s="90"/>
      <c r="HF12" s="116"/>
      <c r="HG12" s="16">
        <f t="shared" si="41"/>
        <v>0</v>
      </c>
      <c r="HH12" s="90"/>
      <c r="HI12" s="90"/>
      <c r="HJ12" s="90"/>
      <c r="HK12" s="116"/>
      <c r="HL12" s="16">
        <f t="shared" si="42"/>
        <v>0</v>
      </c>
      <c r="HM12" s="90"/>
      <c r="HN12" s="90"/>
      <c r="HO12" s="90"/>
      <c r="HP12" s="116"/>
      <c r="HQ12" s="16">
        <f t="shared" si="43"/>
        <v>0</v>
      </c>
      <c r="HR12" s="90"/>
      <c r="HS12" s="90"/>
      <c r="HT12" s="90"/>
      <c r="HU12" s="116"/>
      <c r="HV12" s="16">
        <f t="shared" si="44"/>
        <v>0</v>
      </c>
      <c r="HW12" s="90"/>
      <c r="HX12" s="90"/>
      <c r="HY12" s="90"/>
      <c r="HZ12" s="116"/>
      <c r="IA12" s="16">
        <f t="shared" si="45"/>
        <v>0</v>
      </c>
      <c r="IB12" s="90"/>
      <c r="IC12" s="90"/>
      <c r="ID12" s="90"/>
      <c r="IE12" s="116"/>
      <c r="IF12" s="16">
        <f t="shared" si="46"/>
        <v>0</v>
      </c>
      <c r="IG12" s="90"/>
      <c r="IH12" s="90"/>
      <c r="II12" s="90"/>
      <c r="IJ12" s="116"/>
      <c r="IK12" s="16">
        <f t="shared" si="47"/>
        <v>0</v>
      </c>
      <c r="IL12" s="90"/>
      <c r="IM12" s="90"/>
      <c r="IN12" s="90"/>
      <c r="IO12" s="116"/>
      <c r="IP12" s="16">
        <f t="shared" si="48"/>
        <v>0</v>
      </c>
    </row>
    <row r="13" spans="1:250" x14ac:dyDescent="0.25">
      <c r="A13" s="90"/>
      <c r="B13" s="90">
        <v>20</v>
      </c>
      <c r="C13" s="116"/>
      <c r="D13" s="116"/>
      <c r="E13" s="16">
        <f t="shared" si="1"/>
        <v>0</v>
      </c>
      <c r="F13" s="90"/>
      <c r="G13" s="90">
        <v>20</v>
      </c>
      <c r="H13" s="90"/>
      <c r="I13" s="116"/>
      <c r="J13" s="16">
        <f t="shared" si="2"/>
        <v>0</v>
      </c>
      <c r="K13" s="90">
        <v>272</v>
      </c>
      <c r="L13" s="90"/>
      <c r="M13" s="90"/>
      <c r="N13" s="116"/>
      <c r="O13" s="16">
        <f t="shared" si="3"/>
        <v>272</v>
      </c>
      <c r="P13" s="90"/>
      <c r="Q13" s="90"/>
      <c r="R13" s="90">
        <v>463</v>
      </c>
      <c r="S13" s="116"/>
      <c r="T13" s="16">
        <f t="shared" si="4"/>
        <v>463</v>
      </c>
      <c r="U13" s="90"/>
      <c r="V13" s="90"/>
      <c r="W13" s="90">
        <v>272</v>
      </c>
      <c r="X13" s="116"/>
      <c r="Y13" s="16">
        <f t="shared" si="5"/>
        <v>272</v>
      </c>
      <c r="Z13" s="90"/>
      <c r="AA13" s="90"/>
      <c r="AB13" s="90">
        <v>204</v>
      </c>
      <c r="AC13" s="116"/>
      <c r="AD13" s="16">
        <f t="shared" si="6"/>
        <v>204</v>
      </c>
      <c r="AE13" s="90"/>
      <c r="AF13" s="90"/>
      <c r="AG13" s="90"/>
      <c r="AH13" s="116">
        <v>50</v>
      </c>
      <c r="AI13" s="16">
        <f t="shared" si="7"/>
        <v>0</v>
      </c>
      <c r="AJ13" s="90"/>
      <c r="AK13" s="90"/>
      <c r="AL13" s="90">
        <v>172</v>
      </c>
      <c r="AM13" s="116"/>
      <c r="AN13" s="16">
        <f t="shared" si="8"/>
        <v>172</v>
      </c>
      <c r="AO13" s="90"/>
      <c r="AP13" s="90"/>
      <c r="AQ13" s="90"/>
      <c r="AR13" s="116"/>
      <c r="AS13" s="16">
        <f t="shared" si="9"/>
        <v>0</v>
      </c>
      <c r="AT13" s="90"/>
      <c r="AU13" s="90"/>
      <c r="AV13" s="90">
        <v>157</v>
      </c>
      <c r="AW13" s="116"/>
      <c r="AX13" s="16">
        <f t="shared" si="10"/>
        <v>157</v>
      </c>
      <c r="AY13" s="90"/>
      <c r="AZ13" s="90"/>
      <c r="BA13" s="90"/>
      <c r="BB13" s="116">
        <v>50</v>
      </c>
      <c r="BC13" s="16">
        <f t="shared" si="11"/>
        <v>0</v>
      </c>
      <c r="BD13" s="90"/>
      <c r="BE13" s="90"/>
      <c r="BF13" s="90">
        <v>208</v>
      </c>
      <c r="BG13" s="116"/>
      <c r="BH13" s="16">
        <f t="shared" si="12"/>
        <v>208</v>
      </c>
      <c r="BI13" s="90"/>
      <c r="BJ13" s="90">
        <v>24</v>
      </c>
      <c r="BK13" s="90"/>
      <c r="BL13" s="116"/>
      <c r="BM13" s="16">
        <f t="shared" si="13"/>
        <v>0</v>
      </c>
      <c r="BN13" s="90"/>
      <c r="BO13" s="90"/>
      <c r="BP13" s="90"/>
      <c r="BQ13" s="116">
        <v>50</v>
      </c>
      <c r="BR13" s="16">
        <f t="shared" si="14"/>
        <v>0</v>
      </c>
      <c r="BS13" s="90"/>
      <c r="BT13" s="90"/>
      <c r="BU13" s="90">
        <v>131</v>
      </c>
      <c r="BV13" s="116"/>
      <c r="BW13" s="16">
        <f t="shared" si="15"/>
        <v>131</v>
      </c>
      <c r="BX13" s="90">
        <v>170</v>
      </c>
      <c r="BY13" s="90"/>
      <c r="BZ13" s="90"/>
      <c r="CA13" s="116"/>
      <c r="CB13" s="16">
        <f>IF(BX13="",BZ13,BX13)</f>
        <v>170</v>
      </c>
      <c r="CC13" s="90"/>
      <c r="CD13" s="90"/>
      <c r="CE13" s="90">
        <v>108</v>
      </c>
      <c r="CF13" s="116"/>
      <c r="CG13" s="16">
        <f t="shared" si="16"/>
        <v>108</v>
      </c>
      <c r="CH13" s="90"/>
      <c r="CI13" s="90"/>
      <c r="CJ13" s="90"/>
      <c r="CK13" s="116">
        <v>50</v>
      </c>
      <c r="CL13" s="16">
        <f t="shared" si="17"/>
        <v>0</v>
      </c>
      <c r="CM13" s="90">
        <v>342</v>
      </c>
      <c r="CN13" s="90"/>
      <c r="CO13" s="90"/>
      <c r="CP13" s="116"/>
      <c r="CQ13" s="16">
        <f t="shared" si="18"/>
        <v>342</v>
      </c>
      <c r="CR13" s="90"/>
      <c r="CS13" s="90"/>
      <c r="CT13" s="90"/>
      <c r="CU13" s="116">
        <v>50</v>
      </c>
      <c r="CV13" s="16">
        <f t="shared" si="19"/>
        <v>0</v>
      </c>
      <c r="CW13" s="90"/>
      <c r="CX13" s="90"/>
      <c r="CY13" s="90"/>
      <c r="CZ13" s="116">
        <v>50</v>
      </c>
      <c r="DA13" s="16">
        <f t="shared" si="20"/>
        <v>0</v>
      </c>
      <c r="DB13" s="90"/>
      <c r="DC13" s="90"/>
      <c r="DD13" s="90">
        <v>279</v>
      </c>
      <c r="DE13" s="116"/>
      <c r="DF13" s="16">
        <f t="shared" si="21"/>
        <v>279</v>
      </c>
      <c r="DG13" s="90"/>
      <c r="DH13" s="90"/>
      <c r="DI13" s="90">
        <v>164</v>
      </c>
      <c r="DJ13" s="116"/>
      <c r="DK13" s="16">
        <f t="shared" si="22"/>
        <v>164</v>
      </c>
      <c r="DL13" s="90"/>
      <c r="DM13" s="90"/>
      <c r="DN13" s="90"/>
      <c r="DO13" s="116"/>
      <c r="DP13" s="16">
        <f t="shared" si="23"/>
        <v>0</v>
      </c>
      <c r="DQ13" s="90"/>
      <c r="DR13" s="90"/>
      <c r="DS13" s="90"/>
      <c r="DT13" s="116">
        <v>50</v>
      </c>
      <c r="DU13" s="16">
        <f t="shared" si="24"/>
        <v>0</v>
      </c>
      <c r="DV13" s="90"/>
      <c r="DW13" s="90"/>
      <c r="DX13" s="90"/>
      <c r="DY13" s="116"/>
      <c r="DZ13" s="16">
        <f t="shared" si="25"/>
        <v>0</v>
      </c>
      <c r="EA13" s="90"/>
      <c r="EB13" s="90"/>
      <c r="EC13" s="90">
        <v>525</v>
      </c>
      <c r="ED13" s="116"/>
      <c r="EE13" s="16">
        <f t="shared" si="26"/>
        <v>525</v>
      </c>
      <c r="EF13" s="90"/>
      <c r="EG13" s="90"/>
      <c r="EH13" s="90"/>
      <c r="EI13" s="116"/>
      <c r="EJ13" s="16">
        <f t="shared" si="27"/>
        <v>0</v>
      </c>
      <c r="EK13" s="90"/>
      <c r="EL13" s="90"/>
      <c r="EM13" s="90"/>
      <c r="EN13" s="116"/>
      <c r="EO13" s="16">
        <f t="shared" si="28"/>
        <v>0</v>
      </c>
      <c r="EP13" s="90"/>
      <c r="EQ13" s="90"/>
      <c r="ER13" s="90"/>
      <c r="ES13" s="116"/>
      <c r="ET13" s="16">
        <f t="shared" si="29"/>
        <v>0</v>
      </c>
      <c r="EU13" s="90"/>
      <c r="EV13" s="90"/>
      <c r="EW13" s="90"/>
      <c r="EX13" s="116"/>
      <c r="EY13" s="16">
        <f t="shared" si="30"/>
        <v>0</v>
      </c>
      <c r="EZ13" s="90"/>
      <c r="FA13" s="90"/>
      <c r="FB13" s="90"/>
      <c r="FC13" s="116"/>
      <c r="FD13" s="16">
        <f t="shared" si="31"/>
        <v>0</v>
      </c>
      <c r="FE13" s="90"/>
      <c r="FF13" s="90"/>
      <c r="FG13" s="90"/>
      <c r="FH13" s="116"/>
      <c r="FI13" s="16">
        <f t="shared" si="0"/>
        <v>0</v>
      </c>
      <c r="FJ13" s="90"/>
      <c r="FK13" s="90"/>
      <c r="FL13" s="90"/>
      <c r="FM13" s="116"/>
      <c r="FN13" s="16">
        <f t="shared" si="32"/>
        <v>0</v>
      </c>
      <c r="FO13" s="90"/>
      <c r="FP13" s="90"/>
      <c r="FQ13" s="90"/>
      <c r="FR13" s="116"/>
      <c r="FS13" s="16">
        <f t="shared" si="33"/>
        <v>0</v>
      </c>
      <c r="FT13" s="90"/>
      <c r="FU13" s="90"/>
      <c r="FV13" s="90"/>
      <c r="FW13" s="116"/>
      <c r="FX13" s="16">
        <f t="shared" si="34"/>
        <v>0</v>
      </c>
      <c r="FY13" s="90"/>
      <c r="FZ13" s="90"/>
      <c r="GA13" s="90"/>
      <c r="GB13" s="116"/>
      <c r="GC13" s="16">
        <f t="shared" si="35"/>
        <v>0</v>
      </c>
      <c r="GD13" s="90"/>
      <c r="GE13" s="90"/>
      <c r="GF13" s="90"/>
      <c r="GG13" s="116"/>
      <c r="GH13" s="16">
        <f t="shared" si="36"/>
        <v>0</v>
      </c>
      <c r="GI13" s="90"/>
      <c r="GJ13" s="90"/>
      <c r="GK13" s="90"/>
      <c r="GL13" s="116"/>
      <c r="GM13" s="16">
        <f t="shared" si="37"/>
        <v>0</v>
      </c>
      <c r="GN13" s="90"/>
      <c r="GO13" s="90"/>
      <c r="GP13" s="90"/>
      <c r="GQ13" s="116"/>
      <c r="GR13" s="16">
        <f t="shared" si="38"/>
        <v>0</v>
      </c>
      <c r="GS13" s="90"/>
      <c r="GT13" s="90"/>
      <c r="GU13" s="90"/>
      <c r="GV13" s="116"/>
      <c r="GW13" s="16">
        <f t="shared" si="39"/>
        <v>0</v>
      </c>
      <c r="GX13" s="90"/>
      <c r="GY13" s="90"/>
      <c r="GZ13" s="90"/>
      <c r="HA13" s="116"/>
      <c r="HB13" s="16">
        <f t="shared" si="40"/>
        <v>0</v>
      </c>
      <c r="HC13" s="90"/>
      <c r="HD13" s="90"/>
      <c r="HE13" s="90"/>
      <c r="HF13" s="116"/>
      <c r="HG13" s="16">
        <f t="shared" si="41"/>
        <v>0</v>
      </c>
      <c r="HH13" s="90"/>
      <c r="HI13" s="90"/>
      <c r="HJ13" s="90"/>
      <c r="HK13" s="116"/>
      <c r="HL13" s="16">
        <f t="shared" si="42"/>
        <v>0</v>
      </c>
      <c r="HM13" s="90"/>
      <c r="HN13" s="90"/>
      <c r="HO13" s="90"/>
      <c r="HP13" s="116"/>
      <c r="HQ13" s="16">
        <f t="shared" si="43"/>
        <v>0</v>
      </c>
      <c r="HR13" s="90"/>
      <c r="HS13" s="90"/>
      <c r="HT13" s="90"/>
      <c r="HU13" s="116"/>
      <c r="HV13" s="16">
        <f t="shared" si="44"/>
        <v>0</v>
      </c>
      <c r="HW13" s="90"/>
      <c r="HX13" s="90"/>
      <c r="HY13" s="90"/>
      <c r="HZ13" s="116"/>
      <c r="IA13" s="16">
        <f t="shared" si="45"/>
        <v>0</v>
      </c>
      <c r="IB13" s="90"/>
      <c r="IC13" s="90"/>
      <c r="ID13" s="90"/>
      <c r="IE13" s="116"/>
      <c r="IF13" s="16">
        <f t="shared" si="46"/>
        <v>0</v>
      </c>
      <c r="IG13" s="90"/>
      <c r="IH13" s="90"/>
      <c r="II13" s="90"/>
      <c r="IJ13" s="116"/>
      <c r="IK13" s="16">
        <f t="shared" si="47"/>
        <v>0</v>
      </c>
      <c r="IL13" s="90"/>
      <c r="IM13" s="90"/>
      <c r="IN13" s="90"/>
      <c r="IO13" s="116"/>
      <c r="IP13" s="16">
        <f t="shared" si="48"/>
        <v>0</v>
      </c>
    </row>
    <row r="14" spans="1:250" x14ac:dyDescent="0.25">
      <c r="A14" s="90">
        <v>500</v>
      </c>
      <c r="B14" s="90"/>
      <c r="C14" s="116"/>
      <c r="D14" s="116"/>
      <c r="E14" s="16">
        <f t="shared" si="1"/>
        <v>500</v>
      </c>
      <c r="F14" s="90">
        <v>570</v>
      </c>
      <c r="G14" s="90"/>
      <c r="H14" s="90"/>
      <c r="I14" s="116"/>
      <c r="J14" s="16">
        <f t="shared" si="2"/>
        <v>570</v>
      </c>
      <c r="K14" s="90">
        <v>250</v>
      </c>
      <c r="L14" s="90"/>
      <c r="M14" s="90"/>
      <c r="N14" s="116"/>
      <c r="O14" s="16">
        <f t="shared" si="3"/>
        <v>250</v>
      </c>
      <c r="P14" s="90"/>
      <c r="Q14" s="90"/>
      <c r="R14" s="90"/>
      <c r="S14" s="116">
        <v>50</v>
      </c>
      <c r="T14" s="16">
        <f t="shared" si="4"/>
        <v>0</v>
      </c>
      <c r="U14" s="90"/>
      <c r="V14" s="90"/>
      <c r="W14" s="90">
        <v>258</v>
      </c>
      <c r="X14" s="116"/>
      <c r="Y14" s="16">
        <f t="shared" si="5"/>
        <v>258</v>
      </c>
      <c r="Z14" s="90"/>
      <c r="AA14" s="90"/>
      <c r="AB14" s="90">
        <v>200</v>
      </c>
      <c r="AC14" s="116"/>
      <c r="AD14" s="16">
        <f t="shared" si="6"/>
        <v>200</v>
      </c>
      <c r="AE14" s="90"/>
      <c r="AF14" s="90"/>
      <c r="AG14" s="90">
        <v>259</v>
      </c>
      <c r="AH14" s="116"/>
      <c r="AI14" s="16">
        <f t="shared" si="7"/>
        <v>259</v>
      </c>
      <c r="AJ14" s="90"/>
      <c r="AK14" s="90"/>
      <c r="AL14" s="90">
        <v>237</v>
      </c>
      <c r="AM14" s="116"/>
      <c r="AN14" s="16">
        <f t="shared" si="8"/>
        <v>237</v>
      </c>
      <c r="AO14" s="90"/>
      <c r="AP14" s="90"/>
      <c r="AQ14" s="90"/>
      <c r="AR14" s="116"/>
      <c r="AS14" s="16">
        <f t="shared" si="9"/>
        <v>0</v>
      </c>
      <c r="AT14" s="90"/>
      <c r="AU14" s="90"/>
      <c r="AV14" s="90">
        <v>353</v>
      </c>
      <c r="AW14" s="116"/>
      <c r="AX14" s="16">
        <f t="shared" si="10"/>
        <v>353</v>
      </c>
      <c r="AY14" s="90"/>
      <c r="AZ14" s="90"/>
      <c r="BA14" s="90">
        <v>203</v>
      </c>
      <c r="BB14" s="116"/>
      <c r="BC14" s="16">
        <f t="shared" si="11"/>
        <v>203</v>
      </c>
      <c r="BD14" s="90"/>
      <c r="BE14" s="90"/>
      <c r="BF14" s="90"/>
      <c r="BG14" s="116"/>
      <c r="BH14" s="16">
        <f t="shared" si="12"/>
        <v>0</v>
      </c>
      <c r="BI14" s="90"/>
      <c r="BJ14" s="90"/>
      <c r="BK14" s="90">
        <v>285</v>
      </c>
      <c r="BL14" s="116"/>
      <c r="BM14" s="16">
        <f t="shared" si="13"/>
        <v>285</v>
      </c>
      <c r="BN14" s="90"/>
      <c r="BO14" s="90"/>
      <c r="BP14" s="90">
        <v>310</v>
      </c>
      <c r="BQ14" s="116"/>
      <c r="BR14" s="16">
        <f t="shared" si="14"/>
        <v>310</v>
      </c>
      <c r="BS14" s="90"/>
      <c r="BT14" s="90"/>
      <c r="BU14" s="90">
        <v>146</v>
      </c>
      <c r="BV14" s="116"/>
      <c r="BW14" s="16">
        <f t="shared" si="15"/>
        <v>146</v>
      </c>
      <c r="BX14" s="90">
        <v>480</v>
      </c>
      <c r="BY14" s="90"/>
      <c r="BZ14" s="90"/>
      <c r="CA14" s="116"/>
      <c r="CB14" s="16">
        <f>IF(BX14="",BZ14,BX14)</f>
        <v>480</v>
      </c>
      <c r="CC14" s="90"/>
      <c r="CD14" s="90"/>
      <c r="CE14" s="90">
        <v>319</v>
      </c>
      <c r="CF14" s="116"/>
      <c r="CG14" s="16">
        <f t="shared" si="16"/>
        <v>319</v>
      </c>
      <c r="CH14" s="90"/>
      <c r="CI14" s="90"/>
      <c r="CJ14" s="90">
        <v>260</v>
      </c>
      <c r="CK14" s="116"/>
      <c r="CL14" s="16">
        <f t="shared" si="17"/>
        <v>260</v>
      </c>
      <c r="CM14" s="90"/>
      <c r="CN14" s="90">
        <v>50</v>
      </c>
      <c r="CO14" s="90"/>
      <c r="CP14" s="116"/>
      <c r="CQ14" s="16">
        <f t="shared" si="18"/>
        <v>0</v>
      </c>
      <c r="CR14" s="90"/>
      <c r="CS14" s="90"/>
      <c r="CT14" s="90">
        <v>164</v>
      </c>
      <c r="CU14" s="116"/>
      <c r="CV14" s="16">
        <f t="shared" si="19"/>
        <v>164</v>
      </c>
      <c r="CW14" s="90"/>
      <c r="CX14" s="90"/>
      <c r="CY14" s="90">
        <v>225</v>
      </c>
      <c r="CZ14" s="116"/>
      <c r="DA14" s="16">
        <f t="shared" si="20"/>
        <v>225</v>
      </c>
      <c r="DB14" s="90"/>
      <c r="DC14" s="90"/>
      <c r="DD14" s="90">
        <v>406</v>
      </c>
      <c r="DE14" s="116"/>
      <c r="DF14" s="16">
        <f t="shared" si="21"/>
        <v>406</v>
      </c>
      <c r="DG14" s="90"/>
      <c r="DH14" s="90"/>
      <c r="DI14" s="90"/>
      <c r="DJ14" s="116"/>
      <c r="DK14" s="16">
        <f t="shared" si="22"/>
        <v>0</v>
      </c>
      <c r="DL14" s="90"/>
      <c r="DM14" s="90"/>
      <c r="DN14" s="90"/>
      <c r="DO14" s="116"/>
      <c r="DP14" s="16">
        <f t="shared" si="23"/>
        <v>0</v>
      </c>
      <c r="DQ14" s="90"/>
      <c r="DR14" s="90"/>
      <c r="DS14" s="90">
        <v>178</v>
      </c>
      <c r="DT14" s="116"/>
      <c r="DU14" s="16">
        <f t="shared" si="24"/>
        <v>178</v>
      </c>
      <c r="DV14" s="90"/>
      <c r="DW14" s="90"/>
      <c r="DX14" s="90"/>
      <c r="DY14" s="116"/>
      <c r="DZ14" s="16">
        <f t="shared" si="25"/>
        <v>0</v>
      </c>
      <c r="EA14" s="90"/>
      <c r="EB14" s="90"/>
      <c r="EC14" s="90"/>
      <c r="ED14" s="116"/>
      <c r="EE14" s="16">
        <f t="shared" si="26"/>
        <v>0</v>
      </c>
      <c r="EF14" s="90"/>
      <c r="EG14" s="90"/>
      <c r="EH14" s="90"/>
      <c r="EI14" s="116"/>
      <c r="EJ14" s="16">
        <f t="shared" si="27"/>
        <v>0</v>
      </c>
      <c r="EK14" s="90"/>
      <c r="EL14" s="90"/>
      <c r="EM14" s="90"/>
      <c r="EN14" s="116"/>
      <c r="EO14" s="16">
        <f t="shared" si="28"/>
        <v>0</v>
      </c>
      <c r="EP14" s="90"/>
      <c r="EQ14" s="90"/>
      <c r="ER14" s="90"/>
      <c r="ES14" s="116"/>
      <c r="ET14" s="16">
        <f t="shared" si="29"/>
        <v>0</v>
      </c>
      <c r="EU14" s="90"/>
      <c r="EV14" s="90"/>
      <c r="EW14" s="90"/>
      <c r="EX14" s="116"/>
      <c r="EY14" s="16">
        <f t="shared" si="30"/>
        <v>0</v>
      </c>
      <c r="EZ14" s="90"/>
      <c r="FA14" s="90"/>
      <c r="FB14" s="90"/>
      <c r="FC14" s="116"/>
      <c r="FD14" s="16">
        <f t="shared" si="31"/>
        <v>0</v>
      </c>
      <c r="FE14" s="90"/>
      <c r="FF14" s="90"/>
      <c r="FG14" s="90"/>
      <c r="FH14" s="116"/>
      <c r="FI14" s="16">
        <f t="shared" si="0"/>
        <v>0</v>
      </c>
      <c r="FJ14" s="90"/>
      <c r="FK14" s="90"/>
      <c r="FL14" s="90"/>
      <c r="FM14" s="116"/>
      <c r="FN14" s="16">
        <f t="shared" si="32"/>
        <v>0</v>
      </c>
      <c r="FO14" s="90"/>
      <c r="FP14" s="90"/>
      <c r="FQ14" s="90"/>
      <c r="FR14" s="116"/>
      <c r="FS14" s="16">
        <f t="shared" si="33"/>
        <v>0</v>
      </c>
      <c r="FT14" s="90"/>
      <c r="FU14" s="90"/>
      <c r="FV14" s="90"/>
      <c r="FW14" s="116"/>
      <c r="FX14" s="16">
        <f t="shared" si="34"/>
        <v>0</v>
      </c>
      <c r="FY14" s="90"/>
      <c r="FZ14" s="90"/>
      <c r="GA14" s="90"/>
      <c r="GB14" s="116"/>
      <c r="GC14" s="16">
        <f t="shared" si="35"/>
        <v>0</v>
      </c>
      <c r="GD14" s="90"/>
      <c r="GE14" s="90"/>
      <c r="GF14" s="90"/>
      <c r="GG14" s="116"/>
      <c r="GH14" s="16">
        <f t="shared" si="36"/>
        <v>0</v>
      </c>
      <c r="GI14" s="90"/>
      <c r="GJ14" s="90"/>
      <c r="GK14" s="90"/>
      <c r="GL14" s="116"/>
      <c r="GM14" s="16">
        <f t="shared" si="37"/>
        <v>0</v>
      </c>
      <c r="GN14" s="90"/>
      <c r="GO14" s="90"/>
      <c r="GP14" s="90"/>
      <c r="GQ14" s="116"/>
      <c r="GR14" s="16">
        <f t="shared" si="38"/>
        <v>0</v>
      </c>
      <c r="GS14" s="90"/>
      <c r="GT14" s="90"/>
      <c r="GU14" s="90"/>
      <c r="GV14" s="116"/>
      <c r="GW14" s="16">
        <f t="shared" si="39"/>
        <v>0</v>
      </c>
      <c r="GX14" s="90"/>
      <c r="GY14" s="90"/>
      <c r="GZ14" s="90"/>
      <c r="HA14" s="116"/>
      <c r="HB14" s="16">
        <f t="shared" si="40"/>
        <v>0</v>
      </c>
      <c r="HC14" s="90"/>
      <c r="HD14" s="90"/>
      <c r="HE14" s="90"/>
      <c r="HF14" s="116"/>
      <c r="HG14" s="16">
        <f t="shared" si="41"/>
        <v>0</v>
      </c>
      <c r="HH14" s="90"/>
      <c r="HI14" s="90"/>
      <c r="HJ14" s="90"/>
      <c r="HK14" s="116"/>
      <c r="HL14" s="16">
        <f t="shared" si="42"/>
        <v>0</v>
      </c>
      <c r="HM14" s="90"/>
      <c r="HN14" s="90"/>
      <c r="HO14" s="90"/>
      <c r="HP14" s="116"/>
      <c r="HQ14" s="16">
        <f t="shared" si="43"/>
        <v>0</v>
      </c>
      <c r="HR14" s="90"/>
      <c r="HS14" s="90"/>
      <c r="HT14" s="90"/>
      <c r="HU14" s="116"/>
      <c r="HV14" s="16">
        <f t="shared" si="44"/>
        <v>0</v>
      </c>
      <c r="HW14" s="90"/>
      <c r="HX14" s="90"/>
      <c r="HY14" s="90"/>
      <c r="HZ14" s="116"/>
      <c r="IA14" s="16">
        <f t="shared" si="45"/>
        <v>0</v>
      </c>
      <c r="IB14" s="90"/>
      <c r="IC14" s="90"/>
      <c r="ID14" s="90"/>
      <c r="IE14" s="116"/>
      <c r="IF14" s="16">
        <f t="shared" si="46"/>
        <v>0</v>
      </c>
      <c r="IG14" s="90"/>
      <c r="IH14" s="90"/>
      <c r="II14" s="90"/>
      <c r="IJ14" s="116"/>
      <c r="IK14" s="16">
        <f t="shared" si="47"/>
        <v>0</v>
      </c>
      <c r="IL14" s="90"/>
      <c r="IM14" s="90"/>
      <c r="IN14" s="90"/>
      <c r="IO14" s="116"/>
      <c r="IP14" s="16">
        <f t="shared" si="48"/>
        <v>0</v>
      </c>
    </row>
    <row r="15" spans="1:250" x14ac:dyDescent="0.25">
      <c r="A15" s="90">
        <v>212</v>
      </c>
      <c r="B15" s="90"/>
      <c r="C15" s="116"/>
      <c r="D15" s="116"/>
      <c r="E15" s="16">
        <f t="shared" si="1"/>
        <v>212</v>
      </c>
      <c r="F15" s="90"/>
      <c r="G15" s="90">
        <v>50</v>
      </c>
      <c r="H15" s="90"/>
      <c r="I15" s="116"/>
      <c r="J15" s="16">
        <f t="shared" si="2"/>
        <v>0</v>
      </c>
      <c r="K15" s="90">
        <v>165</v>
      </c>
      <c r="L15" s="90"/>
      <c r="M15" s="90"/>
      <c r="N15" s="116"/>
      <c r="O15" s="16">
        <f t="shared" si="3"/>
        <v>165</v>
      </c>
      <c r="P15" s="90"/>
      <c r="Q15" s="90"/>
      <c r="R15" s="90">
        <v>188</v>
      </c>
      <c r="S15" s="116"/>
      <c r="T15" s="16">
        <f t="shared" si="4"/>
        <v>188</v>
      </c>
      <c r="U15" s="90"/>
      <c r="V15" s="90"/>
      <c r="W15" s="90">
        <v>256</v>
      </c>
      <c r="X15" s="116"/>
      <c r="Y15" s="16">
        <f t="shared" si="5"/>
        <v>256</v>
      </c>
      <c r="Z15" s="90"/>
      <c r="AA15" s="90"/>
      <c r="AB15" s="90"/>
      <c r="AC15" s="116">
        <v>50</v>
      </c>
      <c r="AD15" s="16">
        <f t="shared" si="6"/>
        <v>0</v>
      </c>
      <c r="AE15" s="90"/>
      <c r="AF15" s="90"/>
      <c r="AG15" s="90">
        <v>203</v>
      </c>
      <c r="AH15" s="116"/>
      <c r="AI15" s="16">
        <f t="shared" si="7"/>
        <v>203</v>
      </c>
      <c r="AJ15" s="90"/>
      <c r="AK15" s="90"/>
      <c r="AL15" s="90"/>
      <c r="AM15" s="116">
        <v>50</v>
      </c>
      <c r="AN15" s="16">
        <f t="shared" si="8"/>
        <v>0</v>
      </c>
      <c r="AO15" s="90"/>
      <c r="AP15" s="90"/>
      <c r="AQ15" s="90"/>
      <c r="AR15" s="116"/>
      <c r="AS15" s="16">
        <f t="shared" si="9"/>
        <v>0</v>
      </c>
      <c r="AT15" s="90"/>
      <c r="AU15" s="90"/>
      <c r="AV15" s="90"/>
      <c r="AW15" s="116"/>
      <c r="AX15" s="16">
        <f t="shared" si="10"/>
        <v>0</v>
      </c>
      <c r="AY15" s="90"/>
      <c r="AZ15" s="90"/>
      <c r="BA15" s="90">
        <v>216</v>
      </c>
      <c r="BB15" s="116"/>
      <c r="BC15" s="16">
        <f t="shared" si="11"/>
        <v>216</v>
      </c>
      <c r="BD15" s="90"/>
      <c r="BE15" s="90"/>
      <c r="BF15" s="90"/>
      <c r="BG15" s="116"/>
      <c r="BH15" s="16">
        <f t="shared" si="12"/>
        <v>0</v>
      </c>
      <c r="BI15" s="90"/>
      <c r="BJ15" s="90"/>
      <c r="BK15" s="90">
        <v>170</v>
      </c>
      <c r="BL15" s="116"/>
      <c r="BM15" s="16">
        <f t="shared" si="13"/>
        <v>170</v>
      </c>
      <c r="BN15" s="90"/>
      <c r="BO15" s="90"/>
      <c r="BP15" s="90">
        <v>229</v>
      </c>
      <c r="BQ15" s="116"/>
      <c r="BR15" s="16">
        <f t="shared" si="14"/>
        <v>229</v>
      </c>
      <c r="BS15" s="90"/>
      <c r="BT15" s="90"/>
      <c r="BU15" s="90">
        <v>203</v>
      </c>
      <c r="BV15" s="116"/>
      <c r="BW15" s="16">
        <f t="shared" si="15"/>
        <v>203</v>
      </c>
      <c r="BX15" s="90">
        <v>425</v>
      </c>
      <c r="BY15" s="90"/>
      <c r="BZ15" s="90"/>
      <c r="CA15" s="116"/>
      <c r="CB15" s="16">
        <f t="shared" ref="CB15:CB74" si="49">IF(BX15="",BZ15,BX15)</f>
        <v>425</v>
      </c>
      <c r="CC15" s="90"/>
      <c r="CD15" s="90"/>
      <c r="CE15" s="90"/>
      <c r="CF15" s="116">
        <v>50</v>
      </c>
      <c r="CG15" s="16">
        <f t="shared" si="16"/>
        <v>0</v>
      </c>
      <c r="CH15" s="90"/>
      <c r="CI15" s="90"/>
      <c r="CJ15" s="90">
        <v>318</v>
      </c>
      <c r="CK15" s="116"/>
      <c r="CL15" s="16">
        <f t="shared" si="17"/>
        <v>318</v>
      </c>
      <c r="CM15" s="90"/>
      <c r="CN15" s="90"/>
      <c r="CO15" s="90"/>
      <c r="CP15" s="116"/>
      <c r="CQ15" s="16">
        <f t="shared" si="18"/>
        <v>0</v>
      </c>
      <c r="CR15" s="90"/>
      <c r="CS15" s="90"/>
      <c r="CT15" s="90">
        <v>292</v>
      </c>
      <c r="CU15" s="116"/>
      <c r="CV15" s="16">
        <f t="shared" si="19"/>
        <v>292</v>
      </c>
      <c r="CW15" s="90"/>
      <c r="CX15" s="90"/>
      <c r="CY15" s="90">
        <v>129</v>
      </c>
      <c r="CZ15" s="116"/>
      <c r="DA15" s="16">
        <f t="shared" si="20"/>
        <v>129</v>
      </c>
      <c r="DB15" s="90"/>
      <c r="DC15" s="90"/>
      <c r="DD15" s="90"/>
      <c r="DE15" s="116"/>
      <c r="DF15" s="16">
        <f t="shared" si="21"/>
        <v>0</v>
      </c>
      <c r="DG15" s="90"/>
      <c r="DH15" s="90"/>
      <c r="DI15" s="90"/>
      <c r="DJ15" s="116"/>
      <c r="DK15" s="16">
        <f t="shared" si="22"/>
        <v>0</v>
      </c>
      <c r="DL15" s="90"/>
      <c r="DM15" s="90"/>
      <c r="DN15" s="90"/>
      <c r="DO15" s="116"/>
      <c r="DP15" s="16">
        <f t="shared" si="23"/>
        <v>0</v>
      </c>
      <c r="DQ15" s="90"/>
      <c r="DR15" s="90"/>
      <c r="DS15" s="90">
        <v>221</v>
      </c>
      <c r="DT15" s="116"/>
      <c r="DU15" s="16">
        <f t="shared" si="24"/>
        <v>221</v>
      </c>
      <c r="DV15" s="90"/>
      <c r="DW15" s="90"/>
      <c r="DX15" s="90"/>
      <c r="DY15" s="116"/>
      <c r="DZ15" s="16">
        <f t="shared" si="25"/>
        <v>0</v>
      </c>
      <c r="EA15" s="90"/>
      <c r="EB15" s="90"/>
      <c r="EC15" s="90"/>
      <c r="ED15" s="116"/>
      <c r="EE15" s="16">
        <f t="shared" si="26"/>
        <v>0</v>
      </c>
      <c r="EF15" s="90"/>
      <c r="EG15" s="90"/>
      <c r="EH15" s="90"/>
      <c r="EI15" s="116"/>
      <c r="EJ15" s="16">
        <f t="shared" si="27"/>
        <v>0</v>
      </c>
      <c r="EK15" s="90"/>
      <c r="EL15" s="90"/>
      <c r="EM15" s="90"/>
      <c r="EN15" s="116"/>
      <c r="EO15" s="16">
        <f t="shared" si="28"/>
        <v>0</v>
      </c>
      <c r="EP15" s="90"/>
      <c r="EQ15" s="90"/>
      <c r="ER15" s="90"/>
      <c r="ES15" s="116"/>
      <c r="ET15" s="16">
        <f t="shared" si="29"/>
        <v>0</v>
      </c>
      <c r="EU15" s="90"/>
      <c r="EV15" s="90"/>
      <c r="EW15" s="90"/>
      <c r="EX15" s="116"/>
      <c r="EY15" s="16">
        <f t="shared" si="30"/>
        <v>0</v>
      </c>
      <c r="EZ15" s="90"/>
      <c r="FA15" s="90"/>
      <c r="FB15" s="90"/>
      <c r="FC15" s="116"/>
      <c r="FD15" s="16">
        <f t="shared" si="31"/>
        <v>0</v>
      </c>
      <c r="FE15" s="90"/>
      <c r="FF15" s="90"/>
      <c r="FG15" s="90"/>
      <c r="FH15" s="116"/>
      <c r="FI15" s="16">
        <f t="shared" si="0"/>
        <v>0</v>
      </c>
      <c r="FJ15" s="90"/>
      <c r="FK15" s="90"/>
      <c r="FL15" s="90"/>
      <c r="FM15" s="116"/>
      <c r="FN15" s="16">
        <f t="shared" si="32"/>
        <v>0</v>
      </c>
      <c r="FO15" s="90"/>
      <c r="FP15" s="90"/>
      <c r="FQ15" s="90"/>
      <c r="FR15" s="116"/>
      <c r="FS15" s="16">
        <f t="shared" si="33"/>
        <v>0</v>
      </c>
      <c r="FT15" s="90"/>
      <c r="FU15" s="90"/>
      <c r="FV15" s="90"/>
      <c r="FW15" s="116"/>
      <c r="FX15" s="16">
        <f t="shared" si="34"/>
        <v>0</v>
      </c>
      <c r="FY15" s="90"/>
      <c r="FZ15" s="90"/>
      <c r="GA15" s="90"/>
      <c r="GB15" s="116"/>
      <c r="GC15" s="16">
        <f t="shared" si="35"/>
        <v>0</v>
      </c>
      <c r="GD15" s="90"/>
      <c r="GE15" s="90"/>
      <c r="GF15" s="90"/>
      <c r="GG15" s="116"/>
      <c r="GH15" s="16">
        <f t="shared" si="36"/>
        <v>0</v>
      </c>
      <c r="GI15" s="90"/>
      <c r="GJ15" s="90"/>
      <c r="GK15" s="90"/>
      <c r="GL15" s="116"/>
      <c r="GM15" s="16">
        <f t="shared" si="37"/>
        <v>0</v>
      </c>
      <c r="GN15" s="90"/>
      <c r="GO15" s="90"/>
      <c r="GP15" s="90"/>
      <c r="GQ15" s="116"/>
      <c r="GR15" s="16">
        <f t="shared" si="38"/>
        <v>0</v>
      </c>
      <c r="GS15" s="90"/>
      <c r="GT15" s="90"/>
      <c r="GU15" s="90"/>
      <c r="GV15" s="116"/>
      <c r="GW15" s="16">
        <f t="shared" si="39"/>
        <v>0</v>
      </c>
      <c r="GX15" s="90"/>
      <c r="GY15" s="90"/>
      <c r="GZ15" s="90"/>
      <c r="HA15" s="116"/>
      <c r="HB15" s="16">
        <f t="shared" si="40"/>
        <v>0</v>
      </c>
      <c r="HC15" s="90"/>
      <c r="HD15" s="90"/>
      <c r="HE15" s="90"/>
      <c r="HF15" s="116"/>
      <c r="HG15" s="16">
        <f t="shared" si="41"/>
        <v>0</v>
      </c>
      <c r="HH15" s="90"/>
      <c r="HI15" s="90"/>
      <c r="HJ15" s="90"/>
      <c r="HK15" s="116"/>
      <c r="HL15" s="16">
        <f t="shared" si="42"/>
        <v>0</v>
      </c>
      <c r="HM15" s="90"/>
      <c r="HN15" s="90"/>
      <c r="HO15" s="90"/>
      <c r="HP15" s="116"/>
      <c r="HQ15" s="16">
        <f t="shared" si="43"/>
        <v>0</v>
      </c>
      <c r="HR15" s="90"/>
      <c r="HS15" s="90"/>
      <c r="HT15" s="90"/>
      <c r="HU15" s="116"/>
      <c r="HV15" s="16">
        <f t="shared" si="44"/>
        <v>0</v>
      </c>
      <c r="HW15" s="90"/>
      <c r="HX15" s="90"/>
      <c r="HY15" s="90"/>
      <c r="HZ15" s="116"/>
      <c r="IA15" s="16">
        <f t="shared" si="45"/>
        <v>0</v>
      </c>
      <c r="IB15" s="90"/>
      <c r="IC15" s="90"/>
      <c r="ID15" s="90"/>
      <c r="IE15" s="116"/>
      <c r="IF15" s="16">
        <f t="shared" si="46"/>
        <v>0</v>
      </c>
      <c r="IG15" s="90"/>
      <c r="IH15" s="90"/>
      <c r="II15" s="90"/>
      <c r="IJ15" s="116"/>
      <c r="IK15" s="16">
        <f t="shared" si="47"/>
        <v>0</v>
      </c>
      <c r="IL15" s="90"/>
      <c r="IM15" s="90"/>
      <c r="IN15" s="90"/>
      <c r="IO15" s="116"/>
      <c r="IP15" s="16">
        <f t="shared" si="48"/>
        <v>0</v>
      </c>
    </row>
    <row r="16" spans="1:250" x14ac:dyDescent="0.25">
      <c r="A16" s="90"/>
      <c r="B16" s="90">
        <v>50</v>
      </c>
      <c r="C16" s="116"/>
      <c r="D16" s="116"/>
      <c r="E16" s="16">
        <f t="shared" si="1"/>
        <v>0</v>
      </c>
      <c r="F16" s="90"/>
      <c r="G16" s="90"/>
      <c r="H16" s="90"/>
      <c r="I16" s="116"/>
      <c r="J16" s="16">
        <f t="shared" si="2"/>
        <v>0</v>
      </c>
      <c r="K16" s="90"/>
      <c r="L16" s="90">
        <v>24</v>
      </c>
      <c r="M16" s="90"/>
      <c r="N16" s="116"/>
      <c r="O16" s="16">
        <f t="shared" si="3"/>
        <v>0</v>
      </c>
      <c r="P16" s="90"/>
      <c r="Q16" s="90"/>
      <c r="R16" s="90">
        <v>208</v>
      </c>
      <c r="S16" s="116"/>
      <c r="T16" s="16">
        <f t="shared" si="4"/>
        <v>208</v>
      </c>
      <c r="U16" s="90"/>
      <c r="V16" s="90"/>
      <c r="W16" s="90">
        <v>126</v>
      </c>
      <c r="X16" s="116"/>
      <c r="Y16" s="16">
        <f t="shared" si="5"/>
        <v>126</v>
      </c>
      <c r="Z16" s="90"/>
      <c r="AA16" s="90"/>
      <c r="AB16" s="90">
        <v>202</v>
      </c>
      <c r="AC16" s="116"/>
      <c r="AD16" s="16">
        <f t="shared" si="6"/>
        <v>202</v>
      </c>
      <c r="AE16" s="90"/>
      <c r="AF16" s="90"/>
      <c r="AG16" s="90">
        <v>253</v>
      </c>
      <c r="AH16" s="116"/>
      <c r="AI16" s="16">
        <f t="shared" si="7"/>
        <v>253</v>
      </c>
      <c r="AJ16" s="90"/>
      <c r="AK16" s="90"/>
      <c r="AL16" s="90">
        <v>250</v>
      </c>
      <c r="AM16" s="116"/>
      <c r="AN16" s="16">
        <f t="shared" si="8"/>
        <v>250</v>
      </c>
      <c r="AO16" s="90"/>
      <c r="AP16" s="255"/>
      <c r="AQ16" s="90"/>
      <c r="AR16" s="116"/>
      <c r="AS16" s="16">
        <f t="shared" si="9"/>
        <v>0</v>
      </c>
      <c r="AT16" s="90"/>
      <c r="AU16" s="90"/>
      <c r="AV16" s="90"/>
      <c r="AW16" s="116"/>
      <c r="AX16" s="16">
        <f t="shared" si="10"/>
        <v>0</v>
      </c>
      <c r="AY16" s="90"/>
      <c r="AZ16" s="90"/>
      <c r="BA16" s="90">
        <v>55</v>
      </c>
      <c r="BB16" s="116"/>
      <c r="BC16" s="16">
        <f t="shared" si="11"/>
        <v>55</v>
      </c>
      <c r="BD16" s="90"/>
      <c r="BE16" s="90"/>
      <c r="BF16" s="90"/>
      <c r="BG16" s="116"/>
      <c r="BH16" s="16">
        <f t="shared" si="12"/>
        <v>0</v>
      </c>
      <c r="BI16" s="90"/>
      <c r="BJ16" s="90"/>
      <c r="BK16" s="90">
        <v>116</v>
      </c>
      <c r="BL16" s="116"/>
      <c r="BM16" s="16">
        <f t="shared" si="13"/>
        <v>116</v>
      </c>
      <c r="BN16" s="90"/>
      <c r="BO16" s="90"/>
      <c r="BP16" s="90">
        <v>203</v>
      </c>
      <c r="BQ16" s="116"/>
      <c r="BR16" s="16">
        <f t="shared" si="14"/>
        <v>203</v>
      </c>
      <c r="BS16" s="90"/>
      <c r="BT16" s="90"/>
      <c r="BU16" s="90">
        <v>212</v>
      </c>
      <c r="BV16" s="116"/>
      <c r="BW16" s="16">
        <f t="shared" si="15"/>
        <v>212</v>
      </c>
      <c r="BX16" s="90"/>
      <c r="BY16" s="90">
        <v>50</v>
      </c>
      <c r="BZ16" s="90"/>
      <c r="CA16" s="116"/>
      <c r="CB16" s="16">
        <f t="shared" si="49"/>
        <v>0</v>
      </c>
      <c r="CC16" s="90"/>
      <c r="CD16" s="90"/>
      <c r="CE16" s="90">
        <v>210</v>
      </c>
      <c r="CF16" s="116"/>
      <c r="CG16" s="16">
        <f t="shared" si="16"/>
        <v>210</v>
      </c>
      <c r="CH16" s="90"/>
      <c r="CI16" s="90"/>
      <c r="CJ16" s="90">
        <v>233</v>
      </c>
      <c r="CK16" s="116"/>
      <c r="CL16" s="16">
        <f t="shared" si="17"/>
        <v>233</v>
      </c>
      <c r="CM16" s="90"/>
      <c r="CN16" s="90"/>
      <c r="CO16" s="90"/>
      <c r="CP16" s="116"/>
      <c r="CQ16" s="16">
        <f t="shared" si="18"/>
        <v>0</v>
      </c>
      <c r="CR16" s="90"/>
      <c r="CS16" s="90"/>
      <c r="CT16" s="90">
        <v>235</v>
      </c>
      <c r="CU16" s="116"/>
      <c r="CV16" s="16">
        <f t="shared" si="19"/>
        <v>235</v>
      </c>
      <c r="CW16" s="90"/>
      <c r="CX16" s="90"/>
      <c r="CY16" s="90">
        <v>198</v>
      </c>
      <c r="CZ16" s="116"/>
      <c r="DA16" s="16">
        <f t="shared" si="20"/>
        <v>198</v>
      </c>
      <c r="DB16" s="90"/>
      <c r="DC16" s="90"/>
      <c r="DD16" s="90"/>
      <c r="DE16" s="116"/>
      <c r="DF16" s="16">
        <f t="shared" si="21"/>
        <v>0</v>
      </c>
      <c r="DG16" s="90"/>
      <c r="DH16" s="90"/>
      <c r="DI16" s="90"/>
      <c r="DJ16" s="116"/>
      <c r="DK16" s="16">
        <f t="shared" si="22"/>
        <v>0</v>
      </c>
      <c r="DL16" s="90"/>
      <c r="DM16" s="90"/>
      <c r="DN16" s="90"/>
      <c r="DO16" s="116"/>
      <c r="DP16" s="16">
        <f t="shared" si="23"/>
        <v>0</v>
      </c>
      <c r="DQ16" s="90"/>
      <c r="DR16" s="90"/>
      <c r="DS16" s="90">
        <v>224</v>
      </c>
      <c r="DT16" s="116"/>
      <c r="DU16" s="16">
        <f t="shared" si="24"/>
        <v>224</v>
      </c>
      <c r="DV16" s="90"/>
      <c r="DW16" s="90"/>
      <c r="DX16" s="90"/>
      <c r="DY16" s="116"/>
      <c r="DZ16" s="16">
        <f t="shared" si="25"/>
        <v>0</v>
      </c>
      <c r="EA16" s="90"/>
      <c r="EB16" s="90"/>
      <c r="EC16" s="90"/>
      <c r="ED16" s="116"/>
      <c r="EE16" s="16">
        <f t="shared" si="26"/>
        <v>0</v>
      </c>
      <c r="EF16" s="90"/>
      <c r="EG16" s="90"/>
      <c r="EH16" s="90"/>
      <c r="EI16" s="116"/>
      <c r="EJ16" s="16">
        <f t="shared" si="27"/>
        <v>0</v>
      </c>
      <c r="EK16" s="90"/>
      <c r="EL16" s="90"/>
      <c r="EM16" s="90"/>
      <c r="EN16" s="116"/>
      <c r="EO16" s="16">
        <f t="shared" si="28"/>
        <v>0</v>
      </c>
      <c r="EP16" s="90"/>
      <c r="EQ16" s="90"/>
      <c r="ER16" s="90"/>
      <c r="ES16" s="116"/>
      <c r="ET16" s="16">
        <f t="shared" si="29"/>
        <v>0</v>
      </c>
      <c r="EU16" s="90"/>
      <c r="EV16" s="90"/>
      <c r="EW16" s="90"/>
      <c r="EX16" s="116"/>
      <c r="EY16" s="16">
        <f t="shared" si="30"/>
        <v>0</v>
      </c>
      <c r="EZ16" s="90"/>
      <c r="FA16" s="90"/>
      <c r="FB16" s="90"/>
      <c r="FC16" s="116"/>
      <c r="FD16" s="16">
        <f t="shared" si="31"/>
        <v>0</v>
      </c>
      <c r="FE16" s="90"/>
      <c r="FF16" s="90"/>
      <c r="FG16" s="90"/>
      <c r="FH16" s="116"/>
      <c r="FI16" s="16">
        <f t="shared" si="0"/>
        <v>0</v>
      </c>
      <c r="FJ16" s="90"/>
      <c r="FK16" s="90"/>
      <c r="FL16" s="90"/>
      <c r="FM16" s="116"/>
      <c r="FN16" s="16">
        <f t="shared" si="32"/>
        <v>0</v>
      </c>
      <c r="FO16" s="90"/>
      <c r="FP16" s="90"/>
      <c r="FQ16" s="90"/>
      <c r="FR16" s="116"/>
      <c r="FS16" s="16">
        <f t="shared" si="33"/>
        <v>0</v>
      </c>
      <c r="FT16" s="90"/>
      <c r="FU16" s="90"/>
      <c r="FV16" s="90"/>
      <c r="FW16" s="116"/>
      <c r="FX16" s="16">
        <f t="shared" si="34"/>
        <v>0</v>
      </c>
      <c r="FY16" s="90"/>
      <c r="FZ16" s="90"/>
      <c r="GA16" s="90"/>
      <c r="GB16" s="116"/>
      <c r="GC16" s="16">
        <f t="shared" si="35"/>
        <v>0</v>
      </c>
      <c r="GD16" s="90"/>
      <c r="GE16" s="90"/>
      <c r="GF16" s="90"/>
      <c r="GG16" s="116"/>
      <c r="GH16" s="16">
        <f t="shared" si="36"/>
        <v>0</v>
      </c>
      <c r="GI16" s="90"/>
      <c r="GJ16" s="90"/>
      <c r="GK16" s="90"/>
      <c r="GL16" s="116"/>
      <c r="GM16" s="16">
        <f t="shared" si="37"/>
        <v>0</v>
      </c>
      <c r="GN16" s="90"/>
      <c r="GO16" s="90"/>
      <c r="GP16" s="90"/>
      <c r="GQ16" s="116"/>
      <c r="GR16" s="16">
        <f t="shared" si="38"/>
        <v>0</v>
      </c>
      <c r="GS16" s="90"/>
      <c r="GT16" s="90"/>
      <c r="GU16" s="90"/>
      <c r="GV16" s="116"/>
      <c r="GW16" s="16">
        <f t="shared" si="39"/>
        <v>0</v>
      </c>
      <c r="GX16" s="90"/>
      <c r="GY16" s="90"/>
      <c r="GZ16" s="90"/>
      <c r="HA16" s="116"/>
      <c r="HB16" s="16">
        <f t="shared" si="40"/>
        <v>0</v>
      </c>
      <c r="HC16" s="90"/>
      <c r="HD16" s="90"/>
      <c r="HE16" s="90"/>
      <c r="HF16" s="116"/>
      <c r="HG16" s="16">
        <f t="shared" si="41"/>
        <v>0</v>
      </c>
      <c r="HH16" s="90"/>
      <c r="HI16" s="90"/>
      <c r="HJ16" s="90"/>
      <c r="HK16" s="116"/>
      <c r="HL16" s="16">
        <f t="shared" si="42"/>
        <v>0</v>
      </c>
      <c r="HM16" s="90"/>
      <c r="HN16" s="90"/>
      <c r="HO16" s="90"/>
      <c r="HP16" s="116"/>
      <c r="HQ16" s="16">
        <f t="shared" si="43"/>
        <v>0</v>
      </c>
      <c r="HR16" s="90"/>
      <c r="HS16" s="90"/>
      <c r="HT16" s="90"/>
      <c r="HU16" s="116"/>
      <c r="HV16" s="16">
        <f t="shared" si="44"/>
        <v>0</v>
      </c>
      <c r="HW16" s="90"/>
      <c r="HX16" s="90"/>
      <c r="HY16" s="90"/>
      <c r="HZ16" s="116"/>
      <c r="IA16" s="16">
        <f t="shared" si="45"/>
        <v>0</v>
      </c>
      <c r="IB16" s="90"/>
      <c r="IC16" s="90"/>
      <c r="ID16" s="90"/>
      <c r="IE16" s="116"/>
      <c r="IF16" s="16">
        <f t="shared" si="46"/>
        <v>0</v>
      </c>
      <c r="IG16" s="90"/>
      <c r="IH16" s="90"/>
      <c r="II16" s="90"/>
      <c r="IJ16" s="116"/>
      <c r="IK16" s="16">
        <f t="shared" si="47"/>
        <v>0</v>
      </c>
      <c r="IL16" s="90"/>
      <c r="IM16" s="90"/>
      <c r="IN16" s="90"/>
      <c r="IO16" s="116"/>
      <c r="IP16" s="16">
        <f t="shared" si="48"/>
        <v>0</v>
      </c>
    </row>
    <row r="17" spans="1:250" x14ac:dyDescent="0.25">
      <c r="A17" s="90"/>
      <c r="B17" s="90"/>
      <c r="C17" s="116"/>
      <c r="D17" s="116"/>
      <c r="E17" s="16">
        <f t="shared" si="1"/>
        <v>0</v>
      </c>
      <c r="F17" s="90"/>
      <c r="G17" s="90"/>
      <c r="H17" s="90"/>
      <c r="I17" s="116"/>
      <c r="J17" s="16">
        <f t="shared" si="2"/>
        <v>0</v>
      </c>
      <c r="K17" s="90"/>
      <c r="L17" s="90"/>
      <c r="M17" s="90">
        <v>250</v>
      </c>
      <c r="N17" s="116"/>
      <c r="O17" s="16">
        <f t="shared" si="3"/>
        <v>250</v>
      </c>
      <c r="P17" s="90"/>
      <c r="Q17" s="90"/>
      <c r="R17" s="90">
        <v>353</v>
      </c>
      <c r="S17" s="116"/>
      <c r="T17" s="16">
        <f t="shared" si="4"/>
        <v>353</v>
      </c>
      <c r="U17" s="90"/>
      <c r="V17" s="90"/>
      <c r="W17" s="90">
        <v>274</v>
      </c>
      <c r="X17" s="116"/>
      <c r="Y17" s="16">
        <f t="shared" si="5"/>
        <v>274</v>
      </c>
      <c r="Z17" s="90"/>
      <c r="AA17" s="90"/>
      <c r="AB17" s="90">
        <v>95</v>
      </c>
      <c r="AC17" s="116"/>
      <c r="AD17" s="16">
        <f t="shared" si="6"/>
        <v>95</v>
      </c>
      <c r="AE17" s="90"/>
      <c r="AF17" s="90"/>
      <c r="AG17" s="90"/>
      <c r="AH17" s="116">
        <v>50</v>
      </c>
      <c r="AI17" s="16">
        <f t="shared" si="7"/>
        <v>0</v>
      </c>
      <c r="AJ17" s="90"/>
      <c r="AK17" s="90"/>
      <c r="AL17" s="90">
        <v>202</v>
      </c>
      <c r="AM17" s="116"/>
      <c r="AN17" s="16">
        <f t="shared" si="8"/>
        <v>202</v>
      </c>
      <c r="AO17" s="90"/>
      <c r="AP17" s="90"/>
      <c r="AQ17" s="90"/>
      <c r="AR17" s="116"/>
      <c r="AS17" s="16">
        <f t="shared" si="9"/>
        <v>0</v>
      </c>
      <c r="AT17" s="90"/>
      <c r="AU17" s="90"/>
      <c r="AV17" s="90"/>
      <c r="AW17" s="116"/>
      <c r="AX17" s="16">
        <f t="shared" si="10"/>
        <v>0</v>
      </c>
      <c r="AY17" s="90"/>
      <c r="AZ17" s="90"/>
      <c r="BA17" s="90">
        <v>204</v>
      </c>
      <c r="BB17" s="116"/>
      <c r="BC17" s="16">
        <f t="shared" si="11"/>
        <v>204</v>
      </c>
      <c r="BD17" s="90"/>
      <c r="BE17" s="90"/>
      <c r="BF17" s="90"/>
      <c r="BG17" s="116"/>
      <c r="BH17" s="16">
        <f t="shared" si="12"/>
        <v>0</v>
      </c>
      <c r="BI17" s="90"/>
      <c r="BJ17" s="90"/>
      <c r="BK17" s="90">
        <v>142</v>
      </c>
      <c r="BL17" s="116"/>
      <c r="BM17" s="16">
        <f t="shared" si="13"/>
        <v>142</v>
      </c>
      <c r="BN17" s="90"/>
      <c r="BO17" s="90"/>
      <c r="BP17" s="90"/>
      <c r="BQ17" s="116">
        <v>50</v>
      </c>
      <c r="BR17" s="16">
        <f t="shared" si="14"/>
        <v>0</v>
      </c>
      <c r="BS17" s="90"/>
      <c r="BT17" s="90"/>
      <c r="BU17" s="90"/>
      <c r="BV17" s="116"/>
      <c r="BW17" s="16">
        <f t="shared" si="15"/>
        <v>0</v>
      </c>
      <c r="BX17" s="90"/>
      <c r="BY17" s="90"/>
      <c r="BZ17" s="90"/>
      <c r="CA17" s="116"/>
      <c r="CB17" s="16">
        <f t="shared" si="49"/>
        <v>0</v>
      </c>
      <c r="CC17" s="90"/>
      <c r="CD17" s="90"/>
      <c r="CE17" s="90">
        <v>236</v>
      </c>
      <c r="CF17" s="116"/>
      <c r="CG17" s="16">
        <f t="shared" si="16"/>
        <v>236</v>
      </c>
      <c r="CH17" s="90"/>
      <c r="CI17" s="90"/>
      <c r="CJ17" s="90"/>
      <c r="CK17" s="116"/>
      <c r="CL17" s="16">
        <f t="shared" si="17"/>
        <v>0</v>
      </c>
      <c r="CM17" s="90"/>
      <c r="CN17" s="90"/>
      <c r="CO17" s="90"/>
      <c r="CP17" s="116"/>
      <c r="CQ17" s="16">
        <f t="shared" si="18"/>
        <v>0</v>
      </c>
      <c r="CR17" s="90"/>
      <c r="CS17" s="90"/>
      <c r="CT17" s="90"/>
      <c r="CU17" s="116">
        <v>50</v>
      </c>
      <c r="CV17" s="16">
        <f t="shared" si="19"/>
        <v>0</v>
      </c>
      <c r="CW17" s="90"/>
      <c r="CX17" s="90"/>
      <c r="CY17" s="90">
        <v>246</v>
      </c>
      <c r="CZ17" s="116"/>
      <c r="DA17" s="16">
        <f t="shared" si="20"/>
        <v>246</v>
      </c>
      <c r="DB17" s="90"/>
      <c r="DC17" s="90"/>
      <c r="DD17" s="90"/>
      <c r="DE17" s="116"/>
      <c r="DF17" s="16">
        <f t="shared" si="21"/>
        <v>0</v>
      </c>
      <c r="DG17" s="90"/>
      <c r="DH17" s="90"/>
      <c r="DI17" s="90"/>
      <c r="DJ17" s="116"/>
      <c r="DK17" s="16">
        <f t="shared" si="22"/>
        <v>0</v>
      </c>
      <c r="DL17" s="90"/>
      <c r="DM17" s="90"/>
      <c r="DN17" s="90"/>
      <c r="DO17" s="116"/>
      <c r="DP17" s="16">
        <f t="shared" si="23"/>
        <v>0</v>
      </c>
      <c r="DQ17" s="90"/>
      <c r="DR17" s="90"/>
      <c r="DS17" s="90"/>
      <c r="DT17" s="116">
        <v>50</v>
      </c>
      <c r="DU17" s="16">
        <f t="shared" si="24"/>
        <v>0</v>
      </c>
      <c r="DV17" s="90"/>
      <c r="DW17" s="90"/>
      <c r="DX17" s="90"/>
      <c r="DY17" s="116"/>
      <c r="DZ17" s="16">
        <f t="shared" si="25"/>
        <v>0</v>
      </c>
      <c r="EA17" s="90"/>
      <c r="EB17" s="90"/>
      <c r="EC17" s="90"/>
      <c r="ED17" s="116"/>
      <c r="EE17" s="16">
        <f t="shared" si="26"/>
        <v>0</v>
      </c>
      <c r="EF17" s="90"/>
      <c r="EG17" s="90"/>
      <c r="EH17" s="90"/>
      <c r="EI17" s="116"/>
      <c r="EJ17" s="16">
        <f t="shared" si="27"/>
        <v>0</v>
      </c>
      <c r="EK17" s="90"/>
      <c r="EL17" s="90"/>
      <c r="EM17" s="90"/>
      <c r="EN17" s="116"/>
      <c r="EO17" s="16">
        <f t="shared" si="28"/>
        <v>0</v>
      </c>
      <c r="EP17" s="90"/>
      <c r="EQ17" s="90"/>
      <c r="ER17" s="90"/>
      <c r="ES17" s="116"/>
      <c r="ET17" s="16">
        <f t="shared" si="29"/>
        <v>0</v>
      </c>
      <c r="EU17" s="90"/>
      <c r="EV17" s="90"/>
      <c r="EW17" s="90"/>
      <c r="EX17" s="116"/>
      <c r="EY17" s="16">
        <f t="shared" si="30"/>
        <v>0</v>
      </c>
      <c r="EZ17" s="90"/>
      <c r="FA17" s="90"/>
      <c r="FB17" s="90"/>
      <c r="FC17" s="116"/>
      <c r="FD17" s="16">
        <f t="shared" si="31"/>
        <v>0</v>
      </c>
      <c r="FE17" s="90"/>
      <c r="FF17" s="90"/>
      <c r="FG17" s="90"/>
      <c r="FH17" s="116"/>
      <c r="FI17" s="16">
        <f t="shared" si="0"/>
        <v>0</v>
      </c>
      <c r="FJ17" s="90"/>
      <c r="FK17" s="90"/>
      <c r="FL17" s="90"/>
      <c r="FM17" s="116"/>
      <c r="FN17" s="16">
        <f t="shared" si="32"/>
        <v>0</v>
      </c>
      <c r="FO17" s="90"/>
      <c r="FP17" s="90"/>
      <c r="FQ17" s="90"/>
      <c r="FR17" s="116"/>
      <c r="FS17" s="16">
        <f t="shared" si="33"/>
        <v>0</v>
      </c>
      <c r="FT17" s="90"/>
      <c r="FU17" s="90"/>
      <c r="FV17" s="90"/>
      <c r="FW17" s="116"/>
      <c r="FX17" s="16">
        <f t="shared" si="34"/>
        <v>0</v>
      </c>
      <c r="FY17" s="90"/>
      <c r="FZ17" s="90"/>
      <c r="GA17" s="90"/>
      <c r="GB17" s="116"/>
      <c r="GC17" s="16">
        <f t="shared" si="35"/>
        <v>0</v>
      </c>
      <c r="GD17" s="90"/>
      <c r="GE17" s="90"/>
      <c r="GF17" s="90"/>
      <c r="GG17" s="116"/>
      <c r="GH17" s="16">
        <f t="shared" si="36"/>
        <v>0</v>
      </c>
      <c r="GI17" s="90"/>
      <c r="GJ17" s="90"/>
      <c r="GK17" s="90"/>
      <c r="GL17" s="116"/>
      <c r="GM17" s="16">
        <f t="shared" si="37"/>
        <v>0</v>
      </c>
      <c r="GN17" s="90"/>
      <c r="GO17" s="90"/>
      <c r="GP17" s="90"/>
      <c r="GQ17" s="116"/>
      <c r="GR17" s="16">
        <f t="shared" si="38"/>
        <v>0</v>
      </c>
      <c r="GS17" s="90"/>
      <c r="GT17" s="90"/>
      <c r="GU17" s="90"/>
      <c r="GV17" s="116"/>
      <c r="GW17" s="16">
        <f t="shared" si="39"/>
        <v>0</v>
      </c>
      <c r="GX17" s="90"/>
      <c r="GY17" s="90"/>
      <c r="GZ17" s="90"/>
      <c r="HA17" s="116"/>
      <c r="HB17" s="16">
        <f t="shared" si="40"/>
        <v>0</v>
      </c>
      <c r="HC17" s="90"/>
      <c r="HD17" s="90"/>
      <c r="HE17" s="90"/>
      <c r="HF17" s="116"/>
      <c r="HG17" s="16">
        <f t="shared" si="41"/>
        <v>0</v>
      </c>
      <c r="HH17" s="90"/>
      <c r="HI17" s="90"/>
      <c r="HJ17" s="90"/>
      <c r="HK17" s="116"/>
      <c r="HL17" s="16">
        <f t="shared" si="42"/>
        <v>0</v>
      </c>
      <c r="HM17" s="90"/>
      <c r="HN17" s="90"/>
      <c r="HO17" s="90"/>
      <c r="HP17" s="116"/>
      <c r="HQ17" s="16">
        <f t="shared" si="43"/>
        <v>0</v>
      </c>
      <c r="HR17" s="90"/>
      <c r="HS17" s="90"/>
      <c r="HT17" s="90"/>
      <c r="HU17" s="116"/>
      <c r="HV17" s="16">
        <f t="shared" si="44"/>
        <v>0</v>
      </c>
      <c r="HW17" s="90"/>
      <c r="HX17" s="90"/>
      <c r="HY17" s="90"/>
      <c r="HZ17" s="116"/>
      <c r="IA17" s="16">
        <f t="shared" si="45"/>
        <v>0</v>
      </c>
      <c r="IB17" s="90"/>
      <c r="IC17" s="90"/>
      <c r="ID17" s="90"/>
      <c r="IE17" s="116"/>
      <c r="IF17" s="16">
        <f t="shared" si="46"/>
        <v>0</v>
      </c>
      <c r="IG17" s="90"/>
      <c r="IH17" s="90"/>
      <c r="II17" s="90"/>
      <c r="IJ17" s="116"/>
      <c r="IK17" s="16">
        <f t="shared" si="47"/>
        <v>0</v>
      </c>
      <c r="IL17" s="90"/>
      <c r="IM17" s="90"/>
      <c r="IN17" s="90"/>
      <c r="IO17" s="116"/>
      <c r="IP17" s="16">
        <f t="shared" si="48"/>
        <v>0</v>
      </c>
    </row>
    <row r="18" spans="1:250" x14ac:dyDescent="0.25">
      <c r="A18" s="90"/>
      <c r="B18" s="90"/>
      <c r="C18" s="116"/>
      <c r="D18" s="116"/>
      <c r="E18" s="16">
        <f t="shared" si="1"/>
        <v>0</v>
      </c>
      <c r="F18" s="90"/>
      <c r="G18" s="90"/>
      <c r="H18" s="90"/>
      <c r="I18" s="116"/>
      <c r="J18" s="16">
        <f t="shared" si="2"/>
        <v>0</v>
      </c>
      <c r="K18" s="90"/>
      <c r="L18" s="90"/>
      <c r="M18" s="90"/>
      <c r="N18" s="116"/>
      <c r="O18" s="16">
        <f t="shared" si="3"/>
        <v>0</v>
      </c>
      <c r="P18" s="90"/>
      <c r="Q18" s="90"/>
      <c r="R18" s="90"/>
      <c r="S18" s="116">
        <v>50</v>
      </c>
      <c r="T18" s="16">
        <f t="shared" si="4"/>
        <v>0</v>
      </c>
      <c r="U18" s="90"/>
      <c r="V18" s="90"/>
      <c r="W18" s="90">
        <v>203</v>
      </c>
      <c r="X18" s="116"/>
      <c r="Y18" s="16">
        <f t="shared" si="5"/>
        <v>203</v>
      </c>
      <c r="Z18" s="90"/>
      <c r="AA18" s="90"/>
      <c r="AB18" s="90">
        <v>54</v>
      </c>
      <c r="AC18" s="116"/>
      <c r="AD18" s="16">
        <f t="shared" si="6"/>
        <v>54</v>
      </c>
      <c r="AE18" s="90"/>
      <c r="AF18" s="90"/>
      <c r="AG18" s="90">
        <v>294</v>
      </c>
      <c r="AH18" s="116"/>
      <c r="AI18" s="16">
        <f t="shared" si="7"/>
        <v>294</v>
      </c>
      <c r="AJ18" s="90"/>
      <c r="AK18" s="90"/>
      <c r="AL18" s="90">
        <v>215</v>
      </c>
      <c r="AM18" s="116"/>
      <c r="AN18" s="16">
        <f t="shared" si="8"/>
        <v>215</v>
      </c>
      <c r="AO18" s="90"/>
      <c r="AP18" s="90"/>
      <c r="AQ18" s="90"/>
      <c r="AR18" s="116"/>
      <c r="AS18" s="16">
        <f t="shared" si="9"/>
        <v>0</v>
      </c>
      <c r="AT18" s="90"/>
      <c r="AU18" s="90"/>
      <c r="AV18" s="90"/>
      <c r="AW18" s="116"/>
      <c r="AX18" s="16">
        <f t="shared" si="10"/>
        <v>0</v>
      </c>
      <c r="AY18" s="90"/>
      <c r="AZ18" s="90"/>
      <c r="BA18" s="90"/>
      <c r="BB18" s="116">
        <v>50</v>
      </c>
      <c r="BC18" s="16">
        <f t="shared" si="11"/>
        <v>0</v>
      </c>
      <c r="BD18" s="90"/>
      <c r="BE18" s="90"/>
      <c r="BF18" s="90"/>
      <c r="BG18" s="116"/>
      <c r="BH18" s="16">
        <f t="shared" si="12"/>
        <v>0</v>
      </c>
      <c r="BI18" s="90"/>
      <c r="BJ18" s="90"/>
      <c r="BK18" s="90"/>
      <c r="BL18" s="116">
        <v>50</v>
      </c>
      <c r="BM18" s="16">
        <f t="shared" si="13"/>
        <v>0</v>
      </c>
      <c r="BN18" s="90"/>
      <c r="BO18" s="90"/>
      <c r="BP18" s="90"/>
      <c r="BQ18" s="116"/>
      <c r="BR18" s="16">
        <f t="shared" si="14"/>
        <v>0</v>
      </c>
      <c r="BS18" s="90"/>
      <c r="BT18" s="90"/>
      <c r="BU18" s="90"/>
      <c r="BV18" s="116"/>
      <c r="BW18" s="16">
        <f t="shared" si="15"/>
        <v>0</v>
      </c>
      <c r="BX18" s="90"/>
      <c r="BY18" s="90"/>
      <c r="BZ18" s="90"/>
      <c r="CA18" s="116"/>
      <c r="CB18" s="16">
        <f t="shared" si="49"/>
        <v>0</v>
      </c>
      <c r="CC18" s="90"/>
      <c r="CD18" s="90"/>
      <c r="CE18" s="90">
        <v>234</v>
      </c>
      <c r="CF18" s="116"/>
      <c r="CG18" s="16">
        <f t="shared" si="16"/>
        <v>234</v>
      </c>
      <c r="CH18" s="90"/>
      <c r="CI18" s="90"/>
      <c r="CJ18" s="90"/>
      <c r="CK18" s="116"/>
      <c r="CL18" s="16">
        <f t="shared" si="17"/>
        <v>0</v>
      </c>
      <c r="CM18" s="90"/>
      <c r="CN18" s="90"/>
      <c r="CO18" s="90"/>
      <c r="CP18" s="116"/>
      <c r="CQ18" s="16">
        <f t="shared" si="18"/>
        <v>0</v>
      </c>
      <c r="CR18" s="90"/>
      <c r="CS18" s="90"/>
      <c r="CT18" s="90">
        <v>169</v>
      </c>
      <c r="CU18" s="116"/>
      <c r="CV18" s="16">
        <f t="shared" si="19"/>
        <v>169</v>
      </c>
      <c r="CW18" s="90"/>
      <c r="CX18" s="90"/>
      <c r="CY18" s="90"/>
      <c r="CZ18" s="116">
        <v>50</v>
      </c>
      <c r="DA18" s="16">
        <f t="shared" si="20"/>
        <v>0</v>
      </c>
      <c r="DB18" s="90"/>
      <c r="DC18" s="90"/>
      <c r="DD18" s="90"/>
      <c r="DE18" s="116"/>
      <c r="DF18" s="16">
        <f t="shared" si="21"/>
        <v>0</v>
      </c>
      <c r="DG18" s="90"/>
      <c r="DH18" s="90"/>
      <c r="DI18" s="90"/>
      <c r="DJ18" s="116"/>
      <c r="DK18" s="16">
        <f t="shared" si="22"/>
        <v>0</v>
      </c>
      <c r="DL18" s="90"/>
      <c r="DM18" s="90"/>
      <c r="DN18" s="90"/>
      <c r="DO18" s="116"/>
      <c r="DP18" s="16">
        <f t="shared" si="23"/>
        <v>0</v>
      </c>
      <c r="DQ18" s="90"/>
      <c r="DR18" s="90"/>
      <c r="DS18" s="90">
        <v>284</v>
      </c>
      <c r="DT18" s="116"/>
      <c r="DU18" s="16">
        <f t="shared" si="24"/>
        <v>284</v>
      </c>
      <c r="DV18" s="90"/>
      <c r="DW18" s="90"/>
      <c r="DX18" s="90"/>
      <c r="DY18" s="116"/>
      <c r="DZ18" s="16">
        <f t="shared" si="25"/>
        <v>0</v>
      </c>
      <c r="EA18" s="90"/>
      <c r="EB18" s="90"/>
      <c r="EC18" s="90"/>
      <c r="ED18" s="116"/>
      <c r="EE18" s="16">
        <f t="shared" si="26"/>
        <v>0</v>
      </c>
      <c r="EF18" s="90"/>
      <c r="EG18" s="90"/>
      <c r="EH18" s="90"/>
      <c r="EI18" s="116"/>
      <c r="EJ18" s="16">
        <f t="shared" si="27"/>
        <v>0</v>
      </c>
      <c r="EK18" s="90"/>
      <c r="EL18" s="90"/>
      <c r="EM18" s="90"/>
      <c r="EN18" s="116"/>
      <c r="EO18" s="16">
        <f t="shared" si="28"/>
        <v>0</v>
      </c>
      <c r="EP18" s="90"/>
      <c r="EQ18" s="90"/>
      <c r="ER18" s="90"/>
      <c r="ES18" s="116"/>
      <c r="ET18" s="16">
        <f t="shared" si="29"/>
        <v>0</v>
      </c>
      <c r="EU18" s="90"/>
      <c r="EV18" s="90"/>
      <c r="EW18" s="90"/>
      <c r="EX18" s="116"/>
      <c r="EY18" s="16">
        <f t="shared" si="30"/>
        <v>0</v>
      </c>
      <c r="EZ18" s="90"/>
      <c r="FA18" s="90"/>
      <c r="FB18" s="90"/>
      <c r="FC18" s="116"/>
      <c r="FD18" s="16">
        <f t="shared" si="31"/>
        <v>0</v>
      </c>
      <c r="FE18" s="90"/>
      <c r="FF18" s="90"/>
      <c r="FG18" s="90"/>
      <c r="FH18" s="116"/>
      <c r="FI18" s="16">
        <f t="shared" si="0"/>
        <v>0</v>
      </c>
      <c r="FJ18" s="90"/>
      <c r="FK18" s="90"/>
      <c r="FL18" s="90"/>
      <c r="FM18" s="116"/>
      <c r="FN18" s="16">
        <f t="shared" si="32"/>
        <v>0</v>
      </c>
      <c r="FO18" s="90"/>
      <c r="FP18" s="90"/>
      <c r="FQ18" s="90"/>
      <c r="FR18" s="116"/>
      <c r="FS18" s="16">
        <f t="shared" si="33"/>
        <v>0</v>
      </c>
      <c r="FT18" s="90"/>
      <c r="FU18" s="90"/>
      <c r="FV18" s="90"/>
      <c r="FW18" s="116"/>
      <c r="FX18" s="16">
        <f t="shared" si="34"/>
        <v>0</v>
      </c>
      <c r="FY18" s="90"/>
      <c r="FZ18" s="90"/>
      <c r="GA18" s="90"/>
      <c r="GB18" s="116"/>
      <c r="GC18" s="16">
        <f t="shared" si="35"/>
        <v>0</v>
      </c>
      <c r="GD18" s="90"/>
      <c r="GE18" s="90"/>
      <c r="GF18" s="90"/>
      <c r="GG18" s="116"/>
      <c r="GH18" s="16">
        <f t="shared" si="36"/>
        <v>0</v>
      </c>
      <c r="GI18" s="90"/>
      <c r="GJ18" s="90"/>
      <c r="GK18" s="90"/>
      <c r="GL18" s="116"/>
      <c r="GM18" s="16">
        <f t="shared" si="37"/>
        <v>0</v>
      </c>
      <c r="GN18" s="90"/>
      <c r="GO18" s="90"/>
      <c r="GP18" s="90"/>
      <c r="GQ18" s="116"/>
      <c r="GR18" s="16">
        <f t="shared" si="38"/>
        <v>0</v>
      </c>
      <c r="GS18" s="90"/>
      <c r="GT18" s="90"/>
      <c r="GU18" s="90"/>
      <c r="GV18" s="116"/>
      <c r="GW18" s="16">
        <f t="shared" si="39"/>
        <v>0</v>
      </c>
      <c r="GX18" s="90"/>
      <c r="GY18" s="90"/>
      <c r="GZ18" s="90"/>
      <c r="HA18" s="116"/>
      <c r="HB18" s="16">
        <f t="shared" si="40"/>
        <v>0</v>
      </c>
      <c r="HC18" s="90"/>
      <c r="HD18" s="90"/>
      <c r="HE18" s="90"/>
      <c r="HF18" s="116"/>
      <c r="HG18" s="16">
        <f t="shared" si="41"/>
        <v>0</v>
      </c>
      <c r="HH18" s="90"/>
      <c r="HI18" s="90"/>
      <c r="HJ18" s="90"/>
      <c r="HK18" s="116"/>
      <c r="HL18" s="16">
        <f t="shared" si="42"/>
        <v>0</v>
      </c>
      <c r="HM18" s="90"/>
      <c r="HN18" s="90"/>
      <c r="HO18" s="90"/>
      <c r="HP18" s="116"/>
      <c r="HQ18" s="16">
        <f t="shared" si="43"/>
        <v>0</v>
      </c>
      <c r="HR18" s="90"/>
      <c r="HS18" s="90"/>
      <c r="HT18" s="90"/>
      <c r="HU18" s="116"/>
      <c r="HV18" s="16">
        <f t="shared" si="44"/>
        <v>0</v>
      </c>
      <c r="HW18" s="90"/>
      <c r="HX18" s="90"/>
      <c r="HY18" s="90"/>
      <c r="HZ18" s="116"/>
      <c r="IA18" s="16">
        <f t="shared" si="45"/>
        <v>0</v>
      </c>
      <c r="IB18" s="90"/>
      <c r="IC18" s="90"/>
      <c r="ID18" s="90"/>
      <c r="IE18" s="116"/>
      <c r="IF18" s="16">
        <f t="shared" si="46"/>
        <v>0</v>
      </c>
      <c r="IG18" s="90"/>
      <c r="IH18" s="90"/>
      <c r="II18" s="90"/>
      <c r="IJ18" s="116"/>
      <c r="IK18" s="16">
        <f t="shared" si="47"/>
        <v>0</v>
      </c>
      <c r="IL18" s="90"/>
      <c r="IM18" s="90"/>
      <c r="IN18" s="90"/>
      <c r="IO18" s="116"/>
      <c r="IP18" s="16">
        <f t="shared" si="48"/>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v>260</v>
      </c>
      <c r="S19" s="116"/>
      <c r="T19" s="16">
        <f t="shared" si="4"/>
        <v>260</v>
      </c>
      <c r="U19" s="90"/>
      <c r="V19" s="90"/>
      <c r="W19" s="90">
        <v>677</v>
      </c>
      <c r="X19" s="116"/>
      <c r="Y19" s="16">
        <f t="shared" si="5"/>
        <v>677</v>
      </c>
      <c r="Z19" s="90"/>
      <c r="AA19" s="90"/>
      <c r="AB19" s="90">
        <v>220</v>
      </c>
      <c r="AC19" s="116"/>
      <c r="AD19" s="16">
        <f t="shared" si="6"/>
        <v>220</v>
      </c>
      <c r="AE19" s="90"/>
      <c r="AF19" s="90"/>
      <c r="AG19" s="90">
        <v>407</v>
      </c>
      <c r="AH19" s="116"/>
      <c r="AI19" s="16">
        <f t="shared" si="7"/>
        <v>407</v>
      </c>
      <c r="AJ19" s="90"/>
      <c r="AK19" s="90"/>
      <c r="AL19" s="90">
        <v>155</v>
      </c>
      <c r="AM19" s="116"/>
      <c r="AN19" s="16">
        <f t="shared" si="8"/>
        <v>155</v>
      </c>
      <c r="AO19" s="90"/>
      <c r="AP19" s="90"/>
      <c r="AQ19" s="90"/>
      <c r="AR19" s="116"/>
      <c r="AS19" s="16">
        <f t="shared" si="9"/>
        <v>0</v>
      </c>
      <c r="AT19" s="90"/>
      <c r="AU19" s="90"/>
      <c r="AV19" s="90"/>
      <c r="AW19" s="116"/>
      <c r="AX19" s="16">
        <f t="shared" si="10"/>
        <v>0</v>
      </c>
      <c r="AY19" s="90"/>
      <c r="AZ19" s="90"/>
      <c r="BA19" s="90">
        <v>191</v>
      </c>
      <c r="BB19" s="116"/>
      <c r="BC19" s="16">
        <f t="shared" si="11"/>
        <v>191</v>
      </c>
      <c r="BD19" s="90"/>
      <c r="BE19" s="90"/>
      <c r="BF19" s="90"/>
      <c r="BG19" s="116"/>
      <c r="BH19" s="16">
        <f t="shared" si="12"/>
        <v>0</v>
      </c>
      <c r="BI19" s="90"/>
      <c r="BJ19" s="90"/>
      <c r="BK19" s="90">
        <v>152</v>
      </c>
      <c r="BL19" s="116"/>
      <c r="BM19" s="16">
        <f t="shared" si="13"/>
        <v>152</v>
      </c>
      <c r="BN19" s="90"/>
      <c r="BO19" s="90"/>
      <c r="BP19" s="90"/>
      <c r="BQ19" s="116"/>
      <c r="BR19" s="16">
        <f t="shared" si="14"/>
        <v>0</v>
      </c>
      <c r="BS19" s="90"/>
      <c r="BT19" s="90"/>
      <c r="BU19" s="90"/>
      <c r="BV19" s="116"/>
      <c r="BW19" s="16">
        <f t="shared" si="15"/>
        <v>0</v>
      </c>
      <c r="BX19" s="90"/>
      <c r="BY19" s="90"/>
      <c r="BZ19" s="90"/>
      <c r="CA19" s="116"/>
      <c r="CB19" s="16">
        <f t="shared" si="49"/>
        <v>0</v>
      </c>
      <c r="CC19" s="90"/>
      <c r="CD19" s="90"/>
      <c r="CE19" s="90">
        <v>223</v>
      </c>
      <c r="CF19" s="116"/>
      <c r="CG19" s="16">
        <f t="shared" si="16"/>
        <v>223</v>
      </c>
      <c r="CH19" s="90"/>
      <c r="CI19" s="90"/>
      <c r="CJ19" s="90"/>
      <c r="CK19" s="116"/>
      <c r="CL19" s="16">
        <f t="shared" si="17"/>
        <v>0</v>
      </c>
      <c r="CM19" s="90"/>
      <c r="CN19" s="90"/>
      <c r="CO19" s="90"/>
      <c r="CP19" s="116"/>
      <c r="CQ19" s="16">
        <f t="shared" si="18"/>
        <v>0</v>
      </c>
      <c r="CR19" s="90"/>
      <c r="CS19" s="90"/>
      <c r="CT19" s="90">
        <v>182</v>
      </c>
      <c r="CU19" s="116"/>
      <c r="CV19" s="16">
        <f t="shared" si="19"/>
        <v>182</v>
      </c>
      <c r="CW19" s="90"/>
      <c r="CX19" s="90"/>
      <c r="CY19" s="90"/>
      <c r="CZ19" s="116"/>
      <c r="DA19" s="16">
        <f t="shared" si="20"/>
        <v>0</v>
      </c>
      <c r="DB19" s="90"/>
      <c r="DC19" s="90"/>
      <c r="DD19" s="90"/>
      <c r="DE19" s="116"/>
      <c r="DF19" s="16">
        <f t="shared" si="21"/>
        <v>0</v>
      </c>
      <c r="DG19" s="90"/>
      <c r="DH19" s="90"/>
      <c r="DI19" s="90"/>
      <c r="DJ19" s="116"/>
      <c r="DK19" s="16">
        <f t="shared" si="22"/>
        <v>0</v>
      </c>
      <c r="DL19" s="90"/>
      <c r="DM19" s="90"/>
      <c r="DN19" s="90"/>
      <c r="DO19" s="116"/>
      <c r="DP19" s="16">
        <f t="shared" si="23"/>
        <v>0</v>
      </c>
      <c r="DQ19" s="90"/>
      <c r="DR19" s="90"/>
      <c r="DS19" s="90">
        <v>267</v>
      </c>
      <c r="DT19" s="116"/>
      <c r="DU19" s="16">
        <f t="shared" si="24"/>
        <v>267</v>
      </c>
      <c r="DV19" s="90"/>
      <c r="DW19" s="90"/>
      <c r="DX19" s="90"/>
      <c r="DY19" s="116"/>
      <c r="DZ19" s="16">
        <f t="shared" si="25"/>
        <v>0</v>
      </c>
      <c r="EA19" s="90"/>
      <c r="EB19" s="90"/>
      <c r="EC19" s="90"/>
      <c r="ED19" s="116"/>
      <c r="EE19" s="16">
        <f t="shared" si="26"/>
        <v>0</v>
      </c>
      <c r="EF19" s="90"/>
      <c r="EG19" s="90"/>
      <c r="EH19" s="90"/>
      <c r="EI19" s="116"/>
      <c r="EJ19" s="16">
        <f t="shared" si="27"/>
        <v>0</v>
      </c>
      <c r="EK19" s="90"/>
      <c r="EL19" s="90"/>
      <c r="EM19" s="90"/>
      <c r="EN19" s="116"/>
      <c r="EO19" s="16">
        <f t="shared" si="28"/>
        <v>0</v>
      </c>
      <c r="EP19" s="90"/>
      <c r="EQ19" s="90"/>
      <c r="ER19" s="90"/>
      <c r="ES19" s="116"/>
      <c r="ET19" s="16">
        <f t="shared" si="29"/>
        <v>0</v>
      </c>
      <c r="EU19" s="90"/>
      <c r="EV19" s="90"/>
      <c r="EW19" s="90"/>
      <c r="EX19" s="116"/>
      <c r="EY19" s="16">
        <f t="shared" si="30"/>
        <v>0</v>
      </c>
      <c r="EZ19" s="90"/>
      <c r="FA19" s="90"/>
      <c r="FB19" s="90"/>
      <c r="FC19" s="116"/>
      <c r="FD19" s="16">
        <f t="shared" si="31"/>
        <v>0</v>
      </c>
      <c r="FE19" s="90"/>
      <c r="FF19" s="90"/>
      <c r="FG19" s="90"/>
      <c r="FH19" s="116"/>
      <c r="FI19" s="16">
        <f t="shared" si="0"/>
        <v>0</v>
      </c>
      <c r="FJ19" s="90"/>
      <c r="FK19" s="90"/>
      <c r="FL19" s="90"/>
      <c r="FM19" s="116"/>
      <c r="FN19" s="16">
        <f t="shared" si="32"/>
        <v>0</v>
      </c>
      <c r="FO19" s="90"/>
      <c r="FP19" s="90"/>
      <c r="FQ19" s="90"/>
      <c r="FR19" s="116"/>
      <c r="FS19" s="16">
        <f t="shared" si="33"/>
        <v>0</v>
      </c>
      <c r="FT19" s="90"/>
      <c r="FU19" s="90"/>
      <c r="FV19" s="90"/>
      <c r="FW19" s="116"/>
      <c r="FX19" s="16">
        <f t="shared" si="34"/>
        <v>0</v>
      </c>
      <c r="FY19" s="90"/>
      <c r="FZ19" s="90"/>
      <c r="GA19" s="90"/>
      <c r="GB19" s="116"/>
      <c r="GC19" s="16">
        <f t="shared" si="35"/>
        <v>0</v>
      </c>
      <c r="GD19" s="90"/>
      <c r="GE19" s="90"/>
      <c r="GF19" s="90"/>
      <c r="GG19" s="116"/>
      <c r="GH19" s="16">
        <f t="shared" si="36"/>
        <v>0</v>
      </c>
      <c r="GI19" s="90"/>
      <c r="GJ19" s="90"/>
      <c r="GK19" s="90"/>
      <c r="GL19" s="116"/>
      <c r="GM19" s="16">
        <f t="shared" si="37"/>
        <v>0</v>
      </c>
      <c r="GN19" s="90"/>
      <c r="GO19" s="90"/>
      <c r="GP19" s="90"/>
      <c r="GQ19" s="116"/>
      <c r="GR19" s="16">
        <f t="shared" si="38"/>
        <v>0</v>
      </c>
      <c r="GS19" s="90"/>
      <c r="GT19" s="90"/>
      <c r="GU19" s="90"/>
      <c r="GV19" s="116"/>
      <c r="GW19" s="16">
        <f t="shared" si="39"/>
        <v>0</v>
      </c>
      <c r="GX19" s="90"/>
      <c r="GY19" s="90"/>
      <c r="GZ19" s="90"/>
      <c r="HA19" s="116"/>
      <c r="HB19" s="16">
        <f t="shared" si="40"/>
        <v>0</v>
      </c>
      <c r="HC19" s="90"/>
      <c r="HD19" s="90"/>
      <c r="HE19" s="90"/>
      <c r="HF19" s="116"/>
      <c r="HG19" s="16">
        <f t="shared" si="41"/>
        <v>0</v>
      </c>
      <c r="HH19" s="90"/>
      <c r="HI19" s="90"/>
      <c r="HJ19" s="90"/>
      <c r="HK19" s="116"/>
      <c r="HL19" s="16">
        <f t="shared" si="42"/>
        <v>0</v>
      </c>
      <c r="HM19" s="90"/>
      <c r="HN19" s="90"/>
      <c r="HO19" s="90"/>
      <c r="HP19" s="116"/>
      <c r="HQ19" s="16">
        <f t="shared" si="43"/>
        <v>0</v>
      </c>
      <c r="HR19" s="90"/>
      <c r="HS19" s="90"/>
      <c r="HT19" s="90"/>
      <c r="HU19" s="116"/>
      <c r="HV19" s="16">
        <f t="shared" si="44"/>
        <v>0</v>
      </c>
      <c r="HW19" s="90"/>
      <c r="HX19" s="90"/>
      <c r="HY19" s="90"/>
      <c r="HZ19" s="116"/>
      <c r="IA19" s="16">
        <f t="shared" si="45"/>
        <v>0</v>
      </c>
      <c r="IB19" s="90"/>
      <c r="IC19" s="90"/>
      <c r="ID19" s="90"/>
      <c r="IE19" s="116"/>
      <c r="IF19" s="16">
        <f t="shared" si="46"/>
        <v>0</v>
      </c>
      <c r="IG19" s="90"/>
      <c r="IH19" s="90"/>
      <c r="II19" s="90"/>
      <c r="IJ19" s="116"/>
      <c r="IK19" s="16">
        <f t="shared" si="47"/>
        <v>0</v>
      </c>
      <c r="IL19" s="90"/>
      <c r="IM19" s="90"/>
      <c r="IN19" s="90"/>
      <c r="IO19" s="116"/>
      <c r="IP19" s="16">
        <f t="shared" si="48"/>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v>235</v>
      </c>
      <c r="S20" s="116"/>
      <c r="T20" s="16">
        <f t="shared" si="4"/>
        <v>235</v>
      </c>
      <c r="U20" s="90"/>
      <c r="V20" s="90"/>
      <c r="W20" s="90">
        <v>202</v>
      </c>
      <c r="X20" s="116"/>
      <c r="Y20" s="16">
        <f t="shared" si="5"/>
        <v>202</v>
      </c>
      <c r="Z20" s="90"/>
      <c r="AA20" s="90"/>
      <c r="AB20" s="90"/>
      <c r="AC20" s="116">
        <v>50</v>
      </c>
      <c r="AD20" s="16">
        <f t="shared" si="6"/>
        <v>0</v>
      </c>
      <c r="AE20" s="90"/>
      <c r="AF20" s="90"/>
      <c r="AG20" s="90"/>
      <c r="AH20" s="116">
        <v>50</v>
      </c>
      <c r="AI20" s="16">
        <f t="shared" si="7"/>
        <v>0</v>
      </c>
      <c r="AJ20" s="90"/>
      <c r="AK20" s="90"/>
      <c r="AL20" s="90"/>
      <c r="AM20" s="116">
        <v>50</v>
      </c>
      <c r="AN20" s="16">
        <f t="shared" si="8"/>
        <v>0</v>
      </c>
      <c r="AO20" s="90"/>
      <c r="AP20" s="90"/>
      <c r="AQ20" s="90"/>
      <c r="AR20" s="116"/>
      <c r="AS20" s="16">
        <f t="shared" si="9"/>
        <v>0</v>
      </c>
      <c r="AT20" s="90"/>
      <c r="AU20" s="90"/>
      <c r="AV20" s="90"/>
      <c r="AW20" s="116"/>
      <c r="AX20" s="16">
        <f t="shared" si="10"/>
        <v>0</v>
      </c>
      <c r="AY20" s="90"/>
      <c r="AZ20" s="90"/>
      <c r="BA20" s="90">
        <v>252</v>
      </c>
      <c r="BB20" s="116"/>
      <c r="BC20" s="16">
        <f t="shared" si="11"/>
        <v>252</v>
      </c>
      <c r="BD20" s="90"/>
      <c r="BE20" s="90"/>
      <c r="BF20" s="90"/>
      <c r="BG20" s="116"/>
      <c r="BH20" s="16">
        <f t="shared" si="12"/>
        <v>0</v>
      </c>
      <c r="BI20" s="90"/>
      <c r="BJ20" s="90"/>
      <c r="BK20" s="90">
        <v>315</v>
      </c>
      <c r="BL20" s="116"/>
      <c r="BM20" s="16">
        <f t="shared" si="13"/>
        <v>315</v>
      </c>
      <c r="BN20" s="90"/>
      <c r="BO20" s="90"/>
      <c r="BP20" s="90"/>
      <c r="BQ20" s="116"/>
      <c r="BR20" s="16">
        <f t="shared" si="14"/>
        <v>0</v>
      </c>
      <c r="BS20" s="90"/>
      <c r="BT20" s="90"/>
      <c r="BU20" s="90"/>
      <c r="BV20" s="116"/>
      <c r="BW20" s="16">
        <f t="shared" si="15"/>
        <v>0</v>
      </c>
      <c r="BX20" s="90"/>
      <c r="BY20" s="90"/>
      <c r="BZ20" s="90"/>
      <c r="CA20" s="116"/>
      <c r="CB20" s="16">
        <f t="shared" si="49"/>
        <v>0</v>
      </c>
      <c r="CC20" s="90"/>
      <c r="CD20" s="90"/>
      <c r="CE20" s="90"/>
      <c r="CF20" s="116">
        <v>50</v>
      </c>
      <c r="CG20" s="16">
        <f t="shared" si="16"/>
        <v>0</v>
      </c>
      <c r="CH20" s="90"/>
      <c r="CI20" s="90"/>
      <c r="CJ20" s="90"/>
      <c r="CK20" s="116"/>
      <c r="CL20" s="16">
        <f t="shared" si="17"/>
        <v>0</v>
      </c>
      <c r="CM20" s="90"/>
      <c r="CN20" s="90"/>
      <c r="CO20" s="90"/>
      <c r="CP20" s="116"/>
      <c r="CQ20" s="16">
        <f t="shared" si="18"/>
        <v>0</v>
      </c>
      <c r="CR20" s="90"/>
      <c r="CS20" s="90"/>
      <c r="CT20" s="90">
        <v>183</v>
      </c>
      <c r="CU20" s="116"/>
      <c r="CV20" s="16">
        <f t="shared" si="19"/>
        <v>183</v>
      </c>
      <c r="CW20" s="90"/>
      <c r="CX20" s="90"/>
      <c r="CY20" s="90"/>
      <c r="CZ20" s="116"/>
      <c r="DA20" s="16">
        <f t="shared" si="20"/>
        <v>0</v>
      </c>
      <c r="DB20" s="90"/>
      <c r="DC20" s="90"/>
      <c r="DD20" s="90"/>
      <c r="DE20" s="116"/>
      <c r="DF20" s="16">
        <f t="shared" si="21"/>
        <v>0</v>
      </c>
      <c r="DG20" s="90"/>
      <c r="DH20" s="90"/>
      <c r="DI20" s="90"/>
      <c r="DJ20" s="116"/>
      <c r="DK20" s="16">
        <f t="shared" si="22"/>
        <v>0</v>
      </c>
      <c r="DL20" s="90"/>
      <c r="DM20" s="90"/>
      <c r="DN20" s="90"/>
      <c r="DO20" s="116"/>
      <c r="DP20" s="16">
        <f t="shared" si="23"/>
        <v>0</v>
      </c>
      <c r="DQ20" s="90"/>
      <c r="DR20" s="90"/>
      <c r="DS20" s="90">
        <v>191</v>
      </c>
      <c r="DT20" s="116"/>
      <c r="DU20" s="16">
        <f t="shared" si="24"/>
        <v>191</v>
      </c>
      <c r="DV20" s="90"/>
      <c r="DW20" s="90"/>
      <c r="DX20" s="90"/>
      <c r="DY20" s="116"/>
      <c r="DZ20" s="16">
        <f t="shared" si="25"/>
        <v>0</v>
      </c>
      <c r="EA20" s="90"/>
      <c r="EB20" s="90"/>
      <c r="EC20" s="90"/>
      <c r="ED20" s="116"/>
      <c r="EE20" s="16">
        <f t="shared" si="26"/>
        <v>0</v>
      </c>
      <c r="EF20" s="90"/>
      <c r="EG20" s="90"/>
      <c r="EH20" s="90"/>
      <c r="EI20" s="116"/>
      <c r="EJ20" s="16">
        <f t="shared" si="27"/>
        <v>0</v>
      </c>
      <c r="EK20" s="90"/>
      <c r="EL20" s="90"/>
      <c r="EM20" s="90"/>
      <c r="EN20" s="116"/>
      <c r="EO20" s="16">
        <f t="shared" si="28"/>
        <v>0</v>
      </c>
      <c r="EP20" s="90"/>
      <c r="EQ20" s="90"/>
      <c r="ER20" s="90"/>
      <c r="ES20" s="116"/>
      <c r="ET20" s="16">
        <f t="shared" si="29"/>
        <v>0</v>
      </c>
      <c r="EU20" s="90"/>
      <c r="EV20" s="90"/>
      <c r="EW20" s="90"/>
      <c r="EX20" s="116"/>
      <c r="EY20" s="16">
        <f t="shared" si="30"/>
        <v>0</v>
      </c>
      <c r="EZ20" s="90"/>
      <c r="FA20" s="90"/>
      <c r="FB20" s="90"/>
      <c r="FC20" s="116"/>
      <c r="FD20" s="16">
        <f t="shared" si="31"/>
        <v>0</v>
      </c>
      <c r="FE20" s="90"/>
      <c r="FF20" s="90"/>
      <c r="FG20" s="90"/>
      <c r="FH20" s="116"/>
      <c r="FI20" s="16">
        <f t="shared" si="0"/>
        <v>0</v>
      </c>
      <c r="FJ20" s="90"/>
      <c r="FK20" s="90"/>
      <c r="FL20" s="90"/>
      <c r="FM20" s="116"/>
      <c r="FN20" s="16">
        <f t="shared" si="32"/>
        <v>0</v>
      </c>
      <c r="FO20" s="90"/>
      <c r="FP20" s="90"/>
      <c r="FQ20" s="90"/>
      <c r="FR20" s="116"/>
      <c r="FS20" s="16">
        <f t="shared" si="33"/>
        <v>0</v>
      </c>
      <c r="FT20" s="90"/>
      <c r="FU20" s="90"/>
      <c r="FV20" s="90"/>
      <c r="FW20" s="116"/>
      <c r="FX20" s="16">
        <f t="shared" si="34"/>
        <v>0</v>
      </c>
      <c r="FY20" s="90"/>
      <c r="FZ20" s="90"/>
      <c r="GA20" s="90"/>
      <c r="GB20" s="116"/>
      <c r="GC20" s="16">
        <f t="shared" si="35"/>
        <v>0</v>
      </c>
      <c r="GD20" s="90"/>
      <c r="GE20" s="90"/>
      <c r="GF20" s="90"/>
      <c r="GG20" s="116"/>
      <c r="GH20" s="16">
        <f t="shared" si="36"/>
        <v>0</v>
      </c>
      <c r="GI20" s="90"/>
      <c r="GJ20" s="90"/>
      <c r="GK20" s="90"/>
      <c r="GL20" s="116"/>
      <c r="GM20" s="16">
        <f t="shared" si="37"/>
        <v>0</v>
      </c>
      <c r="GN20" s="90"/>
      <c r="GO20" s="90"/>
      <c r="GP20" s="90"/>
      <c r="GQ20" s="116"/>
      <c r="GR20" s="16">
        <f t="shared" si="38"/>
        <v>0</v>
      </c>
      <c r="GS20" s="90"/>
      <c r="GT20" s="90"/>
      <c r="GU20" s="90"/>
      <c r="GV20" s="116"/>
      <c r="GW20" s="16">
        <f t="shared" si="39"/>
        <v>0</v>
      </c>
      <c r="GX20" s="90"/>
      <c r="GY20" s="90"/>
      <c r="GZ20" s="90"/>
      <c r="HA20" s="116"/>
      <c r="HB20" s="16">
        <f t="shared" si="40"/>
        <v>0</v>
      </c>
      <c r="HC20" s="90"/>
      <c r="HD20" s="90"/>
      <c r="HE20" s="90"/>
      <c r="HF20" s="116"/>
      <c r="HG20" s="16">
        <f t="shared" si="41"/>
        <v>0</v>
      </c>
      <c r="HH20" s="90"/>
      <c r="HI20" s="90"/>
      <c r="HJ20" s="90"/>
      <c r="HK20" s="116"/>
      <c r="HL20" s="16">
        <f t="shared" si="42"/>
        <v>0</v>
      </c>
      <c r="HM20" s="90"/>
      <c r="HN20" s="90"/>
      <c r="HO20" s="90"/>
      <c r="HP20" s="116"/>
      <c r="HQ20" s="16">
        <f t="shared" si="43"/>
        <v>0</v>
      </c>
      <c r="HR20" s="90"/>
      <c r="HS20" s="90"/>
      <c r="HT20" s="90"/>
      <c r="HU20" s="116"/>
      <c r="HV20" s="16">
        <f t="shared" si="44"/>
        <v>0</v>
      </c>
      <c r="HW20" s="90"/>
      <c r="HX20" s="90"/>
      <c r="HY20" s="90"/>
      <c r="HZ20" s="116"/>
      <c r="IA20" s="16">
        <f t="shared" si="45"/>
        <v>0</v>
      </c>
      <c r="IB20" s="90"/>
      <c r="IC20" s="90"/>
      <c r="ID20" s="90"/>
      <c r="IE20" s="116"/>
      <c r="IF20" s="16">
        <f t="shared" si="46"/>
        <v>0</v>
      </c>
      <c r="IG20" s="90"/>
      <c r="IH20" s="90"/>
      <c r="II20" s="90"/>
      <c r="IJ20" s="116"/>
      <c r="IK20" s="16">
        <f t="shared" si="47"/>
        <v>0</v>
      </c>
      <c r="IL20" s="90"/>
      <c r="IM20" s="90"/>
      <c r="IN20" s="90"/>
      <c r="IO20" s="116"/>
      <c r="IP20" s="16">
        <f t="shared" si="48"/>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v>262</v>
      </c>
      <c r="S21" s="116"/>
      <c r="T21" s="16">
        <f t="shared" si="4"/>
        <v>262</v>
      </c>
      <c r="U21" s="90"/>
      <c r="V21" s="90"/>
      <c r="W21" s="90"/>
      <c r="X21" s="116">
        <v>50</v>
      </c>
      <c r="Y21" s="16">
        <f t="shared" si="5"/>
        <v>0</v>
      </c>
      <c r="Z21" s="90"/>
      <c r="AA21" s="90"/>
      <c r="AB21" s="90">
        <v>125</v>
      </c>
      <c r="AC21" s="116"/>
      <c r="AD21" s="16">
        <f t="shared" si="6"/>
        <v>125</v>
      </c>
      <c r="AE21" s="90"/>
      <c r="AF21" s="90"/>
      <c r="AG21" s="90">
        <v>400</v>
      </c>
      <c r="AH21" s="116"/>
      <c r="AI21" s="16">
        <f t="shared" si="7"/>
        <v>400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v>153</v>
      </c>
      <c r="BB21" s="116"/>
      <c r="BC21" s="16">
        <f t="shared" si="11"/>
        <v>153</v>
      </c>
      <c r="BD21" s="90"/>
      <c r="BE21" s="90"/>
      <c r="BF21" s="90"/>
      <c r="BG21" s="116"/>
      <c r="BH21" s="16">
        <f t="shared" si="12"/>
        <v>0</v>
      </c>
      <c r="BI21" s="90"/>
      <c r="BJ21" s="90"/>
      <c r="BK21" s="90">
        <v>260</v>
      </c>
      <c r="BL21" s="116"/>
      <c r="BM21" s="16">
        <f t="shared" si="13"/>
        <v>260</v>
      </c>
      <c r="BN21" s="90"/>
      <c r="BO21" s="90"/>
      <c r="BP21" s="90"/>
      <c r="BQ21" s="116"/>
      <c r="BR21" s="16">
        <f t="shared" si="14"/>
        <v>0</v>
      </c>
      <c r="BS21" s="90"/>
      <c r="BT21" s="90"/>
      <c r="BU21" s="90"/>
      <c r="BV21" s="116"/>
      <c r="BW21" s="16">
        <f t="shared" si="15"/>
        <v>0</v>
      </c>
      <c r="BX21" s="90"/>
      <c r="BY21" s="90"/>
      <c r="BZ21" s="90"/>
      <c r="CA21" s="116"/>
      <c r="CB21" s="16">
        <f t="shared" si="49"/>
        <v>0</v>
      </c>
      <c r="CC21" s="90"/>
      <c r="CD21" s="90"/>
      <c r="CE21" s="90"/>
      <c r="CF21" s="116"/>
      <c r="CG21" s="16">
        <f t="shared" si="16"/>
        <v>0</v>
      </c>
      <c r="CH21" s="90"/>
      <c r="CI21" s="90"/>
      <c r="CJ21" s="90"/>
      <c r="CK21" s="116"/>
      <c r="CL21" s="16">
        <f t="shared" si="17"/>
        <v>0</v>
      </c>
      <c r="CM21" s="90"/>
      <c r="CN21" s="90"/>
      <c r="CO21" s="90"/>
      <c r="CP21" s="116"/>
      <c r="CQ21" s="16">
        <f t="shared" si="18"/>
        <v>0</v>
      </c>
      <c r="CR21" s="90"/>
      <c r="CS21" s="90"/>
      <c r="CT21" s="90">
        <v>295</v>
      </c>
      <c r="CU21" s="116"/>
      <c r="CV21" s="16">
        <f t="shared" si="19"/>
        <v>295</v>
      </c>
      <c r="CW21" s="90"/>
      <c r="CX21" s="90"/>
      <c r="CY21" s="90"/>
      <c r="CZ21" s="116"/>
      <c r="DA21" s="16">
        <f t="shared" si="20"/>
        <v>0</v>
      </c>
      <c r="DB21" s="90"/>
      <c r="DC21" s="90"/>
      <c r="DD21" s="90"/>
      <c r="DE21" s="116"/>
      <c r="DF21" s="16">
        <f t="shared" si="21"/>
        <v>0</v>
      </c>
      <c r="DG21" s="90"/>
      <c r="DH21" s="90"/>
      <c r="DI21" s="90"/>
      <c r="DJ21" s="116"/>
      <c r="DK21" s="16">
        <f t="shared" si="22"/>
        <v>0</v>
      </c>
      <c r="DL21" s="90"/>
      <c r="DM21" s="90"/>
      <c r="DN21" s="90"/>
      <c r="DO21" s="116"/>
      <c r="DP21" s="16">
        <f t="shared" si="23"/>
        <v>0</v>
      </c>
      <c r="DQ21" s="90"/>
      <c r="DR21" s="90"/>
      <c r="DS21" s="90"/>
      <c r="DT21" s="116">
        <v>50</v>
      </c>
      <c r="DU21" s="16">
        <f t="shared" si="24"/>
        <v>0</v>
      </c>
      <c r="DV21" s="90"/>
      <c r="DW21" s="90"/>
      <c r="DX21" s="90"/>
      <c r="DY21" s="116"/>
      <c r="DZ21" s="16">
        <f t="shared" si="25"/>
        <v>0</v>
      </c>
      <c r="EA21" s="90"/>
      <c r="EB21" s="90"/>
      <c r="EC21" s="90"/>
      <c r="ED21" s="116"/>
      <c r="EE21" s="16">
        <f t="shared" si="26"/>
        <v>0</v>
      </c>
      <c r="EF21" s="90"/>
      <c r="EG21" s="90"/>
      <c r="EH21" s="90"/>
      <c r="EI21" s="116"/>
      <c r="EJ21" s="16">
        <f t="shared" si="27"/>
        <v>0</v>
      </c>
      <c r="EK21" s="90"/>
      <c r="EL21" s="90"/>
      <c r="EM21" s="90"/>
      <c r="EN21" s="116"/>
      <c r="EO21" s="16">
        <f t="shared" si="28"/>
        <v>0</v>
      </c>
      <c r="EP21" s="90"/>
      <c r="EQ21" s="90"/>
      <c r="ER21" s="90"/>
      <c r="ES21" s="116"/>
      <c r="ET21" s="16">
        <f t="shared" si="29"/>
        <v>0</v>
      </c>
      <c r="EU21" s="90"/>
      <c r="EV21" s="90"/>
      <c r="EW21" s="90"/>
      <c r="EX21" s="116"/>
      <c r="EY21" s="16">
        <f t="shared" si="30"/>
        <v>0</v>
      </c>
      <c r="EZ21" s="90"/>
      <c r="FA21" s="90"/>
      <c r="FB21" s="90"/>
      <c r="FC21" s="116"/>
      <c r="FD21" s="16">
        <f t="shared" si="31"/>
        <v>0</v>
      </c>
      <c r="FE21" s="90"/>
      <c r="FF21" s="90"/>
      <c r="FG21" s="90"/>
      <c r="FH21" s="116"/>
      <c r="FI21" s="16">
        <f t="shared" si="0"/>
        <v>0</v>
      </c>
      <c r="FJ21" s="90"/>
      <c r="FK21" s="90"/>
      <c r="FL21" s="90"/>
      <c r="FM21" s="116"/>
      <c r="FN21" s="16">
        <f t="shared" si="32"/>
        <v>0</v>
      </c>
      <c r="FO21" s="90"/>
      <c r="FP21" s="90"/>
      <c r="FQ21" s="90"/>
      <c r="FR21" s="116"/>
      <c r="FS21" s="16">
        <f t="shared" si="33"/>
        <v>0</v>
      </c>
      <c r="FT21" s="90"/>
      <c r="FU21" s="90"/>
      <c r="FV21" s="90"/>
      <c r="FW21" s="116"/>
      <c r="FX21" s="16">
        <f t="shared" si="34"/>
        <v>0</v>
      </c>
      <c r="FY21" s="90"/>
      <c r="FZ21" s="90"/>
      <c r="GA21" s="90"/>
      <c r="GB21" s="116"/>
      <c r="GC21" s="16">
        <f t="shared" si="35"/>
        <v>0</v>
      </c>
      <c r="GD21" s="90"/>
      <c r="GE21" s="90"/>
      <c r="GF21" s="90"/>
      <c r="GG21" s="116"/>
      <c r="GH21" s="16">
        <f t="shared" si="36"/>
        <v>0</v>
      </c>
      <c r="GI21" s="90"/>
      <c r="GJ21" s="90"/>
      <c r="GK21" s="90"/>
      <c r="GL21" s="116"/>
      <c r="GM21" s="16">
        <f t="shared" si="37"/>
        <v>0</v>
      </c>
      <c r="GN21" s="90"/>
      <c r="GO21" s="90"/>
      <c r="GP21" s="90"/>
      <c r="GQ21" s="116"/>
      <c r="GR21" s="16">
        <f t="shared" si="38"/>
        <v>0</v>
      </c>
      <c r="GS21" s="90"/>
      <c r="GT21" s="90"/>
      <c r="GU21" s="90"/>
      <c r="GV21" s="116"/>
      <c r="GW21" s="16">
        <f t="shared" si="39"/>
        <v>0</v>
      </c>
      <c r="GX21" s="90"/>
      <c r="GY21" s="90"/>
      <c r="GZ21" s="90"/>
      <c r="HA21" s="116"/>
      <c r="HB21" s="16">
        <f t="shared" si="40"/>
        <v>0</v>
      </c>
      <c r="HC21" s="90"/>
      <c r="HD21" s="90"/>
      <c r="HE21" s="90"/>
      <c r="HF21" s="116"/>
      <c r="HG21" s="16">
        <f t="shared" si="41"/>
        <v>0</v>
      </c>
      <c r="HH21" s="90"/>
      <c r="HI21" s="90"/>
      <c r="HJ21" s="90"/>
      <c r="HK21" s="116"/>
      <c r="HL21" s="16">
        <f t="shared" si="42"/>
        <v>0</v>
      </c>
      <c r="HM21" s="90"/>
      <c r="HN21" s="90"/>
      <c r="HO21" s="90"/>
      <c r="HP21" s="116"/>
      <c r="HQ21" s="16">
        <f t="shared" si="43"/>
        <v>0</v>
      </c>
      <c r="HR21" s="90"/>
      <c r="HS21" s="90"/>
      <c r="HT21" s="90"/>
      <c r="HU21" s="116"/>
      <c r="HV21" s="16">
        <f t="shared" si="44"/>
        <v>0</v>
      </c>
      <c r="HW21" s="90"/>
      <c r="HX21" s="90"/>
      <c r="HY21" s="90"/>
      <c r="HZ21" s="116"/>
      <c r="IA21" s="16">
        <f t="shared" si="45"/>
        <v>0</v>
      </c>
      <c r="IB21" s="90"/>
      <c r="IC21" s="90"/>
      <c r="ID21" s="90"/>
      <c r="IE21" s="116"/>
      <c r="IF21" s="16">
        <f t="shared" si="46"/>
        <v>0</v>
      </c>
      <c r="IG21" s="90"/>
      <c r="IH21" s="90"/>
      <c r="II21" s="90"/>
      <c r="IJ21" s="116"/>
      <c r="IK21" s="16">
        <f t="shared" si="47"/>
        <v>0</v>
      </c>
      <c r="IL21" s="90"/>
      <c r="IM21" s="90"/>
      <c r="IN21" s="90"/>
      <c r="IO21" s="116"/>
      <c r="IP21" s="16">
        <f t="shared" si="48"/>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v>50</v>
      </c>
      <c r="T22" s="16">
        <f t="shared" si="4"/>
        <v>0</v>
      </c>
      <c r="U22" s="90"/>
      <c r="V22" s="90"/>
      <c r="W22" s="90"/>
      <c r="X22" s="116"/>
      <c r="Y22" s="16">
        <f t="shared" si="5"/>
        <v>0</v>
      </c>
      <c r="Z22" s="90"/>
      <c r="AA22" s="90"/>
      <c r="AB22" s="90">
        <v>126</v>
      </c>
      <c r="AC22" s="116"/>
      <c r="AD22" s="16">
        <f t="shared" si="6"/>
        <v>126</v>
      </c>
      <c r="AE22" s="90"/>
      <c r="AF22" s="90"/>
      <c r="AG22" s="90">
        <v>242</v>
      </c>
      <c r="AH22" s="116"/>
      <c r="AI22" s="16">
        <f t="shared" si="7"/>
        <v>242</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v>116</v>
      </c>
      <c r="BB22" s="116">
        <v>50</v>
      </c>
      <c r="BC22" s="16">
        <f t="shared" si="11"/>
        <v>116</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49"/>
        <v>0</v>
      </c>
      <c r="CC22" s="90"/>
      <c r="CD22" s="90"/>
      <c r="CE22" s="90"/>
      <c r="CF22" s="116"/>
      <c r="CG22" s="16">
        <f t="shared" si="16"/>
        <v>0</v>
      </c>
      <c r="CH22" s="90"/>
      <c r="CI22" s="90"/>
      <c r="CJ22" s="90"/>
      <c r="CK22" s="116"/>
      <c r="CL22" s="16">
        <f t="shared" si="17"/>
        <v>0</v>
      </c>
      <c r="CM22" s="90"/>
      <c r="CN22" s="90"/>
      <c r="CO22" s="90"/>
      <c r="CP22" s="116"/>
      <c r="CQ22" s="16">
        <f t="shared" si="18"/>
        <v>0</v>
      </c>
      <c r="CR22" s="90"/>
      <c r="CS22" s="90"/>
      <c r="CT22" s="90"/>
      <c r="CU22" s="116"/>
      <c r="CV22" s="16">
        <f t="shared" si="19"/>
        <v>0</v>
      </c>
      <c r="CW22" s="90"/>
      <c r="CX22" s="90"/>
      <c r="CY22" s="90"/>
      <c r="CZ22" s="116"/>
      <c r="DA22" s="16">
        <f t="shared" si="20"/>
        <v>0</v>
      </c>
      <c r="DB22" s="90"/>
      <c r="DC22" s="90"/>
      <c r="DD22" s="90"/>
      <c r="DE22" s="116"/>
      <c r="DF22" s="16">
        <f t="shared" si="21"/>
        <v>0</v>
      </c>
      <c r="DG22" s="90"/>
      <c r="DH22" s="90"/>
      <c r="DI22" s="90"/>
      <c r="DJ22" s="116"/>
      <c r="DK22" s="16">
        <f t="shared" si="22"/>
        <v>0</v>
      </c>
      <c r="DL22" s="90"/>
      <c r="DM22" s="90"/>
      <c r="DN22" s="90"/>
      <c r="DO22" s="116"/>
      <c r="DP22" s="16">
        <f t="shared" si="23"/>
        <v>0</v>
      </c>
      <c r="DQ22" s="90"/>
      <c r="DR22" s="90"/>
      <c r="DS22" s="90"/>
      <c r="DT22" s="116"/>
      <c r="DU22" s="16">
        <f t="shared" si="24"/>
        <v>0</v>
      </c>
      <c r="DV22" s="90"/>
      <c r="DW22" s="90"/>
      <c r="DX22" s="90"/>
      <c r="DY22" s="116"/>
      <c r="DZ22" s="16">
        <f t="shared" si="25"/>
        <v>0</v>
      </c>
      <c r="EA22" s="90"/>
      <c r="EB22" s="90"/>
      <c r="EC22" s="90"/>
      <c r="ED22" s="116"/>
      <c r="EE22" s="16">
        <f t="shared" si="26"/>
        <v>0</v>
      </c>
      <c r="EF22" s="90"/>
      <c r="EG22" s="90"/>
      <c r="EH22" s="90"/>
      <c r="EI22" s="116"/>
      <c r="EJ22" s="16">
        <f t="shared" si="27"/>
        <v>0</v>
      </c>
      <c r="EK22" s="90"/>
      <c r="EL22" s="90"/>
      <c r="EM22" s="90"/>
      <c r="EN22" s="116"/>
      <c r="EO22" s="16">
        <f t="shared" si="28"/>
        <v>0</v>
      </c>
      <c r="EP22" s="90"/>
      <c r="EQ22" s="90"/>
      <c r="ER22" s="90"/>
      <c r="ES22" s="116"/>
      <c r="ET22" s="16">
        <f t="shared" si="29"/>
        <v>0</v>
      </c>
      <c r="EU22" s="90"/>
      <c r="EV22" s="90"/>
      <c r="EW22" s="90"/>
      <c r="EX22" s="116"/>
      <c r="EY22" s="16">
        <f t="shared" si="30"/>
        <v>0</v>
      </c>
      <c r="EZ22" s="90"/>
      <c r="FA22" s="90"/>
      <c r="FB22" s="90"/>
      <c r="FC22" s="116"/>
      <c r="FD22" s="16">
        <f t="shared" si="31"/>
        <v>0</v>
      </c>
      <c r="FE22" s="90"/>
      <c r="FF22" s="90"/>
      <c r="FG22" s="90"/>
      <c r="FH22" s="116"/>
      <c r="FI22" s="16">
        <f t="shared" si="0"/>
        <v>0</v>
      </c>
      <c r="FJ22" s="90"/>
      <c r="FK22" s="90"/>
      <c r="FL22" s="90"/>
      <c r="FM22" s="116"/>
      <c r="FN22" s="16">
        <f t="shared" si="32"/>
        <v>0</v>
      </c>
      <c r="FO22" s="90"/>
      <c r="FP22" s="90"/>
      <c r="FQ22" s="90"/>
      <c r="FR22" s="116"/>
      <c r="FS22" s="16">
        <f t="shared" si="33"/>
        <v>0</v>
      </c>
      <c r="FT22" s="90"/>
      <c r="FU22" s="90"/>
      <c r="FV22" s="90"/>
      <c r="FW22" s="116"/>
      <c r="FX22" s="16">
        <f t="shared" si="34"/>
        <v>0</v>
      </c>
      <c r="FY22" s="90"/>
      <c r="FZ22" s="90"/>
      <c r="GA22" s="90"/>
      <c r="GB22" s="116"/>
      <c r="GC22" s="16">
        <f t="shared" si="35"/>
        <v>0</v>
      </c>
      <c r="GD22" s="90"/>
      <c r="GE22" s="90"/>
      <c r="GF22" s="90"/>
      <c r="GG22" s="116"/>
      <c r="GH22" s="16">
        <f t="shared" si="36"/>
        <v>0</v>
      </c>
      <c r="GI22" s="90"/>
      <c r="GJ22" s="90"/>
      <c r="GK22" s="90"/>
      <c r="GL22" s="116"/>
      <c r="GM22" s="16">
        <f t="shared" si="37"/>
        <v>0</v>
      </c>
      <c r="GN22" s="90"/>
      <c r="GO22" s="90"/>
      <c r="GP22" s="90"/>
      <c r="GQ22" s="116"/>
      <c r="GR22" s="16">
        <f t="shared" si="38"/>
        <v>0</v>
      </c>
      <c r="GS22" s="90"/>
      <c r="GT22" s="90"/>
      <c r="GU22" s="90"/>
      <c r="GV22" s="116"/>
      <c r="GW22" s="16">
        <f t="shared" si="39"/>
        <v>0</v>
      </c>
      <c r="GX22" s="90"/>
      <c r="GY22" s="90"/>
      <c r="GZ22" s="90"/>
      <c r="HA22" s="116"/>
      <c r="HB22" s="16">
        <f t="shared" si="40"/>
        <v>0</v>
      </c>
      <c r="HC22" s="90"/>
      <c r="HD22" s="90"/>
      <c r="HE22" s="90"/>
      <c r="HF22" s="116"/>
      <c r="HG22" s="16">
        <f t="shared" si="41"/>
        <v>0</v>
      </c>
      <c r="HH22" s="90"/>
      <c r="HI22" s="90"/>
      <c r="HJ22" s="90"/>
      <c r="HK22" s="116"/>
      <c r="HL22" s="16">
        <f t="shared" si="42"/>
        <v>0</v>
      </c>
      <c r="HM22" s="90"/>
      <c r="HN22" s="90"/>
      <c r="HO22" s="90"/>
      <c r="HP22" s="116"/>
      <c r="HQ22" s="16">
        <f t="shared" si="43"/>
        <v>0</v>
      </c>
      <c r="HR22" s="90"/>
      <c r="HS22" s="90"/>
      <c r="HT22" s="90"/>
      <c r="HU22" s="116"/>
      <c r="HV22" s="16">
        <f t="shared" si="44"/>
        <v>0</v>
      </c>
      <c r="HW22" s="90"/>
      <c r="HX22" s="90"/>
      <c r="HY22" s="90"/>
      <c r="HZ22" s="116"/>
      <c r="IA22" s="16">
        <f t="shared" si="45"/>
        <v>0</v>
      </c>
      <c r="IB22" s="90"/>
      <c r="IC22" s="90"/>
      <c r="ID22" s="90"/>
      <c r="IE22" s="116"/>
      <c r="IF22" s="16">
        <f t="shared" si="46"/>
        <v>0</v>
      </c>
      <c r="IG22" s="90"/>
      <c r="IH22" s="90"/>
      <c r="II22" s="90"/>
      <c r="IJ22" s="116"/>
      <c r="IK22" s="16">
        <f t="shared" si="47"/>
        <v>0</v>
      </c>
      <c r="IL22" s="90"/>
      <c r="IM22" s="90"/>
      <c r="IN22" s="90"/>
      <c r="IO22" s="116"/>
      <c r="IP22" s="16">
        <f t="shared" si="48"/>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v>350</v>
      </c>
      <c r="AC23" s="116"/>
      <c r="AD23" s="16">
        <f t="shared" si="6"/>
        <v>350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49"/>
        <v>0</v>
      </c>
      <c r="CC23" s="90"/>
      <c r="CD23" s="90"/>
      <c r="CE23" s="90"/>
      <c r="CF23" s="116"/>
      <c r="CG23" s="16">
        <f t="shared" si="16"/>
        <v>0</v>
      </c>
      <c r="CH23" s="90"/>
      <c r="CI23" s="90"/>
      <c r="CJ23" s="90"/>
      <c r="CK23" s="116"/>
      <c r="CL23" s="16">
        <f t="shared" si="17"/>
        <v>0</v>
      </c>
      <c r="CM23" s="90"/>
      <c r="CN23" s="90"/>
      <c r="CO23" s="90"/>
      <c r="CP23" s="116"/>
      <c r="CQ23" s="16">
        <f t="shared" si="18"/>
        <v>0</v>
      </c>
      <c r="CR23" s="90"/>
      <c r="CS23" s="90"/>
      <c r="CT23" s="90"/>
      <c r="CU23" s="116"/>
      <c r="CV23" s="16">
        <f t="shared" si="19"/>
        <v>0</v>
      </c>
      <c r="CW23" s="90"/>
      <c r="CX23" s="90"/>
      <c r="CY23" s="90"/>
      <c r="CZ23" s="116"/>
      <c r="DA23" s="16">
        <f t="shared" si="20"/>
        <v>0</v>
      </c>
      <c r="DB23" s="90"/>
      <c r="DC23" s="90"/>
      <c r="DD23" s="90"/>
      <c r="DE23" s="116"/>
      <c r="DF23" s="16">
        <f t="shared" si="21"/>
        <v>0</v>
      </c>
      <c r="DG23" s="90"/>
      <c r="DH23" s="90"/>
      <c r="DI23" s="90"/>
      <c r="DJ23" s="116"/>
      <c r="DK23" s="16">
        <f t="shared" si="22"/>
        <v>0</v>
      </c>
      <c r="DL23" s="90"/>
      <c r="DM23" s="90"/>
      <c r="DN23" s="90"/>
      <c r="DO23" s="116"/>
      <c r="DP23" s="16">
        <f t="shared" si="23"/>
        <v>0</v>
      </c>
      <c r="DQ23" s="90"/>
      <c r="DR23" s="90"/>
      <c r="DS23" s="90"/>
      <c r="DT23" s="116"/>
      <c r="DU23" s="16">
        <f t="shared" si="24"/>
        <v>0</v>
      </c>
      <c r="DV23" s="90"/>
      <c r="DW23" s="90"/>
      <c r="DX23" s="90"/>
      <c r="DY23" s="116"/>
      <c r="DZ23" s="16">
        <f t="shared" si="25"/>
        <v>0</v>
      </c>
      <c r="EA23" s="90"/>
      <c r="EB23" s="90"/>
      <c r="EC23" s="90"/>
      <c r="ED23" s="116"/>
      <c r="EE23" s="16">
        <f t="shared" si="26"/>
        <v>0</v>
      </c>
      <c r="EF23" s="90"/>
      <c r="EG23" s="90"/>
      <c r="EH23" s="90"/>
      <c r="EI23" s="116"/>
      <c r="EJ23" s="16">
        <f t="shared" si="27"/>
        <v>0</v>
      </c>
      <c r="EK23" s="90"/>
      <c r="EL23" s="90"/>
      <c r="EM23" s="90"/>
      <c r="EN23" s="116"/>
      <c r="EO23" s="16">
        <f t="shared" si="28"/>
        <v>0</v>
      </c>
      <c r="EP23" s="90"/>
      <c r="EQ23" s="90"/>
      <c r="ER23" s="90"/>
      <c r="ES23" s="116"/>
      <c r="ET23" s="16">
        <f t="shared" si="29"/>
        <v>0</v>
      </c>
      <c r="EU23" s="90"/>
      <c r="EV23" s="90"/>
      <c r="EW23" s="90"/>
      <c r="EX23" s="116"/>
      <c r="EY23" s="16">
        <f t="shared" si="30"/>
        <v>0</v>
      </c>
      <c r="EZ23" s="90"/>
      <c r="FA23" s="90"/>
      <c r="FB23" s="90"/>
      <c r="FC23" s="116"/>
      <c r="FD23" s="16">
        <f t="shared" si="31"/>
        <v>0</v>
      </c>
      <c r="FE23" s="90"/>
      <c r="FF23" s="90"/>
      <c r="FG23" s="90"/>
      <c r="FH23" s="116"/>
      <c r="FI23" s="16">
        <f t="shared" si="0"/>
        <v>0</v>
      </c>
      <c r="FJ23" s="90"/>
      <c r="FK23" s="90"/>
      <c r="FL23" s="90"/>
      <c r="FM23" s="116"/>
      <c r="FN23" s="16">
        <f t="shared" si="32"/>
        <v>0</v>
      </c>
      <c r="FO23" s="90"/>
      <c r="FP23" s="90"/>
      <c r="FQ23" s="90"/>
      <c r="FR23" s="116"/>
      <c r="FS23" s="16">
        <f t="shared" si="33"/>
        <v>0</v>
      </c>
      <c r="FT23" s="90"/>
      <c r="FU23" s="90"/>
      <c r="FV23" s="90"/>
      <c r="FW23" s="116"/>
      <c r="FX23" s="16">
        <f t="shared" si="34"/>
        <v>0</v>
      </c>
      <c r="FY23" s="90"/>
      <c r="FZ23" s="90"/>
      <c r="GA23" s="90"/>
      <c r="GB23" s="116"/>
      <c r="GC23" s="16">
        <f t="shared" si="35"/>
        <v>0</v>
      </c>
      <c r="GD23" s="90"/>
      <c r="GE23" s="90"/>
      <c r="GF23" s="90"/>
      <c r="GG23" s="116"/>
      <c r="GH23" s="16">
        <f t="shared" si="36"/>
        <v>0</v>
      </c>
      <c r="GI23" s="90"/>
      <c r="GJ23" s="90"/>
      <c r="GK23" s="90"/>
      <c r="GL23" s="116"/>
      <c r="GM23" s="16">
        <f t="shared" si="37"/>
        <v>0</v>
      </c>
      <c r="GN23" s="90"/>
      <c r="GO23" s="90"/>
      <c r="GP23" s="90"/>
      <c r="GQ23" s="116"/>
      <c r="GR23" s="16">
        <f t="shared" si="38"/>
        <v>0</v>
      </c>
      <c r="GS23" s="90"/>
      <c r="GT23" s="90"/>
      <c r="GU23" s="90"/>
      <c r="GV23" s="116"/>
      <c r="GW23" s="16">
        <f t="shared" si="39"/>
        <v>0</v>
      </c>
      <c r="GX23" s="90"/>
      <c r="GY23" s="90"/>
      <c r="GZ23" s="90"/>
      <c r="HA23" s="116"/>
      <c r="HB23" s="16">
        <f t="shared" si="40"/>
        <v>0</v>
      </c>
      <c r="HC23" s="90"/>
      <c r="HD23" s="90"/>
      <c r="HE23" s="90"/>
      <c r="HF23" s="116"/>
      <c r="HG23" s="16">
        <f t="shared" si="41"/>
        <v>0</v>
      </c>
      <c r="HH23" s="90"/>
      <c r="HI23" s="90"/>
      <c r="HJ23" s="90"/>
      <c r="HK23" s="116"/>
      <c r="HL23" s="16">
        <f t="shared" si="42"/>
        <v>0</v>
      </c>
      <c r="HM23" s="90"/>
      <c r="HN23" s="90"/>
      <c r="HO23" s="90"/>
      <c r="HP23" s="116"/>
      <c r="HQ23" s="16">
        <f t="shared" si="43"/>
        <v>0</v>
      </c>
      <c r="HR23" s="90"/>
      <c r="HS23" s="90"/>
      <c r="HT23" s="90"/>
      <c r="HU23" s="116"/>
      <c r="HV23" s="16">
        <f t="shared" si="44"/>
        <v>0</v>
      </c>
      <c r="HW23" s="90"/>
      <c r="HX23" s="90"/>
      <c r="HY23" s="90"/>
      <c r="HZ23" s="116"/>
      <c r="IA23" s="16">
        <f t="shared" si="45"/>
        <v>0</v>
      </c>
      <c r="IB23" s="90"/>
      <c r="IC23" s="90"/>
      <c r="ID23" s="90"/>
      <c r="IE23" s="116"/>
      <c r="IF23" s="16">
        <f t="shared" si="46"/>
        <v>0</v>
      </c>
      <c r="IG23" s="90"/>
      <c r="IH23" s="90"/>
      <c r="II23" s="90"/>
      <c r="IJ23" s="116"/>
      <c r="IK23" s="16">
        <f t="shared" si="47"/>
        <v>0</v>
      </c>
      <c r="IL23" s="90"/>
      <c r="IM23" s="90"/>
      <c r="IN23" s="90"/>
      <c r="IO23" s="116"/>
      <c r="IP23" s="16">
        <f t="shared" si="48"/>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v>50</v>
      </c>
      <c r="AC24" s="116"/>
      <c r="AD24" s="16">
        <f t="shared" si="6"/>
        <v>50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v>70</v>
      </c>
      <c r="BB24" s="116"/>
      <c r="BC24" s="16">
        <f t="shared" si="11"/>
        <v>70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49"/>
        <v>0</v>
      </c>
      <c r="CC24" s="90"/>
      <c r="CD24" s="90"/>
      <c r="CE24" s="90"/>
      <c r="CF24" s="116"/>
      <c r="CG24" s="16">
        <f t="shared" si="16"/>
        <v>0</v>
      </c>
      <c r="CH24" s="90"/>
      <c r="CI24" s="90"/>
      <c r="CJ24" s="90"/>
      <c r="CK24" s="116"/>
      <c r="CL24" s="16">
        <f t="shared" si="17"/>
        <v>0</v>
      </c>
      <c r="CM24" s="90"/>
      <c r="CN24" s="90"/>
      <c r="CO24" s="90"/>
      <c r="CP24" s="116"/>
      <c r="CQ24" s="16">
        <f t="shared" si="18"/>
        <v>0</v>
      </c>
      <c r="CR24" s="90"/>
      <c r="CS24" s="90"/>
      <c r="CT24" s="90"/>
      <c r="CU24" s="116"/>
      <c r="CV24" s="16">
        <f t="shared" si="19"/>
        <v>0</v>
      </c>
      <c r="CW24" s="90"/>
      <c r="CX24" s="90"/>
      <c r="CY24" s="90"/>
      <c r="CZ24" s="116"/>
      <c r="DA24" s="16">
        <f t="shared" si="20"/>
        <v>0</v>
      </c>
      <c r="DB24" s="90"/>
      <c r="DC24" s="90"/>
      <c r="DD24" s="90"/>
      <c r="DE24" s="116"/>
      <c r="DF24" s="16">
        <f t="shared" si="21"/>
        <v>0</v>
      </c>
      <c r="DG24" s="90"/>
      <c r="DH24" s="90"/>
      <c r="DI24" s="90"/>
      <c r="DJ24" s="116"/>
      <c r="DK24" s="16">
        <f t="shared" si="22"/>
        <v>0</v>
      </c>
      <c r="DL24" s="90"/>
      <c r="DM24" s="90"/>
      <c r="DN24" s="90"/>
      <c r="DO24" s="116"/>
      <c r="DP24" s="16">
        <f t="shared" si="23"/>
        <v>0</v>
      </c>
      <c r="DQ24" s="90"/>
      <c r="DR24" s="90"/>
      <c r="DS24" s="90"/>
      <c r="DT24" s="116"/>
      <c r="DU24" s="16">
        <f t="shared" si="24"/>
        <v>0</v>
      </c>
      <c r="DV24" s="90"/>
      <c r="DW24" s="90"/>
      <c r="DX24" s="90"/>
      <c r="DY24" s="116"/>
      <c r="DZ24" s="16">
        <f t="shared" si="25"/>
        <v>0</v>
      </c>
      <c r="EA24" s="90"/>
      <c r="EB24" s="90"/>
      <c r="EC24" s="90"/>
      <c r="ED24" s="116"/>
      <c r="EE24" s="16">
        <f t="shared" si="26"/>
        <v>0</v>
      </c>
      <c r="EF24" s="90"/>
      <c r="EG24" s="90"/>
      <c r="EH24" s="90"/>
      <c r="EI24" s="116"/>
      <c r="EJ24" s="16">
        <f t="shared" si="27"/>
        <v>0</v>
      </c>
      <c r="EK24" s="90"/>
      <c r="EL24" s="90"/>
      <c r="EM24" s="90"/>
      <c r="EN24" s="116"/>
      <c r="EO24" s="16">
        <f t="shared" si="28"/>
        <v>0</v>
      </c>
      <c r="EP24" s="90"/>
      <c r="EQ24" s="90"/>
      <c r="ER24" s="90"/>
      <c r="ES24" s="116"/>
      <c r="ET24" s="16">
        <f t="shared" si="29"/>
        <v>0</v>
      </c>
      <c r="EU24" s="90"/>
      <c r="EV24" s="90"/>
      <c r="EW24" s="90"/>
      <c r="EX24" s="116"/>
      <c r="EY24" s="16">
        <f t="shared" si="30"/>
        <v>0</v>
      </c>
      <c r="EZ24" s="90"/>
      <c r="FA24" s="90"/>
      <c r="FB24" s="90"/>
      <c r="FC24" s="116"/>
      <c r="FD24" s="16">
        <f t="shared" si="31"/>
        <v>0</v>
      </c>
      <c r="FE24" s="90"/>
      <c r="FF24" s="90"/>
      <c r="FG24" s="90"/>
      <c r="FH24" s="116"/>
      <c r="FI24" s="16">
        <f t="shared" si="0"/>
        <v>0</v>
      </c>
      <c r="FJ24" s="90"/>
      <c r="FK24" s="90"/>
      <c r="FL24" s="90"/>
      <c r="FM24" s="116"/>
      <c r="FN24" s="16">
        <f t="shared" si="32"/>
        <v>0</v>
      </c>
      <c r="FO24" s="90"/>
      <c r="FP24" s="90"/>
      <c r="FQ24" s="90"/>
      <c r="FR24" s="116"/>
      <c r="FS24" s="16">
        <f t="shared" si="33"/>
        <v>0</v>
      </c>
      <c r="FT24" s="90"/>
      <c r="FU24" s="90"/>
      <c r="FV24" s="90"/>
      <c r="FW24" s="116"/>
      <c r="FX24" s="16">
        <f t="shared" si="34"/>
        <v>0</v>
      </c>
      <c r="FY24" s="90"/>
      <c r="FZ24" s="90"/>
      <c r="GA24" s="90"/>
      <c r="GB24" s="116"/>
      <c r="GC24" s="16">
        <f t="shared" si="35"/>
        <v>0</v>
      </c>
      <c r="GD24" s="90"/>
      <c r="GE24" s="90"/>
      <c r="GF24" s="90"/>
      <c r="GG24" s="116"/>
      <c r="GH24" s="16">
        <f t="shared" si="36"/>
        <v>0</v>
      </c>
      <c r="GI24" s="90"/>
      <c r="GJ24" s="90"/>
      <c r="GK24" s="90"/>
      <c r="GL24" s="116"/>
      <c r="GM24" s="16">
        <f t="shared" si="37"/>
        <v>0</v>
      </c>
      <c r="GN24" s="90"/>
      <c r="GO24" s="90"/>
      <c r="GP24" s="90"/>
      <c r="GQ24" s="116"/>
      <c r="GR24" s="16">
        <f t="shared" si="38"/>
        <v>0</v>
      </c>
      <c r="GS24" s="90"/>
      <c r="GT24" s="90"/>
      <c r="GU24" s="90"/>
      <c r="GV24" s="116"/>
      <c r="GW24" s="16">
        <f t="shared" si="39"/>
        <v>0</v>
      </c>
      <c r="GX24" s="90"/>
      <c r="GY24" s="90"/>
      <c r="GZ24" s="90"/>
      <c r="HA24" s="116"/>
      <c r="HB24" s="16">
        <f t="shared" si="40"/>
        <v>0</v>
      </c>
      <c r="HC24" s="90"/>
      <c r="HD24" s="90"/>
      <c r="HE24" s="90"/>
      <c r="HF24" s="116"/>
      <c r="HG24" s="16">
        <f t="shared" si="41"/>
        <v>0</v>
      </c>
      <c r="HH24" s="90"/>
      <c r="HI24" s="90"/>
      <c r="HJ24" s="90"/>
      <c r="HK24" s="116"/>
      <c r="HL24" s="16">
        <f t="shared" si="42"/>
        <v>0</v>
      </c>
      <c r="HM24" s="90"/>
      <c r="HN24" s="90"/>
      <c r="HO24" s="90"/>
      <c r="HP24" s="116"/>
      <c r="HQ24" s="16">
        <f t="shared" si="43"/>
        <v>0</v>
      </c>
      <c r="HR24" s="90"/>
      <c r="HS24" s="90"/>
      <c r="HT24" s="90"/>
      <c r="HU24" s="116"/>
      <c r="HV24" s="16">
        <f t="shared" si="44"/>
        <v>0</v>
      </c>
      <c r="HW24" s="90"/>
      <c r="HX24" s="90"/>
      <c r="HY24" s="90"/>
      <c r="HZ24" s="116"/>
      <c r="IA24" s="16">
        <f t="shared" si="45"/>
        <v>0</v>
      </c>
      <c r="IB24" s="90"/>
      <c r="IC24" s="90"/>
      <c r="ID24" s="90"/>
      <c r="IE24" s="116"/>
      <c r="IF24" s="16">
        <f t="shared" si="46"/>
        <v>0</v>
      </c>
      <c r="IG24" s="90"/>
      <c r="IH24" s="90"/>
      <c r="II24" s="90"/>
      <c r="IJ24" s="116"/>
      <c r="IK24" s="16">
        <f t="shared" si="47"/>
        <v>0</v>
      </c>
      <c r="IL24" s="90"/>
      <c r="IM24" s="90"/>
      <c r="IN24" s="90"/>
      <c r="IO24" s="116"/>
      <c r="IP24" s="16">
        <f t="shared" si="48"/>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v>50</v>
      </c>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v>185</v>
      </c>
      <c r="BB25" s="116"/>
      <c r="BC25" s="16">
        <f t="shared" si="11"/>
        <v>185</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49"/>
        <v>0</v>
      </c>
      <c r="CC25" s="90"/>
      <c r="CD25" s="90"/>
      <c r="CE25" s="90"/>
      <c r="CF25" s="116"/>
      <c r="CG25" s="16">
        <f t="shared" si="16"/>
        <v>0</v>
      </c>
      <c r="CH25" s="90"/>
      <c r="CI25" s="90"/>
      <c r="CJ25" s="90"/>
      <c r="CK25" s="116"/>
      <c r="CL25" s="16">
        <f t="shared" si="17"/>
        <v>0</v>
      </c>
      <c r="CM25" s="90"/>
      <c r="CN25" s="90"/>
      <c r="CO25" s="90"/>
      <c r="CP25" s="116"/>
      <c r="CQ25" s="16">
        <f t="shared" si="18"/>
        <v>0</v>
      </c>
      <c r="CR25" s="90"/>
      <c r="CS25" s="90"/>
      <c r="CT25" s="90"/>
      <c r="CU25" s="116"/>
      <c r="CV25" s="16">
        <f t="shared" si="19"/>
        <v>0</v>
      </c>
      <c r="CW25" s="90"/>
      <c r="CX25" s="90"/>
      <c r="CY25" s="90"/>
      <c r="CZ25" s="116"/>
      <c r="DA25" s="16">
        <f t="shared" si="20"/>
        <v>0</v>
      </c>
      <c r="DB25" s="90"/>
      <c r="DC25" s="90"/>
      <c r="DD25" s="90"/>
      <c r="DE25" s="116"/>
      <c r="DF25" s="16">
        <f t="shared" si="21"/>
        <v>0</v>
      </c>
      <c r="DG25" s="90"/>
      <c r="DH25" s="90"/>
      <c r="DI25" s="90"/>
      <c r="DJ25" s="116"/>
      <c r="DK25" s="16">
        <f t="shared" si="22"/>
        <v>0</v>
      </c>
      <c r="DL25" s="90"/>
      <c r="DM25" s="90"/>
      <c r="DN25" s="90"/>
      <c r="DO25" s="116"/>
      <c r="DP25" s="16">
        <f t="shared" si="23"/>
        <v>0</v>
      </c>
      <c r="DQ25" s="90"/>
      <c r="DR25" s="90"/>
      <c r="DS25" s="90"/>
      <c r="DT25" s="116"/>
      <c r="DU25" s="16">
        <f t="shared" si="24"/>
        <v>0</v>
      </c>
      <c r="DV25" s="90"/>
      <c r="DW25" s="90"/>
      <c r="DX25" s="90"/>
      <c r="DY25" s="116"/>
      <c r="DZ25" s="16">
        <f t="shared" si="25"/>
        <v>0</v>
      </c>
      <c r="EA25" s="90"/>
      <c r="EB25" s="90"/>
      <c r="EC25" s="90"/>
      <c r="ED25" s="116"/>
      <c r="EE25" s="16">
        <f t="shared" si="26"/>
        <v>0</v>
      </c>
      <c r="EF25" s="90"/>
      <c r="EG25" s="90"/>
      <c r="EH25" s="90"/>
      <c r="EI25" s="116"/>
      <c r="EJ25" s="16">
        <f t="shared" si="27"/>
        <v>0</v>
      </c>
      <c r="EK25" s="90"/>
      <c r="EL25" s="90"/>
      <c r="EM25" s="90"/>
      <c r="EN25" s="116"/>
      <c r="EO25" s="16">
        <f t="shared" si="28"/>
        <v>0</v>
      </c>
      <c r="EP25" s="90"/>
      <c r="EQ25" s="90"/>
      <c r="ER25" s="90"/>
      <c r="ES25" s="116"/>
      <c r="ET25" s="16">
        <f t="shared" si="29"/>
        <v>0</v>
      </c>
      <c r="EU25" s="90"/>
      <c r="EV25" s="90"/>
      <c r="EW25" s="90"/>
      <c r="EX25" s="116"/>
      <c r="EY25" s="16">
        <f t="shared" si="30"/>
        <v>0</v>
      </c>
      <c r="EZ25" s="90"/>
      <c r="FA25" s="90"/>
      <c r="FB25" s="90"/>
      <c r="FC25" s="116"/>
      <c r="FD25" s="16">
        <f t="shared" si="31"/>
        <v>0</v>
      </c>
      <c r="FE25" s="90"/>
      <c r="FF25" s="90"/>
      <c r="FG25" s="90"/>
      <c r="FH25" s="116"/>
      <c r="FI25" s="16">
        <f t="shared" si="0"/>
        <v>0</v>
      </c>
      <c r="FJ25" s="90"/>
      <c r="FK25" s="90"/>
      <c r="FL25" s="90"/>
      <c r="FM25" s="116"/>
      <c r="FN25" s="16">
        <f t="shared" si="32"/>
        <v>0</v>
      </c>
      <c r="FO25" s="90"/>
      <c r="FP25" s="90"/>
      <c r="FQ25" s="90"/>
      <c r="FR25" s="116"/>
      <c r="FS25" s="16">
        <f t="shared" si="33"/>
        <v>0</v>
      </c>
      <c r="FT25" s="90"/>
      <c r="FU25" s="90"/>
      <c r="FV25" s="90"/>
      <c r="FW25" s="116"/>
      <c r="FX25" s="16">
        <f t="shared" si="34"/>
        <v>0</v>
      </c>
      <c r="FY25" s="90"/>
      <c r="FZ25" s="90"/>
      <c r="GA25" s="90"/>
      <c r="GB25" s="116"/>
      <c r="GC25" s="16">
        <f t="shared" si="35"/>
        <v>0</v>
      </c>
      <c r="GD25" s="90"/>
      <c r="GE25" s="90"/>
      <c r="GF25" s="90"/>
      <c r="GG25" s="116"/>
      <c r="GH25" s="16">
        <f t="shared" si="36"/>
        <v>0</v>
      </c>
      <c r="GI25" s="90"/>
      <c r="GJ25" s="90"/>
      <c r="GK25" s="90"/>
      <c r="GL25" s="116"/>
      <c r="GM25" s="16">
        <f t="shared" si="37"/>
        <v>0</v>
      </c>
      <c r="GN25" s="90"/>
      <c r="GO25" s="90"/>
      <c r="GP25" s="90"/>
      <c r="GQ25" s="116"/>
      <c r="GR25" s="16">
        <f t="shared" si="38"/>
        <v>0</v>
      </c>
      <c r="GS25" s="90"/>
      <c r="GT25" s="90"/>
      <c r="GU25" s="90"/>
      <c r="GV25" s="116"/>
      <c r="GW25" s="16">
        <f t="shared" si="39"/>
        <v>0</v>
      </c>
      <c r="GX25" s="90"/>
      <c r="GY25" s="90"/>
      <c r="GZ25" s="90"/>
      <c r="HA25" s="116"/>
      <c r="HB25" s="16">
        <f t="shared" si="40"/>
        <v>0</v>
      </c>
      <c r="HC25" s="90"/>
      <c r="HD25" s="90"/>
      <c r="HE25" s="90"/>
      <c r="HF25" s="116"/>
      <c r="HG25" s="16">
        <f t="shared" si="41"/>
        <v>0</v>
      </c>
      <c r="HH25" s="90"/>
      <c r="HI25" s="90"/>
      <c r="HJ25" s="90"/>
      <c r="HK25" s="116"/>
      <c r="HL25" s="16">
        <f t="shared" si="42"/>
        <v>0</v>
      </c>
      <c r="HM25" s="90"/>
      <c r="HN25" s="90"/>
      <c r="HO25" s="90"/>
      <c r="HP25" s="116"/>
      <c r="HQ25" s="16">
        <f t="shared" si="43"/>
        <v>0</v>
      </c>
      <c r="HR25" s="90"/>
      <c r="HS25" s="90"/>
      <c r="HT25" s="90"/>
      <c r="HU25" s="116"/>
      <c r="HV25" s="16">
        <f t="shared" si="44"/>
        <v>0</v>
      </c>
      <c r="HW25" s="90"/>
      <c r="HX25" s="90"/>
      <c r="HY25" s="90"/>
      <c r="HZ25" s="116"/>
      <c r="IA25" s="16">
        <f t="shared" si="45"/>
        <v>0</v>
      </c>
      <c r="IB25" s="90"/>
      <c r="IC25" s="90"/>
      <c r="ID25" s="90"/>
      <c r="IE25" s="116"/>
      <c r="IF25" s="16">
        <f t="shared" si="46"/>
        <v>0</v>
      </c>
      <c r="IG25" s="90"/>
      <c r="IH25" s="90"/>
      <c r="II25" s="90"/>
      <c r="IJ25" s="116"/>
      <c r="IK25" s="16">
        <f t="shared" si="47"/>
        <v>0</v>
      </c>
      <c r="IL25" s="90"/>
      <c r="IM25" s="90"/>
      <c r="IN25" s="90"/>
      <c r="IO25" s="116"/>
      <c r="IP25" s="16">
        <f t="shared" si="48"/>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v>151</v>
      </c>
      <c r="AC26" s="116"/>
      <c r="AD26" s="16">
        <f t="shared" si="6"/>
        <v>151</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v>310</v>
      </c>
      <c r="BB26" s="116"/>
      <c r="BC26" s="16">
        <f t="shared" si="11"/>
        <v>310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49"/>
        <v>0</v>
      </c>
      <c r="CC26" s="90"/>
      <c r="CD26" s="90"/>
      <c r="CE26" s="90"/>
      <c r="CF26" s="116"/>
      <c r="CG26" s="16">
        <f t="shared" si="16"/>
        <v>0</v>
      </c>
      <c r="CH26" s="90"/>
      <c r="CI26" s="90"/>
      <c r="CJ26" s="90"/>
      <c r="CK26" s="116"/>
      <c r="CL26" s="16">
        <f t="shared" si="17"/>
        <v>0</v>
      </c>
      <c r="CM26" s="90"/>
      <c r="CN26" s="90"/>
      <c r="CO26" s="90"/>
      <c r="CP26" s="116"/>
      <c r="CQ26" s="16">
        <f t="shared" si="18"/>
        <v>0</v>
      </c>
      <c r="CR26" s="90"/>
      <c r="CS26" s="90"/>
      <c r="CT26" s="90"/>
      <c r="CU26" s="116"/>
      <c r="CV26" s="16">
        <f t="shared" si="19"/>
        <v>0</v>
      </c>
      <c r="CW26" s="90"/>
      <c r="CX26" s="90"/>
      <c r="CY26" s="90"/>
      <c r="CZ26" s="116"/>
      <c r="DA26" s="16">
        <f t="shared" si="20"/>
        <v>0</v>
      </c>
      <c r="DB26" s="90"/>
      <c r="DC26" s="90"/>
      <c r="DD26" s="90"/>
      <c r="DE26" s="116"/>
      <c r="DF26" s="16">
        <f t="shared" si="21"/>
        <v>0</v>
      </c>
      <c r="DG26" s="90"/>
      <c r="DH26" s="90"/>
      <c r="DI26" s="90"/>
      <c r="DJ26" s="116"/>
      <c r="DK26" s="16">
        <f t="shared" si="22"/>
        <v>0</v>
      </c>
      <c r="DL26" s="90"/>
      <c r="DM26" s="90"/>
      <c r="DN26" s="90"/>
      <c r="DO26" s="116"/>
      <c r="DP26" s="16">
        <f t="shared" si="23"/>
        <v>0</v>
      </c>
      <c r="DQ26" s="90"/>
      <c r="DR26" s="90"/>
      <c r="DS26" s="90"/>
      <c r="DT26" s="116"/>
      <c r="DU26" s="16">
        <f t="shared" si="24"/>
        <v>0</v>
      </c>
      <c r="DV26" s="90"/>
      <c r="DW26" s="90"/>
      <c r="DX26" s="90"/>
      <c r="DY26" s="116"/>
      <c r="DZ26" s="16">
        <f t="shared" si="25"/>
        <v>0</v>
      </c>
      <c r="EA26" s="90"/>
      <c r="EB26" s="90"/>
      <c r="EC26" s="90"/>
      <c r="ED26" s="116"/>
      <c r="EE26" s="16">
        <f t="shared" si="26"/>
        <v>0</v>
      </c>
      <c r="EF26" s="90"/>
      <c r="EG26" s="90"/>
      <c r="EH26" s="90"/>
      <c r="EI26" s="116"/>
      <c r="EJ26" s="16">
        <f t="shared" si="27"/>
        <v>0</v>
      </c>
      <c r="EK26" s="90"/>
      <c r="EL26" s="90"/>
      <c r="EM26" s="90"/>
      <c r="EN26" s="116"/>
      <c r="EO26" s="16">
        <f t="shared" si="28"/>
        <v>0</v>
      </c>
      <c r="EP26" s="90"/>
      <c r="EQ26" s="90"/>
      <c r="ER26" s="90"/>
      <c r="ES26" s="116"/>
      <c r="ET26" s="16">
        <f t="shared" si="29"/>
        <v>0</v>
      </c>
      <c r="EU26" s="90"/>
      <c r="EV26" s="90"/>
      <c r="EW26" s="90"/>
      <c r="EX26" s="116"/>
      <c r="EY26" s="16">
        <f t="shared" si="30"/>
        <v>0</v>
      </c>
      <c r="EZ26" s="90"/>
      <c r="FA26" s="90"/>
      <c r="FB26" s="90"/>
      <c r="FC26" s="116"/>
      <c r="FD26" s="16">
        <f t="shared" si="31"/>
        <v>0</v>
      </c>
      <c r="FE26" s="90"/>
      <c r="FF26" s="90"/>
      <c r="FG26" s="90"/>
      <c r="FH26" s="116"/>
      <c r="FI26" s="16">
        <f t="shared" si="0"/>
        <v>0</v>
      </c>
      <c r="FJ26" s="90"/>
      <c r="FK26" s="90"/>
      <c r="FL26" s="90"/>
      <c r="FM26" s="116"/>
      <c r="FN26" s="16">
        <f t="shared" si="32"/>
        <v>0</v>
      </c>
      <c r="FO26" s="90"/>
      <c r="FP26" s="90"/>
      <c r="FQ26" s="90"/>
      <c r="FR26" s="116"/>
      <c r="FS26" s="16">
        <f t="shared" si="33"/>
        <v>0</v>
      </c>
      <c r="FT26" s="90"/>
      <c r="FU26" s="90"/>
      <c r="FV26" s="90"/>
      <c r="FW26" s="116"/>
      <c r="FX26" s="16">
        <f t="shared" si="34"/>
        <v>0</v>
      </c>
      <c r="FY26" s="90"/>
      <c r="FZ26" s="90"/>
      <c r="GA26" s="90"/>
      <c r="GB26" s="116"/>
      <c r="GC26" s="16">
        <f t="shared" si="35"/>
        <v>0</v>
      </c>
      <c r="GD26" s="90"/>
      <c r="GE26" s="90"/>
      <c r="GF26" s="90"/>
      <c r="GG26" s="116"/>
      <c r="GH26" s="16">
        <f t="shared" si="36"/>
        <v>0</v>
      </c>
      <c r="GI26" s="90"/>
      <c r="GJ26" s="90"/>
      <c r="GK26" s="90"/>
      <c r="GL26" s="116"/>
      <c r="GM26" s="16">
        <f t="shared" si="37"/>
        <v>0</v>
      </c>
      <c r="GN26" s="90"/>
      <c r="GO26" s="90"/>
      <c r="GP26" s="90"/>
      <c r="GQ26" s="116"/>
      <c r="GR26" s="16">
        <f t="shared" si="38"/>
        <v>0</v>
      </c>
      <c r="GS26" s="90"/>
      <c r="GT26" s="90"/>
      <c r="GU26" s="90"/>
      <c r="GV26" s="116"/>
      <c r="GW26" s="16">
        <f t="shared" si="39"/>
        <v>0</v>
      </c>
      <c r="GX26" s="90"/>
      <c r="GY26" s="90"/>
      <c r="GZ26" s="90"/>
      <c r="HA26" s="116"/>
      <c r="HB26" s="16">
        <f t="shared" si="40"/>
        <v>0</v>
      </c>
      <c r="HC26" s="90"/>
      <c r="HD26" s="90"/>
      <c r="HE26" s="90"/>
      <c r="HF26" s="116"/>
      <c r="HG26" s="16">
        <f t="shared" si="41"/>
        <v>0</v>
      </c>
      <c r="HH26" s="90"/>
      <c r="HI26" s="90"/>
      <c r="HJ26" s="90"/>
      <c r="HK26" s="116"/>
      <c r="HL26" s="16">
        <f t="shared" si="42"/>
        <v>0</v>
      </c>
      <c r="HM26" s="90"/>
      <c r="HN26" s="90"/>
      <c r="HO26" s="90"/>
      <c r="HP26" s="116"/>
      <c r="HQ26" s="16">
        <f t="shared" si="43"/>
        <v>0</v>
      </c>
      <c r="HR26" s="90"/>
      <c r="HS26" s="90"/>
      <c r="HT26" s="90"/>
      <c r="HU26" s="116"/>
      <c r="HV26" s="16">
        <f t="shared" si="44"/>
        <v>0</v>
      </c>
      <c r="HW26" s="90"/>
      <c r="HX26" s="90"/>
      <c r="HY26" s="90"/>
      <c r="HZ26" s="116"/>
      <c r="IA26" s="16">
        <f t="shared" si="45"/>
        <v>0</v>
      </c>
      <c r="IB26" s="90"/>
      <c r="IC26" s="90"/>
      <c r="ID26" s="90"/>
      <c r="IE26" s="116"/>
      <c r="IF26" s="16">
        <f t="shared" si="46"/>
        <v>0</v>
      </c>
      <c r="IG26" s="90"/>
      <c r="IH26" s="90"/>
      <c r="II26" s="90"/>
      <c r="IJ26" s="116"/>
      <c r="IK26" s="16">
        <f t="shared" si="47"/>
        <v>0</v>
      </c>
      <c r="IL26" s="90"/>
      <c r="IM26" s="90"/>
      <c r="IN26" s="90"/>
      <c r="IO26" s="116"/>
      <c r="IP26" s="16">
        <f t="shared" si="48"/>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v>155</v>
      </c>
      <c r="AC27" s="116"/>
      <c r="AD27" s="16">
        <f t="shared" si="6"/>
        <v>155</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v>52</v>
      </c>
      <c r="BB27" s="116"/>
      <c r="BC27" s="16">
        <f t="shared" si="11"/>
        <v>52</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49"/>
        <v>0</v>
      </c>
      <c r="CC27" s="90"/>
      <c r="CD27" s="90"/>
      <c r="CE27" s="90"/>
      <c r="CF27" s="116"/>
      <c r="CG27" s="16">
        <f t="shared" si="16"/>
        <v>0</v>
      </c>
      <c r="CH27" s="90"/>
      <c r="CI27" s="90"/>
      <c r="CJ27" s="90"/>
      <c r="CK27" s="116"/>
      <c r="CL27" s="16">
        <f t="shared" si="17"/>
        <v>0</v>
      </c>
      <c r="CM27" s="90"/>
      <c r="CN27" s="90"/>
      <c r="CO27" s="90"/>
      <c r="CP27" s="116"/>
      <c r="CQ27" s="16">
        <f t="shared" si="18"/>
        <v>0</v>
      </c>
      <c r="CR27" s="90"/>
      <c r="CS27" s="90"/>
      <c r="CT27" s="90"/>
      <c r="CU27" s="116"/>
      <c r="CV27" s="16">
        <f t="shared" si="19"/>
        <v>0</v>
      </c>
      <c r="CW27" s="90"/>
      <c r="CX27" s="90"/>
      <c r="CY27" s="90"/>
      <c r="CZ27" s="116"/>
      <c r="DA27" s="16">
        <f t="shared" si="20"/>
        <v>0</v>
      </c>
      <c r="DB27" s="90"/>
      <c r="DC27" s="90"/>
      <c r="DD27" s="90"/>
      <c r="DE27" s="116"/>
      <c r="DF27" s="16">
        <f t="shared" si="21"/>
        <v>0</v>
      </c>
      <c r="DG27" s="90"/>
      <c r="DH27" s="90"/>
      <c r="DI27" s="90"/>
      <c r="DJ27" s="116"/>
      <c r="DK27" s="16">
        <f t="shared" si="22"/>
        <v>0</v>
      </c>
      <c r="DL27" s="90"/>
      <c r="DM27" s="90"/>
      <c r="DN27" s="90"/>
      <c r="DO27" s="116"/>
      <c r="DP27" s="16">
        <f t="shared" si="23"/>
        <v>0</v>
      </c>
      <c r="DQ27" s="90"/>
      <c r="DR27" s="90"/>
      <c r="DS27" s="90"/>
      <c r="DT27" s="116"/>
      <c r="DU27" s="16">
        <f t="shared" si="24"/>
        <v>0</v>
      </c>
      <c r="DV27" s="90"/>
      <c r="DW27" s="90"/>
      <c r="DX27" s="90"/>
      <c r="DY27" s="116"/>
      <c r="DZ27" s="16">
        <f t="shared" si="25"/>
        <v>0</v>
      </c>
      <c r="EA27" s="90"/>
      <c r="EB27" s="90"/>
      <c r="EC27" s="90"/>
      <c r="ED27" s="116"/>
      <c r="EE27" s="16">
        <f t="shared" si="26"/>
        <v>0</v>
      </c>
      <c r="EF27" s="90"/>
      <c r="EG27" s="90"/>
      <c r="EH27" s="90"/>
      <c r="EI27" s="116"/>
      <c r="EJ27" s="16">
        <f t="shared" si="27"/>
        <v>0</v>
      </c>
      <c r="EK27" s="90"/>
      <c r="EL27" s="90"/>
      <c r="EM27" s="90"/>
      <c r="EN27" s="116"/>
      <c r="EO27" s="16">
        <f t="shared" si="28"/>
        <v>0</v>
      </c>
      <c r="EP27" s="90"/>
      <c r="EQ27" s="90"/>
      <c r="ER27" s="90"/>
      <c r="ES27" s="116"/>
      <c r="ET27" s="16">
        <f t="shared" si="29"/>
        <v>0</v>
      </c>
      <c r="EU27" s="90"/>
      <c r="EV27" s="90"/>
      <c r="EW27" s="90"/>
      <c r="EX27" s="116"/>
      <c r="EY27" s="16">
        <f t="shared" si="30"/>
        <v>0</v>
      </c>
      <c r="EZ27" s="90"/>
      <c r="FA27" s="90"/>
      <c r="FB27" s="90"/>
      <c r="FC27" s="116"/>
      <c r="FD27" s="16">
        <f t="shared" si="31"/>
        <v>0</v>
      </c>
      <c r="FE27" s="90"/>
      <c r="FF27" s="90"/>
      <c r="FG27" s="90"/>
      <c r="FH27" s="116"/>
      <c r="FI27" s="16">
        <f t="shared" si="0"/>
        <v>0</v>
      </c>
      <c r="FJ27" s="90"/>
      <c r="FK27" s="90"/>
      <c r="FL27" s="90"/>
      <c r="FM27" s="116"/>
      <c r="FN27" s="16">
        <f t="shared" si="32"/>
        <v>0</v>
      </c>
      <c r="FO27" s="90"/>
      <c r="FP27" s="90"/>
      <c r="FQ27" s="90"/>
      <c r="FR27" s="116"/>
      <c r="FS27" s="16">
        <f t="shared" si="33"/>
        <v>0</v>
      </c>
      <c r="FT27" s="90"/>
      <c r="FU27" s="90"/>
      <c r="FV27" s="90"/>
      <c r="FW27" s="116"/>
      <c r="FX27" s="16">
        <f t="shared" si="34"/>
        <v>0</v>
      </c>
      <c r="FY27" s="90"/>
      <c r="FZ27" s="90"/>
      <c r="GA27" s="90"/>
      <c r="GB27" s="116"/>
      <c r="GC27" s="16">
        <f t="shared" si="35"/>
        <v>0</v>
      </c>
      <c r="GD27" s="90"/>
      <c r="GE27" s="90"/>
      <c r="GF27" s="90"/>
      <c r="GG27" s="116"/>
      <c r="GH27" s="16">
        <f t="shared" si="36"/>
        <v>0</v>
      </c>
      <c r="GI27" s="90"/>
      <c r="GJ27" s="90"/>
      <c r="GK27" s="90"/>
      <c r="GL27" s="116"/>
      <c r="GM27" s="16">
        <f t="shared" si="37"/>
        <v>0</v>
      </c>
      <c r="GN27" s="90"/>
      <c r="GO27" s="90"/>
      <c r="GP27" s="90"/>
      <c r="GQ27" s="116"/>
      <c r="GR27" s="16">
        <f t="shared" si="38"/>
        <v>0</v>
      </c>
      <c r="GS27" s="90"/>
      <c r="GT27" s="90"/>
      <c r="GU27" s="90"/>
      <c r="GV27" s="116"/>
      <c r="GW27" s="16">
        <f t="shared" si="39"/>
        <v>0</v>
      </c>
      <c r="GX27" s="90"/>
      <c r="GY27" s="90"/>
      <c r="GZ27" s="90"/>
      <c r="HA27" s="116"/>
      <c r="HB27" s="16">
        <f t="shared" si="40"/>
        <v>0</v>
      </c>
      <c r="HC27" s="90"/>
      <c r="HD27" s="90"/>
      <c r="HE27" s="90"/>
      <c r="HF27" s="116"/>
      <c r="HG27" s="16">
        <f t="shared" si="41"/>
        <v>0</v>
      </c>
      <c r="HH27" s="90"/>
      <c r="HI27" s="90"/>
      <c r="HJ27" s="90"/>
      <c r="HK27" s="116"/>
      <c r="HL27" s="16">
        <f t="shared" si="42"/>
        <v>0</v>
      </c>
      <c r="HM27" s="90"/>
      <c r="HN27" s="90"/>
      <c r="HO27" s="90"/>
      <c r="HP27" s="116"/>
      <c r="HQ27" s="16">
        <f t="shared" si="43"/>
        <v>0</v>
      </c>
      <c r="HR27" s="90"/>
      <c r="HS27" s="90"/>
      <c r="HT27" s="90"/>
      <c r="HU27" s="116"/>
      <c r="HV27" s="16">
        <f t="shared" si="44"/>
        <v>0</v>
      </c>
      <c r="HW27" s="90"/>
      <c r="HX27" s="90"/>
      <c r="HY27" s="90"/>
      <c r="HZ27" s="116"/>
      <c r="IA27" s="16">
        <f t="shared" si="45"/>
        <v>0</v>
      </c>
      <c r="IB27" s="90"/>
      <c r="IC27" s="90"/>
      <c r="ID27" s="90"/>
      <c r="IE27" s="116"/>
      <c r="IF27" s="16">
        <f t="shared" si="46"/>
        <v>0</v>
      </c>
      <c r="IG27" s="90"/>
      <c r="IH27" s="90"/>
      <c r="II27" s="90"/>
      <c r="IJ27" s="116"/>
      <c r="IK27" s="16">
        <f t="shared" si="47"/>
        <v>0</v>
      </c>
      <c r="IL27" s="90"/>
      <c r="IM27" s="90"/>
      <c r="IN27" s="90"/>
      <c r="IO27" s="116"/>
      <c r="IP27" s="16">
        <f t="shared" si="48"/>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v>60</v>
      </c>
      <c r="AC28" s="116"/>
      <c r="AD28" s="16">
        <f t="shared" si="6"/>
        <v>60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v>50</v>
      </c>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49"/>
        <v>0</v>
      </c>
      <c r="CC28" s="90"/>
      <c r="CD28" s="90"/>
      <c r="CE28" s="90"/>
      <c r="CF28" s="116"/>
      <c r="CG28" s="16">
        <f t="shared" si="16"/>
        <v>0</v>
      </c>
      <c r="CH28" s="90"/>
      <c r="CI28" s="90"/>
      <c r="CJ28" s="90"/>
      <c r="CK28" s="116"/>
      <c r="CL28" s="16">
        <f t="shared" si="17"/>
        <v>0</v>
      </c>
      <c r="CM28" s="90"/>
      <c r="CN28" s="90"/>
      <c r="CO28" s="90"/>
      <c r="CP28" s="116"/>
      <c r="CQ28" s="16">
        <f t="shared" si="18"/>
        <v>0</v>
      </c>
      <c r="CR28" s="90"/>
      <c r="CS28" s="90"/>
      <c r="CT28" s="90"/>
      <c r="CU28" s="116"/>
      <c r="CV28" s="16">
        <f t="shared" si="19"/>
        <v>0</v>
      </c>
      <c r="CW28" s="90"/>
      <c r="CX28" s="90"/>
      <c r="CY28" s="90"/>
      <c r="CZ28" s="116"/>
      <c r="DA28" s="16">
        <f t="shared" si="20"/>
        <v>0</v>
      </c>
      <c r="DB28" s="90"/>
      <c r="DC28" s="90"/>
      <c r="DD28" s="90"/>
      <c r="DE28" s="116"/>
      <c r="DF28" s="16">
        <f t="shared" si="21"/>
        <v>0</v>
      </c>
      <c r="DG28" s="90"/>
      <c r="DH28" s="90"/>
      <c r="DI28" s="90"/>
      <c r="DJ28" s="116"/>
      <c r="DK28" s="16">
        <f t="shared" si="22"/>
        <v>0</v>
      </c>
      <c r="DL28" s="90"/>
      <c r="DM28" s="90"/>
      <c r="DN28" s="90"/>
      <c r="DO28" s="116"/>
      <c r="DP28" s="16">
        <f t="shared" si="23"/>
        <v>0</v>
      </c>
      <c r="DQ28" s="90"/>
      <c r="DR28" s="90"/>
      <c r="DS28" s="90"/>
      <c r="DT28" s="116"/>
      <c r="DU28" s="16">
        <f t="shared" si="24"/>
        <v>0</v>
      </c>
      <c r="DV28" s="90"/>
      <c r="DW28" s="90"/>
      <c r="DX28" s="90"/>
      <c r="DY28" s="116"/>
      <c r="DZ28" s="16">
        <f t="shared" si="25"/>
        <v>0</v>
      </c>
      <c r="EA28" s="90"/>
      <c r="EB28" s="90"/>
      <c r="EC28" s="90"/>
      <c r="ED28" s="116"/>
      <c r="EE28" s="16">
        <f t="shared" si="26"/>
        <v>0</v>
      </c>
      <c r="EF28" s="90"/>
      <c r="EG28" s="90"/>
      <c r="EH28" s="90"/>
      <c r="EI28" s="116"/>
      <c r="EJ28" s="16">
        <f t="shared" si="27"/>
        <v>0</v>
      </c>
      <c r="EK28" s="90"/>
      <c r="EL28" s="90"/>
      <c r="EM28" s="90"/>
      <c r="EN28" s="116"/>
      <c r="EO28" s="16">
        <f t="shared" si="28"/>
        <v>0</v>
      </c>
      <c r="EP28" s="90"/>
      <c r="EQ28" s="90"/>
      <c r="ER28" s="90"/>
      <c r="ES28" s="116"/>
      <c r="ET28" s="16">
        <f t="shared" si="29"/>
        <v>0</v>
      </c>
      <c r="EU28" s="90"/>
      <c r="EV28" s="90"/>
      <c r="EW28" s="90"/>
      <c r="EX28" s="116"/>
      <c r="EY28" s="16">
        <f t="shared" si="30"/>
        <v>0</v>
      </c>
      <c r="EZ28" s="90"/>
      <c r="FA28" s="90"/>
      <c r="FB28" s="90"/>
      <c r="FC28" s="116"/>
      <c r="FD28" s="16">
        <f t="shared" si="31"/>
        <v>0</v>
      </c>
      <c r="FE28" s="90"/>
      <c r="FF28" s="90"/>
      <c r="FG28" s="90"/>
      <c r="FH28" s="116"/>
      <c r="FI28" s="16">
        <f t="shared" si="0"/>
        <v>0</v>
      </c>
      <c r="FJ28" s="90"/>
      <c r="FK28" s="90"/>
      <c r="FL28" s="90"/>
      <c r="FM28" s="116"/>
      <c r="FN28" s="16">
        <f t="shared" si="32"/>
        <v>0</v>
      </c>
      <c r="FO28" s="90"/>
      <c r="FP28" s="90"/>
      <c r="FQ28" s="90"/>
      <c r="FR28" s="116"/>
      <c r="FS28" s="16">
        <f t="shared" si="33"/>
        <v>0</v>
      </c>
      <c r="FT28" s="90"/>
      <c r="FU28" s="90"/>
      <c r="FV28" s="90"/>
      <c r="FW28" s="116"/>
      <c r="FX28" s="16">
        <f t="shared" si="34"/>
        <v>0</v>
      </c>
      <c r="FY28" s="90"/>
      <c r="FZ28" s="90"/>
      <c r="GA28" s="90"/>
      <c r="GB28" s="116"/>
      <c r="GC28" s="16">
        <f t="shared" si="35"/>
        <v>0</v>
      </c>
      <c r="GD28" s="90"/>
      <c r="GE28" s="90"/>
      <c r="GF28" s="90"/>
      <c r="GG28" s="116"/>
      <c r="GH28" s="16">
        <f t="shared" si="36"/>
        <v>0</v>
      </c>
      <c r="GI28" s="90"/>
      <c r="GJ28" s="90"/>
      <c r="GK28" s="90"/>
      <c r="GL28" s="116"/>
      <c r="GM28" s="16">
        <f t="shared" si="37"/>
        <v>0</v>
      </c>
      <c r="GN28" s="90"/>
      <c r="GO28" s="90"/>
      <c r="GP28" s="90"/>
      <c r="GQ28" s="116"/>
      <c r="GR28" s="16">
        <f t="shared" si="38"/>
        <v>0</v>
      </c>
      <c r="GS28" s="90"/>
      <c r="GT28" s="90"/>
      <c r="GU28" s="90"/>
      <c r="GV28" s="116"/>
      <c r="GW28" s="16">
        <f t="shared" si="39"/>
        <v>0</v>
      </c>
      <c r="GX28" s="90"/>
      <c r="GY28" s="90"/>
      <c r="GZ28" s="90"/>
      <c r="HA28" s="116"/>
      <c r="HB28" s="16">
        <f t="shared" si="40"/>
        <v>0</v>
      </c>
      <c r="HC28" s="90"/>
      <c r="HD28" s="90"/>
      <c r="HE28" s="90"/>
      <c r="HF28" s="116"/>
      <c r="HG28" s="16">
        <f t="shared" si="41"/>
        <v>0</v>
      </c>
      <c r="HH28" s="90"/>
      <c r="HI28" s="90"/>
      <c r="HJ28" s="90"/>
      <c r="HK28" s="116"/>
      <c r="HL28" s="16">
        <f t="shared" si="42"/>
        <v>0</v>
      </c>
      <c r="HM28" s="90"/>
      <c r="HN28" s="90"/>
      <c r="HO28" s="90"/>
      <c r="HP28" s="116"/>
      <c r="HQ28" s="16">
        <f t="shared" si="43"/>
        <v>0</v>
      </c>
      <c r="HR28" s="90"/>
      <c r="HS28" s="90"/>
      <c r="HT28" s="90"/>
      <c r="HU28" s="116"/>
      <c r="HV28" s="16">
        <f t="shared" si="44"/>
        <v>0</v>
      </c>
      <c r="HW28" s="90"/>
      <c r="HX28" s="90"/>
      <c r="HY28" s="90"/>
      <c r="HZ28" s="116"/>
      <c r="IA28" s="16">
        <f t="shared" si="45"/>
        <v>0</v>
      </c>
      <c r="IB28" s="90"/>
      <c r="IC28" s="90"/>
      <c r="ID28" s="90"/>
      <c r="IE28" s="116"/>
      <c r="IF28" s="16">
        <f t="shared" si="46"/>
        <v>0</v>
      </c>
      <c r="IG28" s="90"/>
      <c r="IH28" s="90"/>
      <c r="II28" s="90"/>
      <c r="IJ28" s="116"/>
      <c r="IK28" s="16">
        <f t="shared" si="47"/>
        <v>0</v>
      </c>
      <c r="IL28" s="90"/>
      <c r="IM28" s="90"/>
      <c r="IN28" s="90"/>
      <c r="IO28" s="116"/>
      <c r="IP28" s="16">
        <f t="shared" si="48"/>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v>200</v>
      </c>
      <c r="AC29" s="116"/>
      <c r="AD29" s="16">
        <f t="shared" si="6"/>
        <v>200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49"/>
        <v>0</v>
      </c>
      <c r="CC29" s="90"/>
      <c r="CD29" s="90"/>
      <c r="CE29" s="90"/>
      <c r="CF29" s="116"/>
      <c r="CG29" s="16">
        <f t="shared" si="16"/>
        <v>0</v>
      </c>
      <c r="CH29" s="90"/>
      <c r="CI29" s="90"/>
      <c r="CJ29" s="90"/>
      <c r="CK29" s="116"/>
      <c r="CL29" s="16">
        <f t="shared" si="17"/>
        <v>0</v>
      </c>
      <c r="CM29" s="90"/>
      <c r="CN29" s="90"/>
      <c r="CO29" s="90"/>
      <c r="CP29" s="116"/>
      <c r="CQ29" s="16">
        <f t="shared" si="18"/>
        <v>0</v>
      </c>
      <c r="CR29" s="90"/>
      <c r="CS29" s="90"/>
      <c r="CT29" s="90"/>
      <c r="CU29" s="116"/>
      <c r="CV29" s="16">
        <f t="shared" si="19"/>
        <v>0</v>
      </c>
      <c r="CW29" s="90"/>
      <c r="CX29" s="90"/>
      <c r="CY29" s="90"/>
      <c r="CZ29" s="116"/>
      <c r="DA29" s="16">
        <f t="shared" si="20"/>
        <v>0</v>
      </c>
      <c r="DB29" s="90"/>
      <c r="DC29" s="90"/>
      <c r="DD29" s="90"/>
      <c r="DE29" s="116"/>
      <c r="DF29" s="16">
        <f t="shared" si="21"/>
        <v>0</v>
      </c>
      <c r="DG29" s="90"/>
      <c r="DH29" s="90"/>
      <c r="DI29" s="90"/>
      <c r="DJ29" s="116"/>
      <c r="DK29" s="16">
        <f t="shared" si="22"/>
        <v>0</v>
      </c>
      <c r="DL29" s="90"/>
      <c r="DM29" s="90"/>
      <c r="DN29" s="90"/>
      <c r="DO29" s="116"/>
      <c r="DP29" s="16">
        <f t="shared" si="23"/>
        <v>0</v>
      </c>
      <c r="DQ29" s="90"/>
      <c r="DR29" s="90"/>
      <c r="DS29" s="90"/>
      <c r="DT29" s="116"/>
      <c r="DU29" s="16">
        <f t="shared" si="24"/>
        <v>0</v>
      </c>
      <c r="DV29" s="90"/>
      <c r="DW29" s="90"/>
      <c r="DX29" s="90"/>
      <c r="DY29" s="116"/>
      <c r="DZ29" s="16">
        <f t="shared" si="25"/>
        <v>0</v>
      </c>
      <c r="EA29" s="90"/>
      <c r="EB29" s="90"/>
      <c r="EC29" s="90"/>
      <c r="ED29" s="116"/>
      <c r="EE29" s="16">
        <f t="shared" si="26"/>
        <v>0</v>
      </c>
      <c r="EF29" s="90"/>
      <c r="EG29" s="90"/>
      <c r="EH29" s="90"/>
      <c r="EI29" s="116"/>
      <c r="EJ29" s="16">
        <f t="shared" si="27"/>
        <v>0</v>
      </c>
      <c r="EK29" s="90"/>
      <c r="EL29" s="90"/>
      <c r="EM29" s="90"/>
      <c r="EN29" s="116"/>
      <c r="EO29" s="16">
        <f t="shared" si="28"/>
        <v>0</v>
      </c>
      <c r="EP29" s="90"/>
      <c r="EQ29" s="90"/>
      <c r="ER29" s="90"/>
      <c r="ES29" s="116"/>
      <c r="ET29" s="16">
        <f t="shared" si="29"/>
        <v>0</v>
      </c>
      <c r="EU29" s="90"/>
      <c r="EV29" s="90"/>
      <c r="EW29" s="90"/>
      <c r="EX29" s="116"/>
      <c r="EY29" s="16">
        <f t="shared" si="30"/>
        <v>0</v>
      </c>
      <c r="EZ29" s="90"/>
      <c r="FA29" s="90"/>
      <c r="FB29" s="90"/>
      <c r="FC29" s="116"/>
      <c r="FD29" s="16">
        <f t="shared" si="31"/>
        <v>0</v>
      </c>
      <c r="FE29" s="90"/>
      <c r="FF29" s="90"/>
      <c r="FG29" s="90"/>
      <c r="FH29" s="116"/>
      <c r="FI29" s="16">
        <f t="shared" si="0"/>
        <v>0</v>
      </c>
      <c r="FJ29" s="90"/>
      <c r="FK29" s="90"/>
      <c r="FL29" s="90"/>
      <c r="FM29" s="116"/>
      <c r="FN29" s="16">
        <f t="shared" si="32"/>
        <v>0</v>
      </c>
      <c r="FO29" s="90"/>
      <c r="FP29" s="90"/>
      <c r="FQ29" s="90"/>
      <c r="FR29" s="116"/>
      <c r="FS29" s="16">
        <f t="shared" si="33"/>
        <v>0</v>
      </c>
      <c r="FT29" s="90"/>
      <c r="FU29" s="90"/>
      <c r="FV29" s="90"/>
      <c r="FW29" s="116"/>
      <c r="FX29" s="16">
        <f t="shared" si="34"/>
        <v>0</v>
      </c>
      <c r="FY29" s="90"/>
      <c r="FZ29" s="90"/>
      <c r="GA29" s="90"/>
      <c r="GB29" s="116"/>
      <c r="GC29" s="16">
        <f t="shared" si="35"/>
        <v>0</v>
      </c>
      <c r="GD29" s="90"/>
      <c r="GE29" s="90"/>
      <c r="GF29" s="90"/>
      <c r="GG29" s="116"/>
      <c r="GH29" s="16">
        <f t="shared" si="36"/>
        <v>0</v>
      </c>
      <c r="GI29" s="90"/>
      <c r="GJ29" s="90"/>
      <c r="GK29" s="90"/>
      <c r="GL29" s="116"/>
      <c r="GM29" s="16">
        <f t="shared" si="37"/>
        <v>0</v>
      </c>
      <c r="GN29" s="90"/>
      <c r="GO29" s="90"/>
      <c r="GP29" s="90"/>
      <c r="GQ29" s="116"/>
      <c r="GR29" s="16">
        <f t="shared" si="38"/>
        <v>0</v>
      </c>
      <c r="GS29" s="90"/>
      <c r="GT29" s="90"/>
      <c r="GU29" s="90"/>
      <c r="GV29" s="116"/>
      <c r="GW29" s="16">
        <f t="shared" si="39"/>
        <v>0</v>
      </c>
      <c r="GX29" s="90"/>
      <c r="GY29" s="90"/>
      <c r="GZ29" s="90"/>
      <c r="HA29" s="116"/>
      <c r="HB29" s="16">
        <f t="shared" si="40"/>
        <v>0</v>
      </c>
      <c r="HC29" s="90"/>
      <c r="HD29" s="90"/>
      <c r="HE29" s="90"/>
      <c r="HF29" s="116"/>
      <c r="HG29" s="16">
        <f t="shared" si="41"/>
        <v>0</v>
      </c>
      <c r="HH29" s="90"/>
      <c r="HI29" s="90"/>
      <c r="HJ29" s="90"/>
      <c r="HK29" s="116"/>
      <c r="HL29" s="16">
        <f t="shared" si="42"/>
        <v>0</v>
      </c>
      <c r="HM29" s="90"/>
      <c r="HN29" s="90"/>
      <c r="HO29" s="90"/>
      <c r="HP29" s="116"/>
      <c r="HQ29" s="16">
        <f t="shared" si="43"/>
        <v>0</v>
      </c>
      <c r="HR29" s="90"/>
      <c r="HS29" s="90"/>
      <c r="HT29" s="90"/>
      <c r="HU29" s="116"/>
      <c r="HV29" s="16">
        <f t="shared" si="44"/>
        <v>0</v>
      </c>
      <c r="HW29" s="90"/>
      <c r="HX29" s="90"/>
      <c r="HY29" s="90"/>
      <c r="HZ29" s="116"/>
      <c r="IA29" s="16">
        <f t="shared" si="45"/>
        <v>0</v>
      </c>
      <c r="IB29" s="90"/>
      <c r="IC29" s="90"/>
      <c r="ID29" s="90"/>
      <c r="IE29" s="116"/>
      <c r="IF29" s="16">
        <f t="shared" si="46"/>
        <v>0</v>
      </c>
      <c r="IG29" s="90"/>
      <c r="IH29" s="90"/>
      <c r="II29" s="90"/>
      <c r="IJ29" s="116"/>
      <c r="IK29" s="16">
        <f t="shared" si="47"/>
        <v>0</v>
      </c>
      <c r="IL29" s="90"/>
      <c r="IM29" s="90"/>
      <c r="IN29" s="90"/>
      <c r="IO29" s="116"/>
      <c r="IP29" s="16">
        <f t="shared" si="48"/>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v>92</v>
      </c>
      <c r="AC30" s="116"/>
      <c r="AD30" s="16">
        <f t="shared" si="6"/>
        <v>92</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49"/>
        <v>0</v>
      </c>
      <c r="CC30" s="90"/>
      <c r="CD30" s="90"/>
      <c r="CE30" s="90"/>
      <c r="CF30" s="116"/>
      <c r="CG30" s="16">
        <f t="shared" si="16"/>
        <v>0</v>
      </c>
      <c r="CH30" s="90"/>
      <c r="CI30" s="90"/>
      <c r="CJ30" s="90"/>
      <c r="CK30" s="116"/>
      <c r="CL30" s="16">
        <f t="shared" si="17"/>
        <v>0</v>
      </c>
      <c r="CM30" s="90"/>
      <c r="CN30" s="90"/>
      <c r="CO30" s="90"/>
      <c r="CP30" s="116"/>
      <c r="CQ30" s="16">
        <f t="shared" si="18"/>
        <v>0</v>
      </c>
      <c r="CR30" s="90"/>
      <c r="CS30" s="90"/>
      <c r="CT30" s="90"/>
      <c r="CU30" s="116"/>
      <c r="CV30" s="16">
        <f t="shared" si="19"/>
        <v>0</v>
      </c>
      <c r="CW30" s="90"/>
      <c r="CX30" s="90"/>
      <c r="CY30" s="90"/>
      <c r="CZ30" s="116"/>
      <c r="DA30" s="16">
        <f t="shared" si="20"/>
        <v>0</v>
      </c>
      <c r="DB30" s="90"/>
      <c r="DC30" s="90"/>
      <c r="DD30" s="90"/>
      <c r="DE30" s="116"/>
      <c r="DF30" s="16">
        <f t="shared" si="21"/>
        <v>0</v>
      </c>
      <c r="DG30" s="90"/>
      <c r="DH30" s="90"/>
      <c r="DI30" s="90"/>
      <c r="DJ30" s="116"/>
      <c r="DK30" s="16">
        <f t="shared" si="22"/>
        <v>0</v>
      </c>
      <c r="DL30" s="90"/>
      <c r="DM30" s="90"/>
      <c r="DN30" s="90"/>
      <c r="DO30" s="116"/>
      <c r="DP30" s="16">
        <f t="shared" si="23"/>
        <v>0</v>
      </c>
      <c r="DQ30" s="90"/>
      <c r="DR30" s="90"/>
      <c r="DS30" s="90"/>
      <c r="DT30" s="116"/>
      <c r="DU30" s="16">
        <f t="shared" si="24"/>
        <v>0</v>
      </c>
      <c r="DV30" s="90"/>
      <c r="DW30" s="90"/>
      <c r="DX30" s="90"/>
      <c r="DY30" s="116"/>
      <c r="DZ30" s="16">
        <f t="shared" si="25"/>
        <v>0</v>
      </c>
      <c r="EA30" s="90"/>
      <c r="EB30" s="90"/>
      <c r="EC30" s="90"/>
      <c r="ED30" s="116"/>
      <c r="EE30" s="16">
        <f t="shared" si="26"/>
        <v>0</v>
      </c>
      <c r="EF30" s="90"/>
      <c r="EG30" s="90"/>
      <c r="EH30" s="90"/>
      <c r="EI30" s="116"/>
      <c r="EJ30" s="16">
        <f t="shared" si="27"/>
        <v>0</v>
      </c>
      <c r="EK30" s="90"/>
      <c r="EL30" s="90"/>
      <c r="EM30" s="90"/>
      <c r="EN30" s="116"/>
      <c r="EO30" s="16">
        <f t="shared" si="28"/>
        <v>0</v>
      </c>
      <c r="EP30" s="90"/>
      <c r="EQ30" s="90"/>
      <c r="ER30" s="90"/>
      <c r="ES30" s="116"/>
      <c r="ET30" s="16">
        <f t="shared" si="29"/>
        <v>0</v>
      </c>
      <c r="EU30" s="90"/>
      <c r="EV30" s="90"/>
      <c r="EW30" s="90"/>
      <c r="EX30" s="116"/>
      <c r="EY30" s="16">
        <f t="shared" si="30"/>
        <v>0</v>
      </c>
      <c r="EZ30" s="90"/>
      <c r="FA30" s="90"/>
      <c r="FB30" s="90"/>
      <c r="FC30" s="116"/>
      <c r="FD30" s="16">
        <f t="shared" si="31"/>
        <v>0</v>
      </c>
      <c r="FE30" s="90"/>
      <c r="FF30" s="90"/>
      <c r="FG30" s="90"/>
      <c r="FH30" s="116"/>
      <c r="FI30" s="16">
        <f t="shared" si="0"/>
        <v>0</v>
      </c>
      <c r="FJ30" s="90"/>
      <c r="FK30" s="90"/>
      <c r="FL30" s="90"/>
      <c r="FM30" s="116"/>
      <c r="FN30" s="16">
        <f t="shared" si="32"/>
        <v>0</v>
      </c>
      <c r="FO30" s="90"/>
      <c r="FP30" s="90"/>
      <c r="FQ30" s="90"/>
      <c r="FR30" s="116"/>
      <c r="FS30" s="16">
        <f t="shared" si="33"/>
        <v>0</v>
      </c>
      <c r="FT30" s="90"/>
      <c r="FU30" s="90"/>
      <c r="FV30" s="90"/>
      <c r="FW30" s="116"/>
      <c r="FX30" s="16">
        <f t="shared" si="34"/>
        <v>0</v>
      </c>
      <c r="FY30" s="90"/>
      <c r="FZ30" s="90"/>
      <c r="GA30" s="90"/>
      <c r="GB30" s="116"/>
      <c r="GC30" s="16">
        <f t="shared" si="35"/>
        <v>0</v>
      </c>
      <c r="GD30" s="90"/>
      <c r="GE30" s="90"/>
      <c r="GF30" s="90"/>
      <c r="GG30" s="116"/>
      <c r="GH30" s="16">
        <f t="shared" si="36"/>
        <v>0</v>
      </c>
      <c r="GI30" s="90"/>
      <c r="GJ30" s="90"/>
      <c r="GK30" s="90"/>
      <c r="GL30" s="116"/>
      <c r="GM30" s="16">
        <f t="shared" si="37"/>
        <v>0</v>
      </c>
      <c r="GN30" s="90"/>
      <c r="GO30" s="90"/>
      <c r="GP30" s="90"/>
      <c r="GQ30" s="116"/>
      <c r="GR30" s="16">
        <f t="shared" si="38"/>
        <v>0</v>
      </c>
      <c r="GS30" s="90"/>
      <c r="GT30" s="90"/>
      <c r="GU30" s="90"/>
      <c r="GV30" s="116"/>
      <c r="GW30" s="16">
        <f t="shared" si="39"/>
        <v>0</v>
      </c>
      <c r="GX30" s="90"/>
      <c r="GY30" s="90"/>
      <c r="GZ30" s="90"/>
      <c r="HA30" s="116"/>
      <c r="HB30" s="16">
        <f t="shared" si="40"/>
        <v>0</v>
      </c>
      <c r="HC30" s="90"/>
      <c r="HD30" s="90"/>
      <c r="HE30" s="90"/>
      <c r="HF30" s="116"/>
      <c r="HG30" s="16">
        <f t="shared" si="41"/>
        <v>0</v>
      </c>
      <c r="HH30" s="90"/>
      <c r="HI30" s="90"/>
      <c r="HJ30" s="90"/>
      <c r="HK30" s="116"/>
      <c r="HL30" s="16">
        <f t="shared" si="42"/>
        <v>0</v>
      </c>
      <c r="HM30" s="90"/>
      <c r="HN30" s="90"/>
      <c r="HO30" s="90"/>
      <c r="HP30" s="116"/>
      <c r="HQ30" s="16">
        <f t="shared" si="43"/>
        <v>0</v>
      </c>
      <c r="HR30" s="90"/>
      <c r="HS30" s="90"/>
      <c r="HT30" s="90"/>
      <c r="HU30" s="116"/>
      <c r="HV30" s="16">
        <f t="shared" si="44"/>
        <v>0</v>
      </c>
      <c r="HW30" s="90"/>
      <c r="HX30" s="90"/>
      <c r="HY30" s="90"/>
      <c r="HZ30" s="116"/>
      <c r="IA30" s="16">
        <f t="shared" si="45"/>
        <v>0</v>
      </c>
      <c r="IB30" s="90"/>
      <c r="IC30" s="90"/>
      <c r="ID30" s="90"/>
      <c r="IE30" s="116"/>
      <c r="IF30" s="16">
        <f t="shared" si="46"/>
        <v>0</v>
      </c>
      <c r="IG30" s="90"/>
      <c r="IH30" s="90"/>
      <c r="II30" s="90"/>
      <c r="IJ30" s="116"/>
      <c r="IK30" s="16">
        <f t="shared" si="47"/>
        <v>0</v>
      </c>
      <c r="IL30" s="90"/>
      <c r="IM30" s="90"/>
      <c r="IN30" s="90"/>
      <c r="IO30" s="116"/>
      <c r="IP30" s="16">
        <f t="shared" si="48"/>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v>50</v>
      </c>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49"/>
        <v>0</v>
      </c>
      <c r="CC31" s="90"/>
      <c r="CD31" s="90"/>
      <c r="CE31" s="90"/>
      <c r="CF31" s="116"/>
      <c r="CG31" s="16">
        <f t="shared" si="16"/>
        <v>0</v>
      </c>
      <c r="CH31" s="90"/>
      <c r="CI31" s="90"/>
      <c r="CJ31" s="90"/>
      <c r="CK31" s="116"/>
      <c r="CL31" s="16">
        <f t="shared" si="17"/>
        <v>0</v>
      </c>
      <c r="CM31" s="90"/>
      <c r="CN31" s="90"/>
      <c r="CO31" s="90"/>
      <c r="CP31" s="116"/>
      <c r="CQ31" s="16">
        <f t="shared" si="18"/>
        <v>0</v>
      </c>
      <c r="CR31" s="90"/>
      <c r="CS31" s="90"/>
      <c r="CT31" s="90"/>
      <c r="CU31" s="116"/>
      <c r="CV31" s="16">
        <f t="shared" si="19"/>
        <v>0</v>
      </c>
      <c r="CW31" s="90"/>
      <c r="CX31" s="90"/>
      <c r="CY31" s="90"/>
      <c r="CZ31" s="116"/>
      <c r="DA31" s="16">
        <f t="shared" si="20"/>
        <v>0</v>
      </c>
      <c r="DB31" s="90"/>
      <c r="DC31" s="90"/>
      <c r="DD31" s="90"/>
      <c r="DE31" s="116"/>
      <c r="DF31" s="16">
        <f t="shared" si="21"/>
        <v>0</v>
      </c>
      <c r="DG31" s="90"/>
      <c r="DH31" s="90"/>
      <c r="DI31" s="90"/>
      <c r="DJ31" s="116"/>
      <c r="DK31" s="16">
        <f t="shared" si="22"/>
        <v>0</v>
      </c>
      <c r="DL31" s="90"/>
      <c r="DM31" s="90"/>
      <c r="DN31" s="90"/>
      <c r="DO31" s="116"/>
      <c r="DP31" s="16">
        <f t="shared" si="23"/>
        <v>0</v>
      </c>
      <c r="DQ31" s="90"/>
      <c r="DR31" s="90"/>
      <c r="DS31" s="90"/>
      <c r="DT31" s="116"/>
      <c r="DU31" s="16">
        <f t="shared" si="24"/>
        <v>0</v>
      </c>
      <c r="DV31" s="90"/>
      <c r="DW31" s="90"/>
      <c r="DX31" s="90"/>
      <c r="DY31" s="116"/>
      <c r="DZ31" s="16">
        <f t="shared" si="25"/>
        <v>0</v>
      </c>
      <c r="EA31" s="90"/>
      <c r="EB31" s="90"/>
      <c r="EC31" s="90"/>
      <c r="ED31" s="116"/>
      <c r="EE31" s="16">
        <f t="shared" si="26"/>
        <v>0</v>
      </c>
      <c r="EF31" s="90"/>
      <c r="EG31" s="90"/>
      <c r="EH31" s="90"/>
      <c r="EI31" s="116"/>
      <c r="EJ31" s="16">
        <f t="shared" si="27"/>
        <v>0</v>
      </c>
      <c r="EK31" s="90"/>
      <c r="EL31" s="90"/>
      <c r="EM31" s="90"/>
      <c r="EN31" s="116"/>
      <c r="EO31" s="16">
        <f t="shared" si="28"/>
        <v>0</v>
      </c>
      <c r="EP31" s="90"/>
      <c r="EQ31" s="90"/>
      <c r="ER31" s="90"/>
      <c r="ES31" s="116"/>
      <c r="ET31" s="16">
        <f t="shared" si="29"/>
        <v>0</v>
      </c>
      <c r="EU31" s="90"/>
      <c r="EV31" s="90"/>
      <c r="EW31" s="90"/>
      <c r="EX31" s="116"/>
      <c r="EY31" s="16">
        <f t="shared" si="30"/>
        <v>0</v>
      </c>
      <c r="EZ31" s="90"/>
      <c r="FA31" s="90"/>
      <c r="FB31" s="90"/>
      <c r="FC31" s="116"/>
      <c r="FD31" s="16">
        <f t="shared" si="31"/>
        <v>0</v>
      </c>
      <c r="FE31" s="90"/>
      <c r="FF31" s="90"/>
      <c r="FG31" s="90"/>
      <c r="FH31" s="116"/>
      <c r="FI31" s="16">
        <f t="shared" si="0"/>
        <v>0</v>
      </c>
      <c r="FJ31" s="90"/>
      <c r="FK31" s="90"/>
      <c r="FL31" s="90"/>
      <c r="FM31" s="116"/>
      <c r="FN31" s="16">
        <f t="shared" si="32"/>
        <v>0</v>
      </c>
      <c r="FO31" s="90"/>
      <c r="FP31" s="90"/>
      <c r="FQ31" s="90"/>
      <c r="FR31" s="116"/>
      <c r="FS31" s="16">
        <f t="shared" si="33"/>
        <v>0</v>
      </c>
      <c r="FT31" s="90"/>
      <c r="FU31" s="90"/>
      <c r="FV31" s="90"/>
      <c r="FW31" s="116"/>
      <c r="FX31" s="16">
        <f t="shared" si="34"/>
        <v>0</v>
      </c>
      <c r="FY31" s="90"/>
      <c r="FZ31" s="90"/>
      <c r="GA31" s="90"/>
      <c r="GB31" s="116"/>
      <c r="GC31" s="16">
        <f t="shared" si="35"/>
        <v>0</v>
      </c>
      <c r="GD31" s="90"/>
      <c r="GE31" s="90"/>
      <c r="GF31" s="90"/>
      <c r="GG31" s="116"/>
      <c r="GH31" s="16">
        <f t="shared" si="36"/>
        <v>0</v>
      </c>
      <c r="GI31" s="90"/>
      <c r="GJ31" s="90"/>
      <c r="GK31" s="90"/>
      <c r="GL31" s="116"/>
      <c r="GM31" s="16">
        <f t="shared" si="37"/>
        <v>0</v>
      </c>
      <c r="GN31" s="90"/>
      <c r="GO31" s="90"/>
      <c r="GP31" s="90"/>
      <c r="GQ31" s="116"/>
      <c r="GR31" s="16">
        <f t="shared" si="38"/>
        <v>0</v>
      </c>
      <c r="GS31" s="90"/>
      <c r="GT31" s="90"/>
      <c r="GU31" s="90"/>
      <c r="GV31" s="116"/>
      <c r="GW31" s="16">
        <f t="shared" si="39"/>
        <v>0</v>
      </c>
      <c r="GX31" s="90"/>
      <c r="GY31" s="90"/>
      <c r="GZ31" s="90"/>
      <c r="HA31" s="116"/>
      <c r="HB31" s="16">
        <f t="shared" si="40"/>
        <v>0</v>
      </c>
      <c r="HC31" s="90"/>
      <c r="HD31" s="90"/>
      <c r="HE31" s="90"/>
      <c r="HF31" s="116"/>
      <c r="HG31" s="16">
        <f t="shared" si="41"/>
        <v>0</v>
      </c>
      <c r="HH31" s="90"/>
      <c r="HI31" s="90"/>
      <c r="HJ31" s="90"/>
      <c r="HK31" s="116"/>
      <c r="HL31" s="16">
        <f t="shared" si="42"/>
        <v>0</v>
      </c>
      <c r="HM31" s="90"/>
      <c r="HN31" s="90"/>
      <c r="HO31" s="90"/>
      <c r="HP31" s="116"/>
      <c r="HQ31" s="16">
        <f t="shared" si="43"/>
        <v>0</v>
      </c>
      <c r="HR31" s="90"/>
      <c r="HS31" s="90"/>
      <c r="HT31" s="90"/>
      <c r="HU31" s="116"/>
      <c r="HV31" s="16">
        <f t="shared" si="44"/>
        <v>0</v>
      </c>
      <c r="HW31" s="90"/>
      <c r="HX31" s="90"/>
      <c r="HY31" s="90"/>
      <c r="HZ31" s="116"/>
      <c r="IA31" s="16">
        <f t="shared" si="45"/>
        <v>0</v>
      </c>
      <c r="IB31" s="90"/>
      <c r="IC31" s="90"/>
      <c r="ID31" s="90"/>
      <c r="IE31" s="116"/>
      <c r="IF31" s="16">
        <f t="shared" si="46"/>
        <v>0</v>
      </c>
      <c r="IG31" s="90"/>
      <c r="IH31" s="90"/>
      <c r="II31" s="90"/>
      <c r="IJ31" s="116"/>
      <c r="IK31" s="16">
        <f t="shared" si="47"/>
        <v>0</v>
      </c>
      <c r="IL31" s="90"/>
      <c r="IM31" s="90"/>
      <c r="IN31" s="90"/>
      <c r="IO31" s="116"/>
      <c r="IP31" s="16">
        <f t="shared" si="48"/>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49"/>
        <v>0</v>
      </c>
      <c r="CC32" s="90"/>
      <c r="CD32" s="90"/>
      <c r="CE32" s="90"/>
      <c r="CF32" s="116"/>
      <c r="CG32" s="16">
        <f t="shared" si="16"/>
        <v>0</v>
      </c>
      <c r="CH32" s="90"/>
      <c r="CI32" s="90"/>
      <c r="CJ32" s="90"/>
      <c r="CK32" s="116"/>
      <c r="CL32" s="16">
        <f t="shared" si="17"/>
        <v>0</v>
      </c>
      <c r="CM32" s="90"/>
      <c r="CN32" s="90"/>
      <c r="CO32" s="90"/>
      <c r="CP32" s="116"/>
      <c r="CQ32" s="16">
        <f t="shared" si="18"/>
        <v>0</v>
      </c>
      <c r="CR32" s="90"/>
      <c r="CS32" s="90"/>
      <c r="CT32" s="90"/>
      <c r="CU32" s="116"/>
      <c r="CV32" s="16">
        <f t="shared" si="19"/>
        <v>0</v>
      </c>
      <c r="CW32" s="90"/>
      <c r="CX32" s="90"/>
      <c r="CY32" s="90"/>
      <c r="CZ32" s="116"/>
      <c r="DA32" s="16">
        <f t="shared" si="20"/>
        <v>0</v>
      </c>
      <c r="DB32" s="90"/>
      <c r="DC32" s="90"/>
      <c r="DD32" s="90"/>
      <c r="DE32" s="116"/>
      <c r="DF32" s="16">
        <f t="shared" si="21"/>
        <v>0</v>
      </c>
      <c r="DG32" s="90"/>
      <c r="DH32" s="90"/>
      <c r="DI32" s="90"/>
      <c r="DJ32" s="116"/>
      <c r="DK32" s="16">
        <f t="shared" si="22"/>
        <v>0</v>
      </c>
      <c r="DL32" s="90"/>
      <c r="DM32" s="90"/>
      <c r="DN32" s="90"/>
      <c r="DO32" s="116"/>
      <c r="DP32" s="16">
        <f t="shared" si="23"/>
        <v>0</v>
      </c>
      <c r="DQ32" s="90"/>
      <c r="DR32" s="90"/>
      <c r="DS32" s="90"/>
      <c r="DT32" s="116"/>
      <c r="DU32" s="16">
        <f t="shared" si="24"/>
        <v>0</v>
      </c>
      <c r="DV32" s="90"/>
      <c r="DW32" s="90"/>
      <c r="DX32" s="90"/>
      <c r="DY32" s="116"/>
      <c r="DZ32" s="16">
        <f t="shared" si="25"/>
        <v>0</v>
      </c>
      <c r="EA32" s="90"/>
      <c r="EB32" s="90"/>
      <c r="EC32" s="90"/>
      <c r="ED32" s="116"/>
      <c r="EE32" s="16">
        <f t="shared" si="26"/>
        <v>0</v>
      </c>
      <c r="EF32" s="90"/>
      <c r="EG32" s="90"/>
      <c r="EH32" s="90"/>
      <c r="EI32" s="116"/>
      <c r="EJ32" s="16">
        <f t="shared" si="27"/>
        <v>0</v>
      </c>
      <c r="EK32" s="90"/>
      <c r="EL32" s="90"/>
      <c r="EM32" s="90"/>
      <c r="EN32" s="116"/>
      <c r="EO32" s="16">
        <f t="shared" si="28"/>
        <v>0</v>
      </c>
      <c r="EP32" s="90"/>
      <c r="EQ32" s="90"/>
      <c r="ER32" s="90"/>
      <c r="ES32" s="116"/>
      <c r="ET32" s="16">
        <f t="shared" si="29"/>
        <v>0</v>
      </c>
      <c r="EU32" s="90"/>
      <c r="EV32" s="90"/>
      <c r="EW32" s="90"/>
      <c r="EX32" s="116"/>
      <c r="EY32" s="16">
        <f t="shared" si="30"/>
        <v>0</v>
      </c>
      <c r="EZ32" s="90"/>
      <c r="FA32" s="90"/>
      <c r="FB32" s="90"/>
      <c r="FC32" s="116"/>
      <c r="FD32" s="16">
        <f t="shared" si="31"/>
        <v>0</v>
      </c>
      <c r="FE32" s="90"/>
      <c r="FF32" s="90"/>
      <c r="FG32" s="90"/>
      <c r="FH32" s="116"/>
      <c r="FI32" s="16">
        <f t="shared" si="0"/>
        <v>0</v>
      </c>
      <c r="FJ32" s="90"/>
      <c r="FK32" s="90"/>
      <c r="FL32" s="90"/>
      <c r="FM32" s="116"/>
      <c r="FN32" s="16">
        <f t="shared" si="32"/>
        <v>0</v>
      </c>
      <c r="FO32" s="90"/>
      <c r="FP32" s="90"/>
      <c r="FQ32" s="90"/>
      <c r="FR32" s="116"/>
      <c r="FS32" s="16">
        <f t="shared" si="33"/>
        <v>0</v>
      </c>
      <c r="FT32" s="90"/>
      <c r="FU32" s="90"/>
      <c r="FV32" s="90"/>
      <c r="FW32" s="116"/>
      <c r="FX32" s="16">
        <f t="shared" si="34"/>
        <v>0</v>
      </c>
      <c r="FY32" s="90"/>
      <c r="FZ32" s="90"/>
      <c r="GA32" s="90"/>
      <c r="GB32" s="116"/>
      <c r="GC32" s="16">
        <f t="shared" si="35"/>
        <v>0</v>
      </c>
      <c r="GD32" s="90"/>
      <c r="GE32" s="90"/>
      <c r="GF32" s="90"/>
      <c r="GG32" s="116"/>
      <c r="GH32" s="16">
        <f t="shared" si="36"/>
        <v>0</v>
      </c>
      <c r="GI32" s="90"/>
      <c r="GJ32" s="90"/>
      <c r="GK32" s="90"/>
      <c r="GL32" s="116"/>
      <c r="GM32" s="16">
        <f t="shared" si="37"/>
        <v>0</v>
      </c>
      <c r="GN32" s="90"/>
      <c r="GO32" s="90"/>
      <c r="GP32" s="90"/>
      <c r="GQ32" s="116"/>
      <c r="GR32" s="16">
        <f t="shared" si="38"/>
        <v>0</v>
      </c>
      <c r="GS32" s="90"/>
      <c r="GT32" s="90"/>
      <c r="GU32" s="90"/>
      <c r="GV32" s="116"/>
      <c r="GW32" s="16">
        <f t="shared" si="39"/>
        <v>0</v>
      </c>
      <c r="GX32" s="90"/>
      <c r="GY32" s="90"/>
      <c r="GZ32" s="90"/>
      <c r="HA32" s="116"/>
      <c r="HB32" s="16">
        <f t="shared" si="40"/>
        <v>0</v>
      </c>
      <c r="HC32" s="90"/>
      <c r="HD32" s="90"/>
      <c r="HE32" s="90"/>
      <c r="HF32" s="116"/>
      <c r="HG32" s="16">
        <f t="shared" si="41"/>
        <v>0</v>
      </c>
      <c r="HH32" s="90"/>
      <c r="HI32" s="90"/>
      <c r="HJ32" s="90"/>
      <c r="HK32" s="116"/>
      <c r="HL32" s="16">
        <f t="shared" si="42"/>
        <v>0</v>
      </c>
      <c r="HM32" s="90"/>
      <c r="HN32" s="90"/>
      <c r="HO32" s="90"/>
      <c r="HP32" s="116"/>
      <c r="HQ32" s="16">
        <f t="shared" si="43"/>
        <v>0</v>
      </c>
      <c r="HR32" s="90"/>
      <c r="HS32" s="90"/>
      <c r="HT32" s="90"/>
      <c r="HU32" s="116"/>
      <c r="HV32" s="16">
        <f t="shared" si="44"/>
        <v>0</v>
      </c>
      <c r="HW32" s="90"/>
      <c r="HX32" s="90"/>
      <c r="HY32" s="90"/>
      <c r="HZ32" s="116"/>
      <c r="IA32" s="16">
        <f t="shared" si="45"/>
        <v>0</v>
      </c>
      <c r="IB32" s="90"/>
      <c r="IC32" s="90"/>
      <c r="ID32" s="90"/>
      <c r="IE32" s="116"/>
      <c r="IF32" s="16">
        <f t="shared" si="46"/>
        <v>0</v>
      </c>
      <c r="IG32" s="90"/>
      <c r="IH32" s="90"/>
      <c r="II32" s="90"/>
      <c r="IJ32" s="116"/>
      <c r="IK32" s="16">
        <f t="shared" si="47"/>
        <v>0</v>
      </c>
      <c r="IL32" s="90"/>
      <c r="IM32" s="90"/>
      <c r="IN32" s="90"/>
      <c r="IO32" s="116"/>
      <c r="IP32" s="16">
        <f t="shared" si="48"/>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49"/>
        <v>0</v>
      </c>
      <c r="CC33" s="90"/>
      <c r="CD33" s="90"/>
      <c r="CE33" s="90"/>
      <c r="CF33" s="116"/>
      <c r="CG33" s="16">
        <f t="shared" si="16"/>
        <v>0</v>
      </c>
      <c r="CH33" s="90"/>
      <c r="CI33" s="90"/>
      <c r="CJ33" s="90"/>
      <c r="CK33" s="116"/>
      <c r="CL33" s="16">
        <f t="shared" si="17"/>
        <v>0</v>
      </c>
      <c r="CM33" s="90"/>
      <c r="CN33" s="90"/>
      <c r="CO33" s="90"/>
      <c r="CP33" s="116"/>
      <c r="CQ33" s="16">
        <f t="shared" si="18"/>
        <v>0</v>
      </c>
      <c r="CR33" s="90"/>
      <c r="CS33" s="90"/>
      <c r="CT33" s="90"/>
      <c r="CU33" s="116"/>
      <c r="CV33" s="16">
        <f t="shared" si="19"/>
        <v>0</v>
      </c>
      <c r="CW33" s="90"/>
      <c r="CX33" s="90"/>
      <c r="CY33" s="90"/>
      <c r="CZ33" s="116"/>
      <c r="DA33" s="16">
        <f t="shared" si="20"/>
        <v>0</v>
      </c>
      <c r="DB33" s="90"/>
      <c r="DC33" s="90"/>
      <c r="DD33" s="90"/>
      <c r="DE33" s="116"/>
      <c r="DF33" s="16">
        <f t="shared" si="21"/>
        <v>0</v>
      </c>
      <c r="DG33" s="90"/>
      <c r="DH33" s="90"/>
      <c r="DI33" s="90"/>
      <c r="DJ33" s="116"/>
      <c r="DK33" s="16">
        <f t="shared" si="22"/>
        <v>0</v>
      </c>
      <c r="DL33" s="90"/>
      <c r="DM33" s="90"/>
      <c r="DN33" s="90"/>
      <c r="DO33" s="116"/>
      <c r="DP33" s="16">
        <f t="shared" si="23"/>
        <v>0</v>
      </c>
      <c r="DQ33" s="90"/>
      <c r="DR33" s="90"/>
      <c r="DS33" s="90"/>
      <c r="DT33" s="116"/>
      <c r="DU33" s="16">
        <f t="shared" si="24"/>
        <v>0</v>
      </c>
      <c r="DV33" s="90"/>
      <c r="DW33" s="90"/>
      <c r="DX33" s="90"/>
      <c r="DY33" s="116"/>
      <c r="DZ33" s="16">
        <f t="shared" si="25"/>
        <v>0</v>
      </c>
      <c r="EA33" s="90"/>
      <c r="EB33" s="90"/>
      <c r="EC33" s="90"/>
      <c r="ED33" s="116"/>
      <c r="EE33" s="16">
        <f t="shared" si="26"/>
        <v>0</v>
      </c>
      <c r="EF33" s="90"/>
      <c r="EG33" s="90"/>
      <c r="EH33" s="90"/>
      <c r="EI33" s="116"/>
      <c r="EJ33" s="16">
        <f t="shared" si="27"/>
        <v>0</v>
      </c>
      <c r="EK33" s="90"/>
      <c r="EL33" s="90"/>
      <c r="EM33" s="90"/>
      <c r="EN33" s="116"/>
      <c r="EO33" s="16">
        <f t="shared" si="28"/>
        <v>0</v>
      </c>
      <c r="EP33" s="90"/>
      <c r="EQ33" s="90"/>
      <c r="ER33" s="90"/>
      <c r="ES33" s="116"/>
      <c r="ET33" s="16">
        <f t="shared" si="29"/>
        <v>0</v>
      </c>
      <c r="EU33" s="90"/>
      <c r="EV33" s="90"/>
      <c r="EW33" s="90"/>
      <c r="EX33" s="116"/>
      <c r="EY33" s="16">
        <f t="shared" si="30"/>
        <v>0</v>
      </c>
      <c r="EZ33" s="90"/>
      <c r="FA33" s="90"/>
      <c r="FB33" s="90"/>
      <c r="FC33" s="116"/>
      <c r="FD33" s="16">
        <f t="shared" si="31"/>
        <v>0</v>
      </c>
      <c r="FE33" s="90"/>
      <c r="FF33" s="90"/>
      <c r="FG33" s="90"/>
      <c r="FH33" s="116"/>
      <c r="FI33" s="16">
        <f t="shared" si="0"/>
        <v>0</v>
      </c>
      <c r="FJ33" s="90"/>
      <c r="FK33" s="90"/>
      <c r="FL33" s="90"/>
      <c r="FM33" s="116"/>
      <c r="FN33" s="16">
        <f t="shared" si="32"/>
        <v>0</v>
      </c>
      <c r="FO33" s="90"/>
      <c r="FP33" s="90"/>
      <c r="FQ33" s="90"/>
      <c r="FR33" s="116"/>
      <c r="FS33" s="16">
        <f t="shared" si="33"/>
        <v>0</v>
      </c>
      <c r="FT33" s="90"/>
      <c r="FU33" s="90"/>
      <c r="FV33" s="90"/>
      <c r="FW33" s="116"/>
      <c r="FX33" s="16">
        <f t="shared" si="34"/>
        <v>0</v>
      </c>
      <c r="FY33" s="90"/>
      <c r="FZ33" s="90"/>
      <c r="GA33" s="90"/>
      <c r="GB33" s="116"/>
      <c r="GC33" s="16">
        <f t="shared" si="35"/>
        <v>0</v>
      </c>
      <c r="GD33" s="90"/>
      <c r="GE33" s="90"/>
      <c r="GF33" s="90"/>
      <c r="GG33" s="116"/>
      <c r="GH33" s="16">
        <f t="shared" si="36"/>
        <v>0</v>
      </c>
      <c r="GI33" s="90"/>
      <c r="GJ33" s="90"/>
      <c r="GK33" s="90"/>
      <c r="GL33" s="116"/>
      <c r="GM33" s="16">
        <f t="shared" si="37"/>
        <v>0</v>
      </c>
      <c r="GN33" s="90"/>
      <c r="GO33" s="90"/>
      <c r="GP33" s="90"/>
      <c r="GQ33" s="116"/>
      <c r="GR33" s="16">
        <f t="shared" si="38"/>
        <v>0</v>
      </c>
      <c r="GS33" s="90"/>
      <c r="GT33" s="90"/>
      <c r="GU33" s="90"/>
      <c r="GV33" s="116"/>
      <c r="GW33" s="16">
        <f t="shared" si="39"/>
        <v>0</v>
      </c>
      <c r="GX33" s="90"/>
      <c r="GY33" s="90"/>
      <c r="GZ33" s="90"/>
      <c r="HA33" s="116"/>
      <c r="HB33" s="16">
        <f t="shared" si="40"/>
        <v>0</v>
      </c>
      <c r="HC33" s="90"/>
      <c r="HD33" s="90"/>
      <c r="HE33" s="90"/>
      <c r="HF33" s="116"/>
      <c r="HG33" s="16">
        <f t="shared" si="41"/>
        <v>0</v>
      </c>
      <c r="HH33" s="90"/>
      <c r="HI33" s="90"/>
      <c r="HJ33" s="90"/>
      <c r="HK33" s="116"/>
      <c r="HL33" s="16">
        <f t="shared" si="42"/>
        <v>0</v>
      </c>
      <c r="HM33" s="90"/>
      <c r="HN33" s="90"/>
      <c r="HO33" s="90"/>
      <c r="HP33" s="116"/>
      <c r="HQ33" s="16">
        <f t="shared" si="43"/>
        <v>0</v>
      </c>
      <c r="HR33" s="90"/>
      <c r="HS33" s="90"/>
      <c r="HT33" s="90"/>
      <c r="HU33" s="116"/>
      <c r="HV33" s="16">
        <f t="shared" si="44"/>
        <v>0</v>
      </c>
      <c r="HW33" s="90"/>
      <c r="HX33" s="90"/>
      <c r="HY33" s="90"/>
      <c r="HZ33" s="116"/>
      <c r="IA33" s="16">
        <f t="shared" si="45"/>
        <v>0</v>
      </c>
      <c r="IB33" s="90"/>
      <c r="IC33" s="90"/>
      <c r="ID33" s="90"/>
      <c r="IE33" s="116"/>
      <c r="IF33" s="16">
        <f t="shared" si="46"/>
        <v>0</v>
      </c>
      <c r="IG33" s="90"/>
      <c r="IH33" s="90"/>
      <c r="II33" s="90"/>
      <c r="IJ33" s="116"/>
      <c r="IK33" s="16">
        <f t="shared" si="47"/>
        <v>0</v>
      </c>
      <c r="IL33" s="90"/>
      <c r="IM33" s="90"/>
      <c r="IN33" s="90"/>
      <c r="IO33" s="116"/>
      <c r="IP33" s="16">
        <f t="shared" si="48"/>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49"/>
        <v>0</v>
      </c>
      <c r="CC34" s="90"/>
      <c r="CD34" s="90"/>
      <c r="CE34" s="90"/>
      <c r="CF34" s="116"/>
      <c r="CG34" s="16">
        <f t="shared" si="16"/>
        <v>0</v>
      </c>
      <c r="CH34" s="90"/>
      <c r="CI34" s="90"/>
      <c r="CJ34" s="90"/>
      <c r="CK34" s="116"/>
      <c r="CL34" s="16">
        <f t="shared" si="17"/>
        <v>0</v>
      </c>
      <c r="CM34" s="90"/>
      <c r="CN34" s="90"/>
      <c r="CO34" s="90"/>
      <c r="CP34" s="116"/>
      <c r="CQ34" s="16">
        <f t="shared" si="18"/>
        <v>0</v>
      </c>
      <c r="CR34" s="90"/>
      <c r="CS34" s="90"/>
      <c r="CT34" s="90"/>
      <c r="CU34" s="116"/>
      <c r="CV34" s="16">
        <f t="shared" si="19"/>
        <v>0</v>
      </c>
      <c r="CW34" s="90"/>
      <c r="CX34" s="90"/>
      <c r="CY34" s="90"/>
      <c r="CZ34" s="116"/>
      <c r="DA34" s="16">
        <f t="shared" si="20"/>
        <v>0</v>
      </c>
      <c r="DB34" s="90"/>
      <c r="DC34" s="90"/>
      <c r="DD34" s="90"/>
      <c r="DE34" s="116"/>
      <c r="DF34" s="16">
        <f t="shared" si="21"/>
        <v>0</v>
      </c>
      <c r="DG34" s="90"/>
      <c r="DH34" s="90"/>
      <c r="DI34" s="90"/>
      <c r="DJ34" s="116"/>
      <c r="DK34" s="16">
        <f t="shared" si="22"/>
        <v>0</v>
      </c>
      <c r="DL34" s="90"/>
      <c r="DM34" s="90"/>
      <c r="DN34" s="90"/>
      <c r="DO34" s="116"/>
      <c r="DP34" s="16">
        <f t="shared" si="23"/>
        <v>0</v>
      </c>
      <c r="DQ34" s="90"/>
      <c r="DR34" s="90"/>
      <c r="DS34" s="90"/>
      <c r="DT34" s="116"/>
      <c r="DU34" s="16">
        <f t="shared" si="24"/>
        <v>0</v>
      </c>
      <c r="DV34" s="90"/>
      <c r="DW34" s="90"/>
      <c r="DX34" s="90"/>
      <c r="DY34" s="116"/>
      <c r="DZ34" s="16">
        <f t="shared" si="25"/>
        <v>0</v>
      </c>
      <c r="EA34" s="90"/>
      <c r="EB34" s="90"/>
      <c r="EC34" s="90"/>
      <c r="ED34" s="116"/>
      <c r="EE34" s="16">
        <f t="shared" si="26"/>
        <v>0</v>
      </c>
      <c r="EF34" s="90"/>
      <c r="EG34" s="90"/>
      <c r="EH34" s="90"/>
      <c r="EI34" s="116"/>
      <c r="EJ34" s="16">
        <f t="shared" si="27"/>
        <v>0</v>
      </c>
      <c r="EK34" s="90"/>
      <c r="EL34" s="90"/>
      <c r="EM34" s="90"/>
      <c r="EN34" s="116"/>
      <c r="EO34" s="16">
        <f t="shared" si="28"/>
        <v>0</v>
      </c>
      <c r="EP34" s="90"/>
      <c r="EQ34" s="90"/>
      <c r="ER34" s="90"/>
      <c r="ES34" s="116"/>
      <c r="ET34" s="16">
        <f t="shared" si="29"/>
        <v>0</v>
      </c>
      <c r="EU34" s="90"/>
      <c r="EV34" s="90"/>
      <c r="EW34" s="90"/>
      <c r="EX34" s="116"/>
      <c r="EY34" s="16">
        <f t="shared" si="30"/>
        <v>0</v>
      </c>
      <c r="EZ34" s="90"/>
      <c r="FA34" s="90"/>
      <c r="FB34" s="90"/>
      <c r="FC34" s="116"/>
      <c r="FD34" s="16">
        <f t="shared" si="31"/>
        <v>0</v>
      </c>
      <c r="FE34" s="90"/>
      <c r="FF34" s="90"/>
      <c r="FG34" s="90"/>
      <c r="FH34" s="116"/>
      <c r="FI34" s="16">
        <f t="shared" si="0"/>
        <v>0</v>
      </c>
      <c r="FJ34" s="90"/>
      <c r="FK34" s="90"/>
      <c r="FL34" s="90"/>
      <c r="FM34" s="116"/>
      <c r="FN34" s="16">
        <f t="shared" si="32"/>
        <v>0</v>
      </c>
      <c r="FO34" s="90"/>
      <c r="FP34" s="90"/>
      <c r="FQ34" s="90"/>
      <c r="FR34" s="116"/>
      <c r="FS34" s="16">
        <f t="shared" si="33"/>
        <v>0</v>
      </c>
      <c r="FT34" s="90"/>
      <c r="FU34" s="90"/>
      <c r="FV34" s="90"/>
      <c r="FW34" s="116"/>
      <c r="FX34" s="16">
        <f t="shared" si="34"/>
        <v>0</v>
      </c>
      <c r="FY34" s="90"/>
      <c r="FZ34" s="90"/>
      <c r="GA34" s="90"/>
      <c r="GB34" s="116"/>
      <c r="GC34" s="16">
        <f t="shared" si="35"/>
        <v>0</v>
      </c>
      <c r="GD34" s="90"/>
      <c r="GE34" s="90"/>
      <c r="GF34" s="90"/>
      <c r="GG34" s="116"/>
      <c r="GH34" s="16">
        <f t="shared" si="36"/>
        <v>0</v>
      </c>
      <c r="GI34" s="90"/>
      <c r="GJ34" s="90"/>
      <c r="GK34" s="90"/>
      <c r="GL34" s="116"/>
      <c r="GM34" s="16">
        <f t="shared" si="37"/>
        <v>0</v>
      </c>
      <c r="GN34" s="90"/>
      <c r="GO34" s="90"/>
      <c r="GP34" s="90"/>
      <c r="GQ34" s="116"/>
      <c r="GR34" s="16">
        <f t="shared" si="38"/>
        <v>0</v>
      </c>
      <c r="GS34" s="90"/>
      <c r="GT34" s="90"/>
      <c r="GU34" s="90"/>
      <c r="GV34" s="116"/>
      <c r="GW34" s="16">
        <f t="shared" si="39"/>
        <v>0</v>
      </c>
      <c r="GX34" s="90"/>
      <c r="GY34" s="90"/>
      <c r="GZ34" s="90"/>
      <c r="HA34" s="116"/>
      <c r="HB34" s="16">
        <f t="shared" si="40"/>
        <v>0</v>
      </c>
      <c r="HC34" s="90"/>
      <c r="HD34" s="90"/>
      <c r="HE34" s="90"/>
      <c r="HF34" s="116"/>
      <c r="HG34" s="16">
        <f t="shared" si="41"/>
        <v>0</v>
      </c>
      <c r="HH34" s="90"/>
      <c r="HI34" s="90"/>
      <c r="HJ34" s="90"/>
      <c r="HK34" s="116"/>
      <c r="HL34" s="16">
        <f t="shared" si="42"/>
        <v>0</v>
      </c>
      <c r="HM34" s="90"/>
      <c r="HN34" s="90"/>
      <c r="HO34" s="90"/>
      <c r="HP34" s="116"/>
      <c r="HQ34" s="16">
        <f t="shared" si="43"/>
        <v>0</v>
      </c>
      <c r="HR34" s="90"/>
      <c r="HS34" s="90"/>
      <c r="HT34" s="90"/>
      <c r="HU34" s="116"/>
      <c r="HV34" s="16">
        <f t="shared" si="44"/>
        <v>0</v>
      </c>
      <c r="HW34" s="90"/>
      <c r="HX34" s="90"/>
      <c r="HY34" s="90"/>
      <c r="HZ34" s="116"/>
      <c r="IA34" s="16">
        <f t="shared" si="45"/>
        <v>0</v>
      </c>
      <c r="IB34" s="90"/>
      <c r="IC34" s="90"/>
      <c r="ID34" s="90"/>
      <c r="IE34" s="116"/>
      <c r="IF34" s="16">
        <f t="shared" si="46"/>
        <v>0</v>
      </c>
      <c r="IG34" s="90"/>
      <c r="IH34" s="90"/>
      <c r="II34" s="90"/>
      <c r="IJ34" s="116"/>
      <c r="IK34" s="16">
        <f t="shared" si="47"/>
        <v>0</v>
      </c>
      <c r="IL34" s="90"/>
      <c r="IM34" s="90"/>
      <c r="IN34" s="90"/>
      <c r="IO34" s="116"/>
      <c r="IP34" s="16">
        <f t="shared" si="48"/>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49"/>
        <v>0</v>
      </c>
      <c r="CC35" s="90"/>
      <c r="CD35" s="90"/>
      <c r="CE35" s="90"/>
      <c r="CF35" s="116"/>
      <c r="CG35" s="16">
        <f t="shared" si="16"/>
        <v>0</v>
      </c>
      <c r="CH35" s="90"/>
      <c r="CI35" s="90"/>
      <c r="CJ35" s="90"/>
      <c r="CK35" s="116"/>
      <c r="CL35" s="16">
        <f t="shared" si="17"/>
        <v>0</v>
      </c>
      <c r="CM35" s="90"/>
      <c r="CN35" s="90"/>
      <c r="CO35" s="90"/>
      <c r="CP35" s="116"/>
      <c r="CQ35" s="16">
        <f t="shared" si="18"/>
        <v>0</v>
      </c>
      <c r="CR35" s="90"/>
      <c r="CS35" s="90"/>
      <c r="CT35" s="90"/>
      <c r="CU35" s="116"/>
      <c r="CV35" s="16">
        <f t="shared" si="19"/>
        <v>0</v>
      </c>
      <c r="CW35" s="90"/>
      <c r="CX35" s="90"/>
      <c r="CY35" s="90"/>
      <c r="CZ35" s="116"/>
      <c r="DA35" s="16">
        <f t="shared" si="20"/>
        <v>0</v>
      </c>
      <c r="DB35" s="90"/>
      <c r="DC35" s="90"/>
      <c r="DD35" s="90"/>
      <c r="DE35" s="116"/>
      <c r="DF35" s="16">
        <f t="shared" si="21"/>
        <v>0</v>
      </c>
      <c r="DG35" s="90"/>
      <c r="DH35" s="90"/>
      <c r="DI35" s="90"/>
      <c r="DJ35" s="116"/>
      <c r="DK35" s="16">
        <f t="shared" si="22"/>
        <v>0</v>
      </c>
      <c r="DL35" s="90"/>
      <c r="DM35" s="90"/>
      <c r="DN35" s="90"/>
      <c r="DO35" s="116"/>
      <c r="DP35" s="16">
        <f t="shared" si="23"/>
        <v>0</v>
      </c>
      <c r="DQ35" s="90"/>
      <c r="DR35" s="90"/>
      <c r="DS35" s="90"/>
      <c r="DT35" s="116"/>
      <c r="DU35" s="16">
        <f t="shared" si="24"/>
        <v>0</v>
      </c>
      <c r="DV35" s="90"/>
      <c r="DW35" s="90"/>
      <c r="DX35" s="90"/>
      <c r="DY35" s="116"/>
      <c r="DZ35" s="16">
        <f t="shared" si="25"/>
        <v>0</v>
      </c>
      <c r="EA35" s="90"/>
      <c r="EB35" s="90"/>
      <c r="EC35" s="90"/>
      <c r="ED35" s="116"/>
      <c r="EE35" s="16">
        <f t="shared" si="26"/>
        <v>0</v>
      </c>
      <c r="EF35" s="90"/>
      <c r="EG35" s="90"/>
      <c r="EH35" s="90"/>
      <c r="EI35" s="116"/>
      <c r="EJ35" s="16">
        <f t="shared" si="27"/>
        <v>0</v>
      </c>
      <c r="EK35" s="90"/>
      <c r="EL35" s="90"/>
      <c r="EM35" s="90"/>
      <c r="EN35" s="116"/>
      <c r="EO35" s="16">
        <f t="shared" si="28"/>
        <v>0</v>
      </c>
      <c r="EP35" s="90"/>
      <c r="EQ35" s="90"/>
      <c r="ER35" s="90"/>
      <c r="ES35" s="116"/>
      <c r="ET35" s="16">
        <f t="shared" si="29"/>
        <v>0</v>
      </c>
      <c r="EU35" s="90"/>
      <c r="EV35" s="90"/>
      <c r="EW35" s="90"/>
      <c r="EX35" s="116"/>
      <c r="EY35" s="16">
        <f t="shared" si="30"/>
        <v>0</v>
      </c>
      <c r="EZ35" s="90"/>
      <c r="FA35" s="90"/>
      <c r="FB35" s="90"/>
      <c r="FC35" s="116"/>
      <c r="FD35" s="16">
        <f t="shared" si="31"/>
        <v>0</v>
      </c>
      <c r="FE35" s="90"/>
      <c r="FF35" s="90"/>
      <c r="FG35" s="90"/>
      <c r="FH35" s="116"/>
      <c r="FI35" s="16">
        <f t="shared" si="0"/>
        <v>0</v>
      </c>
      <c r="FJ35" s="90"/>
      <c r="FK35" s="90"/>
      <c r="FL35" s="90"/>
      <c r="FM35" s="116"/>
      <c r="FN35" s="16">
        <f t="shared" si="32"/>
        <v>0</v>
      </c>
      <c r="FO35" s="90"/>
      <c r="FP35" s="90"/>
      <c r="FQ35" s="90"/>
      <c r="FR35" s="116"/>
      <c r="FS35" s="16">
        <f t="shared" si="33"/>
        <v>0</v>
      </c>
      <c r="FT35" s="90"/>
      <c r="FU35" s="90"/>
      <c r="FV35" s="90"/>
      <c r="FW35" s="116"/>
      <c r="FX35" s="16">
        <f t="shared" si="34"/>
        <v>0</v>
      </c>
      <c r="FY35" s="90"/>
      <c r="FZ35" s="90"/>
      <c r="GA35" s="90"/>
      <c r="GB35" s="116"/>
      <c r="GC35" s="16">
        <f t="shared" si="35"/>
        <v>0</v>
      </c>
      <c r="GD35" s="90"/>
      <c r="GE35" s="90"/>
      <c r="GF35" s="90"/>
      <c r="GG35" s="116"/>
      <c r="GH35" s="16">
        <f t="shared" si="36"/>
        <v>0</v>
      </c>
      <c r="GI35" s="90"/>
      <c r="GJ35" s="90"/>
      <c r="GK35" s="90"/>
      <c r="GL35" s="116"/>
      <c r="GM35" s="16">
        <f t="shared" si="37"/>
        <v>0</v>
      </c>
      <c r="GN35" s="90"/>
      <c r="GO35" s="90"/>
      <c r="GP35" s="90"/>
      <c r="GQ35" s="116"/>
      <c r="GR35" s="16">
        <f t="shared" si="38"/>
        <v>0</v>
      </c>
      <c r="GS35" s="90"/>
      <c r="GT35" s="90"/>
      <c r="GU35" s="90"/>
      <c r="GV35" s="116"/>
      <c r="GW35" s="16">
        <f t="shared" si="39"/>
        <v>0</v>
      </c>
      <c r="GX35" s="90"/>
      <c r="GY35" s="90"/>
      <c r="GZ35" s="90"/>
      <c r="HA35" s="116"/>
      <c r="HB35" s="16">
        <f t="shared" si="40"/>
        <v>0</v>
      </c>
      <c r="HC35" s="90"/>
      <c r="HD35" s="90"/>
      <c r="HE35" s="90"/>
      <c r="HF35" s="116"/>
      <c r="HG35" s="16">
        <f t="shared" si="41"/>
        <v>0</v>
      </c>
      <c r="HH35" s="90"/>
      <c r="HI35" s="90"/>
      <c r="HJ35" s="90"/>
      <c r="HK35" s="116"/>
      <c r="HL35" s="16">
        <f t="shared" si="42"/>
        <v>0</v>
      </c>
      <c r="HM35" s="90"/>
      <c r="HN35" s="90"/>
      <c r="HO35" s="90"/>
      <c r="HP35" s="116"/>
      <c r="HQ35" s="16">
        <f t="shared" si="43"/>
        <v>0</v>
      </c>
      <c r="HR35" s="90"/>
      <c r="HS35" s="90"/>
      <c r="HT35" s="90"/>
      <c r="HU35" s="116"/>
      <c r="HV35" s="16">
        <f t="shared" si="44"/>
        <v>0</v>
      </c>
      <c r="HW35" s="90"/>
      <c r="HX35" s="90"/>
      <c r="HY35" s="90"/>
      <c r="HZ35" s="116"/>
      <c r="IA35" s="16">
        <f t="shared" si="45"/>
        <v>0</v>
      </c>
      <c r="IB35" s="90"/>
      <c r="IC35" s="90"/>
      <c r="ID35" s="90"/>
      <c r="IE35" s="116"/>
      <c r="IF35" s="16">
        <f t="shared" si="46"/>
        <v>0</v>
      </c>
      <c r="IG35" s="90"/>
      <c r="IH35" s="90"/>
      <c r="II35" s="90"/>
      <c r="IJ35" s="116"/>
      <c r="IK35" s="16">
        <f t="shared" si="47"/>
        <v>0</v>
      </c>
      <c r="IL35" s="90"/>
      <c r="IM35" s="90"/>
      <c r="IN35" s="90"/>
      <c r="IO35" s="116"/>
      <c r="IP35" s="16">
        <f t="shared" si="48"/>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49"/>
        <v>0</v>
      </c>
      <c r="CC36" s="90"/>
      <c r="CD36" s="90"/>
      <c r="CE36" s="90"/>
      <c r="CF36" s="116"/>
      <c r="CG36" s="16">
        <f t="shared" si="16"/>
        <v>0</v>
      </c>
      <c r="CH36" s="90"/>
      <c r="CI36" s="90"/>
      <c r="CJ36" s="90"/>
      <c r="CK36" s="116"/>
      <c r="CL36" s="16">
        <f t="shared" si="17"/>
        <v>0</v>
      </c>
      <c r="CM36" s="90"/>
      <c r="CN36" s="90"/>
      <c r="CO36" s="90"/>
      <c r="CP36" s="116"/>
      <c r="CQ36" s="16">
        <f t="shared" si="18"/>
        <v>0</v>
      </c>
      <c r="CR36" s="90"/>
      <c r="CS36" s="90"/>
      <c r="CT36" s="90"/>
      <c r="CU36" s="116"/>
      <c r="CV36" s="16">
        <f t="shared" si="19"/>
        <v>0</v>
      </c>
      <c r="CW36" s="90"/>
      <c r="CX36" s="90"/>
      <c r="CY36" s="90"/>
      <c r="CZ36" s="116"/>
      <c r="DA36" s="16">
        <f t="shared" si="20"/>
        <v>0</v>
      </c>
      <c r="DB36" s="90"/>
      <c r="DC36" s="90"/>
      <c r="DD36" s="90"/>
      <c r="DE36" s="116"/>
      <c r="DF36" s="16">
        <f t="shared" si="21"/>
        <v>0</v>
      </c>
      <c r="DG36" s="90"/>
      <c r="DH36" s="90"/>
      <c r="DI36" s="90"/>
      <c r="DJ36" s="116"/>
      <c r="DK36" s="16">
        <f t="shared" si="22"/>
        <v>0</v>
      </c>
      <c r="DL36" s="90"/>
      <c r="DM36" s="90"/>
      <c r="DN36" s="90"/>
      <c r="DO36" s="116"/>
      <c r="DP36" s="16">
        <f t="shared" si="23"/>
        <v>0</v>
      </c>
      <c r="DQ36" s="90"/>
      <c r="DR36" s="90"/>
      <c r="DS36" s="90"/>
      <c r="DT36" s="116"/>
      <c r="DU36" s="16">
        <f t="shared" si="24"/>
        <v>0</v>
      </c>
      <c r="DV36" s="90"/>
      <c r="DW36" s="90"/>
      <c r="DX36" s="90"/>
      <c r="DY36" s="116"/>
      <c r="DZ36" s="16">
        <f t="shared" si="25"/>
        <v>0</v>
      </c>
      <c r="EA36" s="90"/>
      <c r="EB36" s="90"/>
      <c r="EC36" s="90"/>
      <c r="ED36" s="116"/>
      <c r="EE36" s="16">
        <f t="shared" si="26"/>
        <v>0</v>
      </c>
      <c r="EF36" s="90"/>
      <c r="EG36" s="90"/>
      <c r="EH36" s="90"/>
      <c r="EI36" s="116"/>
      <c r="EJ36" s="16">
        <f t="shared" si="27"/>
        <v>0</v>
      </c>
      <c r="EK36" s="90"/>
      <c r="EL36" s="90"/>
      <c r="EM36" s="90"/>
      <c r="EN36" s="116"/>
      <c r="EO36" s="16">
        <f t="shared" si="28"/>
        <v>0</v>
      </c>
      <c r="EP36" s="90"/>
      <c r="EQ36" s="90"/>
      <c r="ER36" s="90"/>
      <c r="ES36" s="116"/>
      <c r="ET36" s="16">
        <f t="shared" si="29"/>
        <v>0</v>
      </c>
      <c r="EU36" s="90"/>
      <c r="EV36" s="90"/>
      <c r="EW36" s="90"/>
      <c r="EX36" s="116"/>
      <c r="EY36" s="16">
        <f t="shared" si="30"/>
        <v>0</v>
      </c>
      <c r="EZ36" s="90"/>
      <c r="FA36" s="90"/>
      <c r="FB36" s="90"/>
      <c r="FC36" s="116"/>
      <c r="FD36" s="16">
        <f t="shared" si="31"/>
        <v>0</v>
      </c>
      <c r="FE36" s="90"/>
      <c r="FF36" s="90"/>
      <c r="FG36" s="90"/>
      <c r="FH36" s="116"/>
      <c r="FI36" s="16">
        <f t="shared" si="0"/>
        <v>0</v>
      </c>
      <c r="FJ36" s="90"/>
      <c r="FK36" s="90"/>
      <c r="FL36" s="90"/>
      <c r="FM36" s="116"/>
      <c r="FN36" s="16">
        <f t="shared" si="32"/>
        <v>0</v>
      </c>
      <c r="FO36" s="90"/>
      <c r="FP36" s="90"/>
      <c r="FQ36" s="90"/>
      <c r="FR36" s="116"/>
      <c r="FS36" s="16">
        <f t="shared" si="33"/>
        <v>0</v>
      </c>
      <c r="FT36" s="90"/>
      <c r="FU36" s="90"/>
      <c r="FV36" s="90"/>
      <c r="FW36" s="116"/>
      <c r="FX36" s="16">
        <f t="shared" si="34"/>
        <v>0</v>
      </c>
      <c r="FY36" s="90"/>
      <c r="FZ36" s="90"/>
      <c r="GA36" s="90"/>
      <c r="GB36" s="116"/>
      <c r="GC36" s="16">
        <f t="shared" si="35"/>
        <v>0</v>
      </c>
      <c r="GD36" s="90"/>
      <c r="GE36" s="90"/>
      <c r="GF36" s="90"/>
      <c r="GG36" s="116"/>
      <c r="GH36" s="16">
        <f t="shared" si="36"/>
        <v>0</v>
      </c>
      <c r="GI36" s="90"/>
      <c r="GJ36" s="90"/>
      <c r="GK36" s="90"/>
      <c r="GL36" s="116"/>
      <c r="GM36" s="16">
        <f t="shared" si="37"/>
        <v>0</v>
      </c>
      <c r="GN36" s="90"/>
      <c r="GO36" s="90"/>
      <c r="GP36" s="90"/>
      <c r="GQ36" s="116"/>
      <c r="GR36" s="16">
        <f t="shared" si="38"/>
        <v>0</v>
      </c>
      <c r="GS36" s="90"/>
      <c r="GT36" s="90"/>
      <c r="GU36" s="90"/>
      <c r="GV36" s="116"/>
      <c r="GW36" s="16">
        <f t="shared" si="39"/>
        <v>0</v>
      </c>
      <c r="GX36" s="90"/>
      <c r="GY36" s="90"/>
      <c r="GZ36" s="90"/>
      <c r="HA36" s="116"/>
      <c r="HB36" s="16">
        <f t="shared" si="40"/>
        <v>0</v>
      </c>
      <c r="HC36" s="90"/>
      <c r="HD36" s="90"/>
      <c r="HE36" s="90"/>
      <c r="HF36" s="116"/>
      <c r="HG36" s="16">
        <f t="shared" si="41"/>
        <v>0</v>
      </c>
      <c r="HH36" s="90"/>
      <c r="HI36" s="90"/>
      <c r="HJ36" s="90"/>
      <c r="HK36" s="116"/>
      <c r="HL36" s="16">
        <f t="shared" si="42"/>
        <v>0</v>
      </c>
      <c r="HM36" s="90"/>
      <c r="HN36" s="90"/>
      <c r="HO36" s="90"/>
      <c r="HP36" s="116"/>
      <c r="HQ36" s="16">
        <f t="shared" si="43"/>
        <v>0</v>
      </c>
      <c r="HR36" s="90"/>
      <c r="HS36" s="90"/>
      <c r="HT36" s="90"/>
      <c r="HU36" s="116"/>
      <c r="HV36" s="16">
        <f t="shared" si="44"/>
        <v>0</v>
      </c>
      <c r="HW36" s="90"/>
      <c r="HX36" s="90"/>
      <c r="HY36" s="90"/>
      <c r="HZ36" s="116"/>
      <c r="IA36" s="16">
        <f t="shared" si="45"/>
        <v>0</v>
      </c>
      <c r="IB36" s="90"/>
      <c r="IC36" s="90"/>
      <c r="ID36" s="90"/>
      <c r="IE36" s="116"/>
      <c r="IF36" s="16">
        <f t="shared" si="46"/>
        <v>0</v>
      </c>
      <c r="IG36" s="90"/>
      <c r="IH36" s="90"/>
      <c r="II36" s="90"/>
      <c r="IJ36" s="116"/>
      <c r="IK36" s="16">
        <f t="shared" si="47"/>
        <v>0</v>
      </c>
      <c r="IL36" s="90"/>
      <c r="IM36" s="90"/>
      <c r="IN36" s="90"/>
      <c r="IO36" s="116"/>
      <c r="IP36" s="16">
        <f t="shared" si="48"/>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49"/>
        <v>0</v>
      </c>
      <c r="CC37" s="90"/>
      <c r="CD37" s="90"/>
      <c r="CE37" s="90"/>
      <c r="CF37" s="116"/>
      <c r="CG37" s="16">
        <f t="shared" si="16"/>
        <v>0</v>
      </c>
      <c r="CH37" s="90"/>
      <c r="CI37" s="90"/>
      <c r="CJ37" s="90"/>
      <c r="CK37" s="116"/>
      <c r="CL37" s="16">
        <f t="shared" si="17"/>
        <v>0</v>
      </c>
      <c r="CM37" s="90"/>
      <c r="CN37" s="90"/>
      <c r="CO37" s="90"/>
      <c r="CP37" s="116"/>
      <c r="CQ37" s="16">
        <f t="shared" si="18"/>
        <v>0</v>
      </c>
      <c r="CR37" s="90"/>
      <c r="CS37" s="90"/>
      <c r="CT37" s="90"/>
      <c r="CU37" s="116"/>
      <c r="CV37" s="16">
        <f t="shared" si="19"/>
        <v>0</v>
      </c>
      <c r="CW37" s="90"/>
      <c r="CX37" s="90"/>
      <c r="CY37" s="90"/>
      <c r="CZ37" s="116"/>
      <c r="DA37" s="16">
        <f t="shared" si="20"/>
        <v>0</v>
      </c>
      <c r="DB37" s="90"/>
      <c r="DC37" s="90"/>
      <c r="DD37" s="90"/>
      <c r="DE37" s="116"/>
      <c r="DF37" s="16">
        <f t="shared" si="21"/>
        <v>0</v>
      </c>
      <c r="DG37" s="90"/>
      <c r="DH37" s="90"/>
      <c r="DI37" s="90"/>
      <c r="DJ37" s="116"/>
      <c r="DK37" s="16">
        <f t="shared" si="22"/>
        <v>0</v>
      </c>
      <c r="DL37" s="90"/>
      <c r="DM37" s="90"/>
      <c r="DN37" s="90"/>
      <c r="DO37" s="116"/>
      <c r="DP37" s="16">
        <f t="shared" si="23"/>
        <v>0</v>
      </c>
      <c r="DQ37" s="90"/>
      <c r="DR37" s="90"/>
      <c r="DS37" s="90"/>
      <c r="DT37" s="116"/>
      <c r="DU37" s="16">
        <f t="shared" si="24"/>
        <v>0</v>
      </c>
      <c r="DV37" s="90"/>
      <c r="DW37" s="90"/>
      <c r="DX37" s="90"/>
      <c r="DY37" s="116"/>
      <c r="DZ37" s="16">
        <f t="shared" si="25"/>
        <v>0</v>
      </c>
      <c r="EA37" s="90"/>
      <c r="EB37" s="90"/>
      <c r="EC37" s="90"/>
      <c r="ED37" s="116"/>
      <c r="EE37" s="16">
        <f t="shared" si="26"/>
        <v>0</v>
      </c>
      <c r="EF37" s="90"/>
      <c r="EG37" s="90"/>
      <c r="EH37" s="90"/>
      <c r="EI37" s="116"/>
      <c r="EJ37" s="16">
        <f t="shared" si="27"/>
        <v>0</v>
      </c>
      <c r="EK37" s="90"/>
      <c r="EL37" s="90"/>
      <c r="EM37" s="90"/>
      <c r="EN37" s="116"/>
      <c r="EO37" s="16">
        <f t="shared" si="28"/>
        <v>0</v>
      </c>
      <c r="EP37" s="90"/>
      <c r="EQ37" s="90"/>
      <c r="ER37" s="90"/>
      <c r="ES37" s="116"/>
      <c r="ET37" s="16">
        <f t="shared" si="29"/>
        <v>0</v>
      </c>
      <c r="EU37" s="90"/>
      <c r="EV37" s="90"/>
      <c r="EW37" s="90"/>
      <c r="EX37" s="116"/>
      <c r="EY37" s="16">
        <f t="shared" si="30"/>
        <v>0</v>
      </c>
      <c r="EZ37" s="90"/>
      <c r="FA37" s="90"/>
      <c r="FB37" s="90"/>
      <c r="FC37" s="116"/>
      <c r="FD37" s="16">
        <f t="shared" si="31"/>
        <v>0</v>
      </c>
      <c r="FE37" s="90"/>
      <c r="FF37" s="90"/>
      <c r="FG37" s="90"/>
      <c r="FH37" s="116"/>
      <c r="FI37" s="16">
        <f t="shared" si="0"/>
        <v>0</v>
      </c>
      <c r="FJ37" s="90"/>
      <c r="FK37" s="90"/>
      <c r="FL37" s="90"/>
      <c r="FM37" s="116"/>
      <c r="FN37" s="16">
        <f t="shared" si="32"/>
        <v>0</v>
      </c>
      <c r="FO37" s="90"/>
      <c r="FP37" s="90"/>
      <c r="FQ37" s="90"/>
      <c r="FR37" s="116"/>
      <c r="FS37" s="16">
        <f t="shared" si="33"/>
        <v>0</v>
      </c>
      <c r="FT37" s="90"/>
      <c r="FU37" s="90"/>
      <c r="FV37" s="90"/>
      <c r="FW37" s="116"/>
      <c r="FX37" s="16">
        <f t="shared" si="34"/>
        <v>0</v>
      </c>
      <c r="FY37" s="90"/>
      <c r="FZ37" s="90"/>
      <c r="GA37" s="90"/>
      <c r="GB37" s="116"/>
      <c r="GC37" s="16">
        <f t="shared" si="35"/>
        <v>0</v>
      </c>
      <c r="GD37" s="90"/>
      <c r="GE37" s="90"/>
      <c r="GF37" s="90"/>
      <c r="GG37" s="116"/>
      <c r="GH37" s="16">
        <f t="shared" si="36"/>
        <v>0</v>
      </c>
      <c r="GI37" s="90"/>
      <c r="GJ37" s="90"/>
      <c r="GK37" s="90"/>
      <c r="GL37" s="116"/>
      <c r="GM37" s="16">
        <f t="shared" si="37"/>
        <v>0</v>
      </c>
      <c r="GN37" s="90"/>
      <c r="GO37" s="90"/>
      <c r="GP37" s="90"/>
      <c r="GQ37" s="116"/>
      <c r="GR37" s="16">
        <f t="shared" si="38"/>
        <v>0</v>
      </c>
      <c r="GS37" s="90"/>
      <c r="GT37" s="90"/>
      <c r="GU37" s="90"/>
      <c r="GV37" s="116"/>
      <c r="GW37" s="16">
        <f t="shared" si="39"/>
        <v>0</v>
      </c>
      <c r="GX37" s="90"/>
      <c r="GY37" s="90"/>
      <c r="GZ37" s="90"/>
      <c r="HA37" s="116"/>
      <c r="HB37" s="16">
        <f t="shared" si="40"/>
        <v>0</v>
      </c>
      <c r="HC37" s="90"/>
      <c r="HD37" s="90"/>
      <c r="HE37" s="90"/>
      <c r="HF37" s="116"/>
      <c r="HG37" s="16">
        <f t="shared" si="41"/>
        <v>0</v>
      </c>
      <c r="HH37" s="90"/>
      <c r="HI37" s="90"/>
      <c r="HJ37" s="90"/>
      <c r="HK37" s="116"/>
      <c r="HL37" s="16">
        <f t="shared" si="42"/>
        <v>0</v>
      </c>
      <c r="HM37" s="90"/>
      <c r="HN37" s="90"/>
      <c r="HO37" s="90"/>
      <c r="HP37" s="116"/>
      <c r="HQ37" s="16">
        <f t="shared" si="43"/>
        <v>0</v>
      </c>
      <c r="HR37" s="90"/>
      <c r="HS37" s="90"/>
      <c r="HT37" s="90"/>
      <c r="HU37" s="116"/>
      <c r="HV37" s="16">
        <f t="shared" si="44"/>
        <v>0</v>
      </c>
      <c r="HW37" s="90"/>
      <c r="HX37" s="90"/>
      <c r="HY37" s="90"/>
      <c r="HZ37" s="116"/>
      <c r="IA37" s="16">
        <f t="shared" si="45"/>
        <v>0</v>
      </c>
      <c r="IB37" s="90"/>
      <c r="IC37" s="90"/>
      <c r="ID37" s="90"/>
      <c r="IE37" s="116"/>
      <c r="IF37" s="16">
        <f t="shared" si="46"/>
        <v>0</v>
      </c>
      <c r="IG37" s="90"/>
      <c r="IH37" s="90"/>
      <c r="II37" s="90"/>
      <c r="IJ37" s="116"/>
      <c r="IK37" s="16">
        <f t="shared" si="47"/>
        <v>0</v>
      </c>
      <c r="IL37" s="90"/>
      <c r="IM37" s="90"/>
      <c r="IN37" s="90"/>
      <c r="IO37" s="116"/>
      <c r="IP37" s="16">
        <f t="shared" si="48"/>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49"/>
        <v>0</v>
      </c>
      <c r="CC38" s="90"/>
      <c r="CD38" s="90"/>
      <c r="CE38" s="90"/>
      <c r="CF38" s="116"/>
      <c r="CG38" s="16">
        <f t="shared" si="16"/>
        <v>0</v>
      </c>
      <c r="CH38" s="90"/>
      <c r="CI38" s="90"/>
      <c r="CJ38" s="90"/>
      <c r="CK38" s="116"/>
      <c r="CL38" s="16">
        <f t="shared" si="17"/>
        <v>0</v>
      </c>
      <c r="CM38" s="90"/>
      <c r="CN38" s="90"/>
      <c r="CO38" s="90"/>
      <c r="CP38" s="116"/>
      <c r="CQ38" s="16">
        <f t="shared" si="18"/>
        <v>0</v>
      </c>
      <c r="CR38" s="90"/>
      <c r="CS38" s="90"/>
      <c r="CT38" s="90"/>
      <c r="CU38" s="116"/>
      <c r="CV38" s="16">
        <f t="shared" si="19"/>
        <v>0</v>
      </c>
      <c r="CW38" s="90"/>
      <c r="CX38" s="90"/>
      <c r="CY38" s="90"/>
      <c r="CZ38" s="116"/>
      <c r="DA38" s="16">
        <f t="shared" si="20"/>
        <v>0</v>
      </c>
      <c r="DB38" s="90"/>
      <c r="DC38" s="90"/>
      <c r="DD38" s="90"/>
      <c r="DE38" s="116"/>
      <c r="DF38" s="16">
        <f t="shared" si="21"/>
        <v>0</v>
      </c>
      <c r="DG38" s="90"/>
      <c r="DH38" s="90"/>
      <c r="DI38" s="90"/>
      <c r="DJ38" s="116"/>
      <c r="DK38" s="16">
        <f t="shared" si="22"/>
        <v>0</v>
      </c>
      <c r="DL38" s="90"/>
      <c r="DM38" s="90"/>
      <c r="DN38" s="90"/>
      <c r="DO38" s="116"/>
      <c r="DP38" s="16">
        <f t="shared" si="23"/>
        <v>0</v>
      </c>
      <c r="DQ38" s="90"/>
      <c r="DR38" s="90"/>
      <c r="DS38" s="90"/>
      <c r="DT38" s="116"/>
      <c r="DU38" s="16">
        <f t="shared" si="24"/>
        <v>0</v>
      </c>
      <c r="DV38" s="90"/>
      <c r="DW38" s="90"/>
      <c r="DX38" s="90"/>
      <c r="DY38" s="116"/>
      <c r="DZ38" s="16">
        <f t="shared" si="25"/>
        <v>0</v>
      </c>
      <c r="EA38" s="90"/>
      <c r="EB38" s="90"/>
      <c r="EC38" s="90"/>
      <c r="ED38" s="116"/>
      <c r="EE38" s="16">
        <f t="shared" si="26"/>
        <v>0</v>
      </c>
      <c r="EF38" s="90"/>
      <c r="EG38" s="90"/>
      <c r="EH38" s="90"/>
      <c r="EI38" s="116"/>
      <c r="EJ38" s="16">
        <f t="shared" si="27"/>
        <v>0</v>
      </c>
      <c r="EK38" s="90"/>
      <c r="EL38" s="90"/>
      <c r="EM38" s="90"/>
      <c r="EN38" s="116"/>
      <c r="EO38" s="16">
        <f t="shared" si="28"/>
        <v>0</v>
      </c>
      <c r="EP38" s="90"/>
      <c r="EQ38" s="90"/>
      <c r="ER38" s="90"/>
      <c r="ES38" s="116"/>
      <c r="ET38" s="16">
        <f t="shared" si="29"/>
        <v>0</v>
      </c>
      <c r="EU38" s="90"/>
      <c r="EV38" s="90"/>
      <c r="EW38" s="90"/>
      <c r="EX38" s="116"/>
      <c r="EY38" s="16">
        <f t="shared" si="30"/>
        <v>0</v>
      </c>
      <c r="EZ38" s="90"/>
      <c r="FA38" s="90"/>
      <c r="FB38" s="90"/>
      <c r="FC38" s="116"/>
      <c r="FD38" s="16">
        <f t="shared" si="31"/>
        <v>0</v>
      </c>
      <c r="FE38" s="90"/>
      <c r="FF38" s="90"/>
      <c r="FG38" s="90"/>
      <c r="FH38" s="116"/>
      <c r="FI38" s="16">
        <f t="shared" ref="FI38:FI74" si="50">IF(FE38="",FG38,FE38)</f>
        <v>0</v>
      </c>
      <c r="FJ38" s="90"/>
      <c r="FK38" s="90"/>
      <c r="FL38" s="90"/>
      <c r="FM38" s="116"/>
      <c r="FN38" s="16">
        <f t="shared" si="32"/>
        <v>0</v>
      </c>
      <c r="FO38" s="90"/>
      <c r="FP38" s="90"/>
      <c r="FQ38" s="90"/>
      <c r="FR38" s="116"/>
      <c r="FS38" s="16">
        <f t="shared" si="33"/>
        <v>0</v>
      </c>
      <c r="FT38" s="90"/>
      <c r="FU38" s="90"/>
      <c r="FV38" s="90"/>
      <c r="FW38" s="116"/>
      <c r="FX38" s="16">
        <f t="shared" si="34"/>
        <v>0</v>
      </c>
      <c r="FY38" s="90"/>
      <c r="FZ38" s="90"/>
      <c r="GA38" s="90"/>
      <c r="GB38" s="116"/>
      <c r="GC38" s="16">
        <f t="shared" si="35"/>
        <v>0</v>
      </c>
      <c r="GD38" s="90"/>
      <c r="GE38" s="90"/>
      <c r="GF38" s="90"/>
      <c r="GG38" s="116"/>
      <c r="GH38" s="16">
        <f t="shared" si="36"/>
        <v>0</v>
      </c>
      <c r="GI38" s="90"/>
      <c r="GJ38" s="90"/>
      <c r="GK38" s="90"/>
      <c r="GL38" s="116"/>
      <c r="GM38" s="16">
        <f t="shared" si="37"/>
        <v>0</v>
      </c>
      <c r="GN38" s="90"/>
      <c r="GO38" s="90"/>
      <c r="GP38" s="90"/>
      <c r="GQ38" s="116"/>
      <c r="GR38" s="16">
        <f t="shared" si="38"/>
        <v>0</v>
      </c>
      <c r="GS38" s="90"/>
      <c r="GT38" s="90"/>
      <c r="GU38" s="90"/>
      <c r="GV38" s="116"/>
      <c r="GW38" s="16">
        <f t="shared" si="39"/>
        <v>0</v>
      </c>
      <c r="GX38" s="90"/>
      <c r="GY38" s="90"/>
      <c r="GZ38" s="90"/>
      <c r="HA38" s="116"/>
      <c r="HB38" s="16">
        <f t="shared" si="40"/>
        <v>0</v>
      </c>
      <c r="HC38" s="90"/>
      <c r="HD38" s="90"/>
      <c r="HE38" s="90"/>
      <c r="HF38" s="116"/>
      <c r="HG38" s="16">
        <f t="shared" si="41"/>
        <v>0</v>
      </c>
      <c r="HH38" s="90"/>
      <c r="HI38" s="90"/>
      <c r="HJ38" s="90"/>
      <c r="HK38" s="116"/>
      <c r="HL38" s="16">
        <f t="shared" si="42"/>
        <v>0</v>
      </c>
      <c r="HM38" s="90"/>
      <c r="HN38" s="90"/>
      <c r="HO38" s="90"/>
      <c r="HP38" s="116"/>
      <c r="HQ38" s="16">
        <f t="shared" si="43"/>
        <v>0</v>
      </c>
      <c r="HR38" s="90"/>
      <c r="HS38" s="90"/>
      <c r="HT38" s="90"/>
      <c r="HU38" s="116"/>
      <c r="HV38" s="16">
        <f t="shared" si="44"/>
        <v>0</v>
      </c>
      <c r="HW38" s="90"/>
      <c r="HX38" s="90"/>
      <c r="HY38" s="90"/>
      <c r="HZ38" s="116"/>
      <c r="IA38" s="16">
        <f t="shared" si="45"/>
        <v>0</v>
      </c>
      <c r="IB38" s="90"/>
      <c r="IC38" s="90"/>
      <c r="ID38" s="90"/>
      <c r="IE38" s="116"/>
      <c r="IF38" s="16">
        <f t="shared" si="46"/>
        <v>0</v>
      </c>
      <c r="IG38" s="90"/>
      <c r="IH38" s="90"/>
      <c r="II38" s="90"/>
      <c r="IJ38" s="116"/>
      <c r="IK38" s="16">
        <f t="shared" si="47"/>
        <v>0</v>
      </c>
      <c r="IL38" s="90"/>
      <c r="IM38" s="90"/>
      <c r="IN38" s="90"/>
      <c r="IO38" s="116"/>
      <c r="IP38" s="16">
        <f t="shared" si="48"/>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49"/>
        <v>0</v>
      </c>
      <c r="CC39" s="90"/>
      <c r="CD39" s="90"/>
      <c r="CE39" s="90"/>
      <c r="CF39" s="116"/>
      <c r="CG39" s="16">
        <f t="shared" si="16"/>
        <v>0</v>
      </c>
      <c r="CH39" s="90"/>
      <c r="CI39" s="90"/>
      <c r="CJ39" s="90"/>
      <c r="CK39" s="116"/>
      <c r="CL39" s="16">
        <f t="shared" si="17"/>
        <v>0</v>
      </c>
      <c r="CM39" s="90"/>
      <c r="CN39" s="90"/>
      <c r="CO39" s="90"/>
      <c r="CP39" s="116"/>
      <c r="CQ39" s="16">
        <f t="shared" si="18"/>
        <v>0</v>
      </c>
      <c r="CR39" s="90"/>
      <c r="CS39" s="90"/>
      <c r="CT39" s="90"/>
      <c r="CU39" s="116"/>
      <c r="CV39" s="16">
        <f t="shared" si="19"/>
        <v>0</v>
      </c>
      <c r="CW39" s="90"/>
      <c r="CX39" s="90"/>
      <c r="CY39" s="90"/>
      <c r="CZ39" s="116"/>
      <c r="DA39" s="16">
        <f t="shared" si="20"/>
        <v>0</v>
      </c>
      <c r="DB39" s="90"/>
      <c r="DC39" s="90"/>
      <c r="DD39" s="90"/>
      <c r="DE39" s="116"/>
      <c r="DF39" s="16">
        <f t="shared" si="21"/>
        <v>0</v>
      </c>
      <c r="DG39" s="90"/>
      <c r="DH39" s="90"/>
      <c r="DI39" s="90"/>
      <c r="DJ39" s="116"/>
      <c r="DK39" s="16">
        <f t="shared" si="22"/>
        <v>0</v>
      </c>
      <c r="DL39" s="90"/>
      <c r="DM39" s="90"/>
      <c r="DN39" s="90"/>
      <c r="DO39" s="116"/>
      <c r="DP39" s="16">
        <f t="shared" si="23"/>
        <v>0</v>
      </c>
      <c r="DQ39" s="90"/>
      <c r="DR39" s="90"/>
      <c r="DS39" s="90"/>
      <c r="DT39" s="116"/>
      <c r="DU39" s="16">
        <f t="shared" si="24"/>
        <v>0</v>
      </c>
      <c r="DV39" s="90"/>
      <c r="DW39" s="90"/>
      <c r="DX39" s="90"/>
      <c r="DY39" s="116"/>
      <c r="DZ39" s="16">
        <f t="shared" si="25"/>
        <v>0</v>
      </c>
      <c r="EA39" s="90"/>
      <c r="EB39" s="90"/>
      <c r="EC39" s="90"/>
      <c r="ED39" s="116"/>
      <c r="EE39" s="16">
        <f t="shared" si="26"/>
        <v>0</v>
      </c>
      <c r="EF39" s="90"/>
      <c r="EG39" s="90"/>
      <c r="EH39" s="90"/>
      <c r="EI39" s="116"/>
      <c r="EJ39" s="16">
        <f t="shared" si="27"/>
        <v>0</v>
      </c>
      <c r="EK39" s="90"/>
      <c r="EL39" s="90"/>
      <c r="EM39" s="90"/>
      <c r="EN39" s="116"/>
      <c r="EO39" s="16">
        <f t="shared" si="28"/>
        <v>0</v>
      </c>
      <c r="EP39" s="90"/>
      <c r="EQ39" s="90"/>
      <c r="ER39" s="90"/>
      <c r="ES39" s="116"/>
      <c r="ET39" s="16">
        <f t="shared" si="29"/>
        <v>0</v>
      </c>
      <c r="EU39" s="90"/>
      <c r="EV39" s="90"/>
      <c r="EW39" s="90"/>
      <c r="EX39" s="116"/>
      <c r="EY39" s="16">
        <f t="shared" si="30"/>
        <v>0</v>
      </c>
      <c r="EZ39" s="90"/>
      <c r="FA39" s="90"/>
      <c r="FB39" s="90"/>
      <c r="FC39" s="116"/>
      <c r="FD39" s="16">
        <f t="shared" si="31"/>
        <v>0</v>
      </c>
      <c r="FE39" s="90"/>
      <c r="FF39" s="90"/>
      <c r="FG39" s="90"/>
      <c r="FH39" s="116"/>
      <c r="FI39" s="16">
        <f t="shared" si="50"/>
        <v>0</v>
      </c>
      <c r="FJ39" s="90"/>
      <c r="FK39" s="90"/>
      <c r="FL39" s="90"/>
      <c r="FM39" s="116"/>
      <c r="FN39" s="16">
        <f t="shared" si="32"/>
        <v>0</v>
      </c>
      <c r="FO39" s="90"/>
      <c r="FP39" s="90"/>
      <c r="FQ39" s="90"/>
      <c r="FR39" s="116"/>
      <c r="FS39" s="16">
        <f t="shared" si="33"/>
        <v>0</v>
      </c>
      <c r="FT39" s="90"/>
      <c r="FU39" s="90"/>
      <c r="FV39" s="90"/>
      <c r="FW39" s="116"/>
      <c r="FX39" s="16">
        <f t="shared" si="34"/>
        <v>0</v>
      </c>
      <c r="FY39" s="90"/>
      <c r="FZ39" s="90"/>
      <c r="GA39" s="90"/>
      <c r="GB39" s="116"/>
      <c r="GC39" s="16">
        <f t="shared" si="35"/>
        <v>0</v>
      </c>
      <c r="GD39" s="90"/>
      <c r="GE39" s="90"/>
      <c r="GF39" s="90"/>
      <c r="GG39" s="116"/>
      <c r="GH39" s="16">
        <f t="shared" si="36"/>
        <v>0</v>
      </c>
      <c r="GI39" s="90"/>
      <c r="GJ39" s="90"/>
      <c r="GK39" s="90"/>
      <c r="GL39" s="116"/>
      <c r="GM39" s="16">
        <f t="shared" si="37"/>
        <v>0</v>
      </c>
      <c r="GN39" s="90"/>
      <c r="GO39" s="90"/>
      <c r="GP39" s="90"/>
      <c r="GQ39" s="116"/>
      <c r="GR39" s="16">
        <f t="shared" si="38"/>
        <v>0</v>
      </c>
      <c r="GS39" s="90"/>
      <c r="GT39" s="90"/>
      <c r="GU39" s="90"/>
      <c r="GV39" s="116"/>
      <c r="GW39" s="16">
        <f t="shared" si="39"/>
        <v>0</v>
      </c>
      <c r="GX39" s="90"/>
      <c r="GY39" s="90"/>
      <c r="GZ39" s="90"/>
      <c r="HA39" s="116"/>
      <c r="HB39" s="16">
        <f t="shared" si="40"/>
        <v>0</v>
      </c>
      <c r="HC39" s="90"/>
      <c r="HD39" s="90"/>
      <c r="HE39" s="90"/>
      <c r="HF39" s="116"/>
      <c r="HG39" s="16">
        <f t="shared" si="41"/>
        <v>0</v>
      </c>
      <c r="HH39" s="90"/>
      <c r="HI39" s="90"/>
      <c r="HJ39" s="90"/>
      <c r="HK39" s="116"/>
      <c r="HL39" s="16">
        <f t="shared" si="42"/>
        <v>0</v>
      </c>
      <c r="HM39" s="90"/>
      <c r="HN39" s="90"/>
      <c r="HO39" s="90"/>
      <c r="HP39" s="116"/>
      <c r="HQ39" s="16">
        <f t="shared" si="43"/>
        <v>0</v>
      </c>
      <c r="HR39" s="90"/>
      <c r="HS39" s="90"/>
      <c r="HT39" s="90"/>
      <c r="HU39" s="116"/>
      <c r="HV39" s="16">
        <f t="shared" si="44"/>
        <v>0</v>
      </c>
      <c r="HW39" s="90"/>
      <c r="HX39" s="90"/>
      <c r="HY39" s="90"/>
      <c r="HZ39" s="116"/>
      <c r="IA39" s="16">
        <f t="shared" si="45"/>
        <v>0</v>
      </c>
      <c r="IB39" s="90"/>
      <c r="IC39" s="90"/>
      <c r="ID39" s="90"/>
      <c r="IE39" s="116"/>
      <c r="IF39" s="16">
        <f t="shared" si="46"/>
        <v>0</v>
      </c>
      <c r="IG39" s="90"/>
      <c r="IH39" s="90"/>
      <c r="II39" s="90"/>
      <c r="IJ39" s="116"/>
      <c r="IK39" s="16">
        <f t="shared" si="47"/>
        <v>0</v>
      </c>
      <c r="IL39" s="90"/>
      <c r="IM39" s="90"/>
      <c r="IN39" s="90"/>
      <c r="IO39" s="116"/>
      <c r="IP39" s="16">
        <f t="shared" si="48"/>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49"/>
        <v>0</v>
      </c>
      <c r="CC40" s="90"/>
      <c r="CD40" s="90"/>
      <c r="CE40" s="90"/>
      <c r="CF40" s="116"/>
      <c r="CG40" s="16">
        <f t="shared" si="16"/>
        <v>0</v>
      </c>
      <c r="CH40" s="90"/>
      <c r="CI40" s="90"/>
      <c r="CJ40" s="90"/>
      <c r="CK40" s="116"/>
      <c r="CL40" s="16">
        <f t="shared" si="17"/>
        <v>0</v>
      </c>
      <c r="CM40" s="90"/>
      <c r="CN40" s="90"/>
      <c r="CO40" s="90"/>
      <c r="CP40" s="116"/>
      <c r="CQ40" s="16">
        <f t="shared" si="18"/>
        <v>0</v>
      </c>
      <c r="CR40" s="90"/>
      <c r="CS40" s="90"/>
      <c r="CT40" s="90"/>
      <c r="CU40" s="116"/>
      <c r="CV40" s="16">
        <f t="shared" si="19"/>
        <v>0</v>
      </c>
      <c r="CW40" s="90"/>
      <c r="CX40" s="90"/>
      <c r="CY40" s="90"/>
      <c r="CZ40" s="116"/>
      <c r="DA40" s="16">
        <f t="shared" si="20"/>
        <v>0</v>
      </c>
      <c r="DB40" s="90"/>
      <c r="DC40" s="90"/>
      <c r="DD40" s="90"/>
      <c r="DE40" s="116"/>
      <c r="DF40" s="16">
        <f t="shared" si="21"/>
        <v>0</v>
      </c>
      <c r="DG40" s="90"/>
      <c r="DH40" s="90"/>
      <c r="DI40" s="90"/>
      <c r="DJ40" s="116"/>
      <c r="DK40" s="16">
        <f t="shared" si="22"/>
        <v>0</v>
      </c>
      <c r="DL40" s="90"/>
      <c r="DM40" s="90"/>
      <c r="DN40" s="90"/>
      <c r="DO40" s="116"/>
      <c r="DP40" s="16">
        <f t="shared" si="23"/>
        <v>0</v>
      </c>
      <c r="DQ40" s="90"/>
      <c r="DR40" s="90"/>
      <c r="DS40" s="90"/>
      <c r="DT40" s="116"/>
      <c r="DU40" s="16">
        <f t="shared" si="24"/>
        <v>0</v>
      </c>
      <c r="DV40" s="90"/>
      <c r="DW40" s="90"/>
      <c r="DX40" s="90"/>
      <c r="DY40" s="116"/>
      <c r="DZ40" s="16">
        <f t="shared" si="25"/>
        <v>0</v>
      </c>
      <c r="EA40" s="90"/>
      <c r="EB40" s="90"/>
      <c r="EC40" s="90"/>
      <c r="ED40" s="116"/>
      <c r="EE40" s="16">
        <f t="shared" si="26"/>
        <v>0</v>
      </c>
      <c r="EF40" s="90"/>
      <c r="EG40" s="90"/>
      <c r="EH40" s="90"/>
      <c r="EI40" s="116"/>
      <c r="EJ40" s="16">
        <f t="shared" si="27"/>
        <v>0</v>
      </c>
      <c r="EK40" s="90"/>
      <c r="EL40" s="90"/>
      <c r="EM40" s="90"/>
      <c r="EN40" s="116"/>
      <c r="EO40" s="16">
        <f t="shared" si="28"/>
        <v>0</v>
      </c>
      <c r="EP40" s="90"/>
      <c r="EQ40" s="90"/>
      <c r="ER40" s="90"/>
      <c r="ES40" s="116"/>
      <c r="ET40" s="16">
        <f t="shared" si="29"/>
        <v>0</v>
      </c>
      <c r="EU40" s="90"/>
      <c r="EV40" s="90"/>
      <c r="EW40" s="90"/>
      <c r="EX40" s="116"/>
      <c r="EY40" s="16">
        <f t="shared" si="30"/>
        <v>0</v>
      </c>
      <c r="EZ40" s="90"/>
      <c r="FA40" s="90"/>
      <c r="FB40" s="90"/>
      <c r="FC40" s="116"/>
      <c r="FD40" s="16">
        <f t="shared" si="31"/>
        <v>0</v>
      </c>
      <c r="FE40" s="90"/>
      <c r="FF40" s="90"/>
      <c r="FG40" s="90"/>
      <c r="FH40" s="116"/>
      <c r="FI40" s="16">
        <f t="shared" si="50"/>
        <v>0</v>
      </c>
      <c r="FJ40" s="90"/>
      <c r="FK40" s="90"/>
      <c r="FL40" s="90"/>
      <c r="FM40" s="116"/>
      <c r="FN40" s="16">
        <f t="shared" si="32"/>
        <v>0</v>
      </c>
      <c r="FO40" s="90"/>
      <c r="FP40" s="90"/>
      <c r="FQ40" s="90"/>
      <c r="FR40" s="116"/>
      <c r="FS40" s="16">
        <f t="shared" si="33"/>
        <v>0</v>
      </c>
      <c r="FT40" s="90"/>
      <c r="FU40" s="90"/>
      <c r="FV40" s="90"/>
      <c r="FW40" s="116"/>
      <c r="FX40" s="16">
        <f t="shared" si="34"/>
        <v>0</v>
      </c>
      <c r="FY40" s="90"/>
      <c r="FZ40" s="90"/>
      <c r="GA40" s="90"/>
      <c r="GB40" s="116"/>
      <c r="GC40" s="16">
        <f t="shared" si="35"/>
        <v>0</v>
      </c>
      <c r="GD40" s="90"/>
      <c r="GE40" s="90"/>
      <c r="GF40" s="90"/>
      <c r="GG40" s="116"/>
      <c r="GH40" s="16">
        <f t="shared" si="36"/>
        <v>0</v>
      </c>
      <c r="GI40" s="90"/>
      <c r="GJ40" s="90"/>
      <c r="GK40" s="90"/>
      <c r="GL40" s="116"/>
      <c r="GM40" s="16">
        <f t="shared" si="37"/>
        <v>0</v>
      </c>
      <c r="GN40" s="90"/>
      <c r="GO40" s="90"/>
      <c r="GP40" s="90"/>
      <c r="GQ40" s="116"/>
      <c r="GR40" s="16">
        <f t="shared" si="38"/>
        <v>0</v>
      </c>
      <c r="GS40" s="90"/>
      <c r="GT40" s="90"/>
      <c r="GU40" s="90"/>
      <c r="GV40" s="116"/>
      <c r="GW40" s="16">
        <f t="shared" si="39"/>
        <v>0</v>
      </c>
      <c r="GX40" s="90"/>
      <c r="GY40" s="90"/>
      <c r="GZ40" s="90"/>
      <c r="HA40" s="116"/>
      <c r="HB40" s="16">
        <f t="shared" si="40"/>
        <v>0</v>
      </c>
      <c r="HC40" s="90"/>
      <c r="HD40" s="90"/>
      <c r="HE40" s="90"/>
      <c r="HF40" s="116"/>
      <c r="HG40" s="16">
        <f t="shared" si="41"/>
        <v>0</v>
      </c>
      <c r="HH40" s="90"/>
      <c r="HI40" s="90"/>
      <c r="HJ40" s="90"/>
      <c r="HK40" s="116"/>
      <c r="HL40" s="16">
        <f t="shared" si="42"/>
        <v>0</v>
      </c>
      <c r="HM40" s="90"/>
      <c r="HN40" s="90"/>
      <c r="HO40" s="90"/>
      <c r="HP40" s="116"/>
      <c r="HQ40" s="16">
        <f t="shared" si="43"/>
        <v>0</v>
      </c>
      <c r="HR40" s="90"/>
      <c r="HS40" s="90"/>
      <c r="HT40" s="90"/>
      <c r="HU40" s="116"/>
      <c r="HV40" s="16">
        <f t="shared" si="44"/>
        <v>0</v>
      </c>
      <c r="HW40" s="90"/>
      <c r="HX40" s="90"/>
      <c r="HY40" s="90"/>
      <c r="HZ40" s="116"/>
      <c r="IA40" s="16">
        <f t="shared" si="45"/>
        <v>0</v>
      </c>
      <c r="IB40" s="90"/>
      <c r="IC40" s="90"/>
      <c r="ID40" s="90"/>
      <c r="IE40" s="116"/>
      <c r="IF40" s="16">
        <f t="shared" si="46"/>
        <v>0</v>
      </c>
      <c r="IG40" s="90"/>
      <c r="IH40" s="90"/>
      <c r="II40" s="90"/>
      <c r="IJ40" s="116"/>
      <c r="IK40" s="16">
        <f t="shared" si="47"/>
        <v>0</v>
      </c>
      <c r="IL40" s="90"/>
      <c r="IM40" s="90"/>
      <c r="IN40" s="90"/>
      <c r="IO40" s="116"/>
      <c r="IP40" s="16">
        <f t="shared" si="48"/>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49"/>
        <v>0</v>
      </c>
      <c r="CC41" s="90"/>
      <c r="CD41" s="90"/>
      <c r="CE41" s="90"/>
      <c r="CF41" s="116"/>
      <c r="CG41" s="16">
        <f t="shared" si="16"/>
        <v>0</v>
      </c>
      <c r="CH41" s="90"/>
      <c r="CI41" s="90"/>
      <c r="CJ41" s="90"/>
      <c r="CK41" s="116"/>
      <c r="CL41" s="16">
        <f t="shared" si="17"/>
        <v>0</v>
      </c>
      <c r="CM41" s="90"/>
      <c r="CN41" s="90"/>
      <c r="CO41" s="90"/>
      <c r="CP41" s="116"/>
      <c r="CQ41" s="16">
        <f t="shared" si="18"/>
        <v>0</v>
      </c>
      <c r="CR41" s="90"/>
      <c r="CS41" s="90"/>
      <c r="CT41" s="90"/>
      <c r="CU41" s="116"/>
      <c r="CV41" s="16">
        <f t="shared" si="19"/>
        <v>0</v>
      </c>
      <c r="CW41" s="90"/>
      <c r="CX41" s="90"/>
      <c r="CY41" s="90"/>
      <c r="CZ41" s="116"/>
      <c r="DA41" s="16">
        <f t="shared" si="20"/>
        <v>0</v>
      </c>
      <c r="DB41" s="90"/>
      <c r="DC41" s="90"/>
      <c r="DD41" s="90"/>
      <c r="DE41" s="116"/>
      <c r="DF41" s="16">
        <f t="shared" si="21"/>
        <v>0</v>
      </c>
      <c r="DG41" s="90"/>
      <c r="DH41" s="90"/>
      <c r="DI41" s="90"/>
      <c r="DJ41" s="116"/>
      <c r="DK41" s="16">
        <f t="shared" si="22"/>
        <v>0</v>
      </c>
      <c r="DL41" s="90"/>
      <c r="DM41" s="90"/>
      <c r="DN41" s="90"/>
      <c r="DO41" s="116"/>
      <c r="DP41" s="16">
        <f t="shared" si="23"/>
        <v>0</v>
      </c>
      <c r="DQ41" s="90"/>
      <c r="DR41" s="90"/>
      <c r="DS41" s="90"/>
      <c r="DT41" s="116"/>
      <c r="DU41" s="16">
        <f t="shared" si="24"/>
        <v>0</v>
      </c>
      <c r="DV41" s="90"/>
      <c r="DW41" s="90"/>
      <c r="DX41" s="90"/>
      <c r="DY41" s="116"/>
      <c r="DZ41" s="16">
        <f t="shared" si="25"/>
        <v>0</v>
      </c>
      <c r="EA41" s="90"/>
      <c r="EB41" s="90"/>
      <c r="EC41" s="90"/>
      <c r="ED41" s="116"/>
      <c r="EE41" s="16">
        <f t="shared" si="26"/>
        <v>0</v>
      </c>
      <c r="EF41" s="90"/>
      <c r="EG41" s="90"/>
      <c r="EH41" s="90"/>
      <c r="EI41" s="116"/>
      <c r="EJ41" s="16">
        <f t="shared" si="27"/>
        <v>0</v>
      </c>
      <c r="EK41" s="90"/>
      <c r="EL41" s="90"/>
      <c r="EM41" s="90"/>
      <c r="EN41" s="116"/>
      <c r="EO41" s="16">
        <f t="shared" si="28"/>
        <v>0</v>
      </c>
      <c r="EP41" s="90"/>
      <c r="EQ41" s="90"/>
      <c r="ER41" s="90"/>
      <c r="ES41" s="116"/>
      <c r="ET41" s="16">
        <f t="shared" si="29"/>
        <v>0</v>
      </c>
      <c r="EU41" s="90"/>
      <c r="EV41" s="90"/>
      <c r="EW41" s="90"/>
      <c r="EX41" s="116"/>
      <c r="EY41" s="16">
        <f t="shared" si="30"/>
        <v>0</v>
      </c>
      <c r="EZ41" s="90"/>
      <c r="FA41" s="90"/>
      <c r="FB41" s="90"/>
      <c r="FC41" s="116"/>
      <c r="FD41" s="16">
        <f t="shared" si="31"/>
        <v>0</v>
      </c>
      <c r="FE41" s="90"/>
      <c r="FF41" s="90"/>
      <c r="FG41" s="90"/>
      <c r="FH41" s="116"/>
      <c r="FI41" s="16">
        <f t="shared" si="50"/>
        <v>0</v>
      </c>
      <c r="FJ41" s="90"/>
      <c r="FK41" s="90"/>
      <c r="FL41" s="90"/>
      <c r="FM41" s="116"/>
      <c r="FN41" s="16">
        <f t="shared" si="32"/>
        <v>0</v>
      </c>
      <c r="FO41" s="90"/>
      <c r="FP41" s="90"/>
      <c r="FQ41" s="90"/>
      <c r="FR41" s="116"/>
      <c r="FS41" s="16">
        <f t="shared" si="33"/>
        <v>0</v>
      </c>
      <c r="FT41" s="90"/>
      <c r="FU41" s="90"/>
      <c r="FV41" s="90"/>
      <c r="FW41" s="116"/>
      <c r="FX41" s="16">
        <f t="shared" si="34"/>
        <v>0</v>
      </c>
      <c r="FY41" s="90"/>
      <c r="FZ41" s="90"/>
      <c r="GA41" s="90"/>
      <c r="GB41" s="116"/>
      <c r="GC41" s="16">
        <f t="shared" si="35"/>
        <v>0</v>
      </c>
      <c r="GD41" s="90"/>
      <c r="GE41" s="90"/>
      <c r="GF41" s="90"/>
      <c r="GG41" s="116"/>
      <c r="GH41" s="16">
        <f t="shared" si="36"/>
        <v>0</v>
      </c>
      <c r="GI41" s="90"/>
      <c r="GJ41" s="90"/>
      <c r="GK41" s="90"/>
      <c r="GL41" s="116"/>
      <c r="GM41" s="16">
        <f t="shared" si="37"/>
        <v>0</v>
      </c>
      <c r="GN41" s="90"/>
      <c r="GO41" s="90"/>
      <c r="GP41" s="90"/>
      <c r="GQ41" s="116"/>
      <c r="GR41" s="16">
        <f t="shared" si="38"/>
        <v>0</v>
      </c>
      <c r="GS41" s="90"/>
      <c r="GT41" s="90"/>
      <c r="GU41" s="90"/>
      <c r="GV41" s="116"/>
      <c r="GW41" s="16">
        <f t="shared" si="39"/>
        <v>0</v>
      </c>
      <c r="GX41" s="90"/>
      <c r="GY41" s="90"/>
      <c r="GZ41" s="90"/>
      <c r="HA41" s="116"/>
      <c r="HB41" s="16">
        <f t="shared" si="40"/>
        <v>0</v>
      </c>
      <c r="HC41" s="90"/>
      <c r="HD41" s="90"/>
      <c r="HE41" s="90"/>
      <c r="HF41" s="116"/>
      <c r="HG41" s="16">
        <f t="shared" si="41"/>
        <v>0</v>
      </c>
      <c r="HH41" s="90"/>
      <c r="HI41" s="90"/>
      <c r="HJ41" s="90"/>
      <c r="HK41" s="116"/>
      <c r="HL41" s="16">
        <f t="shared" si="42"/>
        <v>0</v>
      </c>
      <c r="HM41" s="90"/>
      <c r="HN41" s="90"/>
      <c r="HO41" s="90"/>
      <c r="HP41" s="116"/>
      <c r="HQ41" s="16">
        <f t="shared" si="43"/>
        <v>0</v>
      </c>
      <c r="HR41" s="90"/>
      <c r="HS41" s="90"/>
      <c r="HT41" s="90"/>
      <c r="HU41" s="116"/>
      <c r="HV41" s="16">
        <f t="shared" si="44"/>
        <v>0</v>
      </c>
      <c r="HW41" s="90"/>
      <c r="HX41" s="90"/>
      <c r="HY41" s="90"/>
      <c r="HZ41" s="116"/>
      <c r="IA41" s="16">
        <f t="shared" si="45"/>
        <v>0</v>
      </c>
      <c r="IB41" s="90"/>
      <c r="IC41" s="90"/>
      <c r="ID41" s="90"/>
      <c r="IE41" s="116"/>
      <c r="IF41" s="16">
        <f t="shared" si="46"/>
        <v>0</v>
      </c>
      <c r="IG41" s="90"/>
      <c r="IH41" s="90"/>
      <c r="II41" s="90"/>
      <c r="IJ41" s="116"/>
      <c r="IK41" s="16">
        <f t="shared" si="47"/>
        <v>0</v>
      </c>
      <c r="IL41" s="90"/>
      <c r="IM41" s="90"/>
      <c r="IN41" s="90"/>
      <c r="IO41" s="116"/>
      <c r="IP41" s="16">
        <f t="shared" si="48"/>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49"/>
        <v>0</v>
      </c>
      <c r="CC42" s="90"/>
      <c r="CD42" s="90"/>
      <c r="CE42" s="90"/>
      <c r="CF42" s="116"/>
      <c r="CG42" s="16">
        <f t="shared" si="16"/>
        <v>0</v>
      </c>
      <c r="CH42" s="90"/>
      <c r="CI42" s="90"/>
      <c r="CJ42" s="90"/>
      <c r="CK42" s="116"/>
      <c r="CL42" s="16">
        <f t="shared" si="17"/>
        <v>0</v>
      </c>
      <c r="CM42" s="90"/>
      <c r="CN42" s="90"/>
      <c r="CO42" s="90"/>
      <c r="CP42" s="116"/>
      <c r="CQ42" s="16">
        <f t="shared" si="18"/>
        <v>0</v>
      </c>
      <c r="CR42" s="90"/>
      <c r="CS42" s="90"/>
      <c r="CT42" s="90"/>
      <c r="CU42" s="116"/>
      <c r="CV42" s="16">
        <f t="shared" si="19"/>
        <v>0</v>
      </c>
      <c r="CW42" s="90"/>
      <c r="CX42" s="90"/>
      <c r="CY42" s="90"/>
      <c r="CZ42" s="116"/>
      <c r="DA42" s="16">
        <f t="shared" si="20"/>
        <v>0</v>
      </c>
      <c r="DB42" s="90"/>
      <c r="DC42" s="90"/>
      <c r="DD42" s="90"/>
      <c r="DE42" s="116"/>
      <c r="DF42" s="16">
        <f t="shared" si="21"/>
        <v>0</v>
      </c>
      <c r="DG42" s="90"/>
      <c r="DH42" s="90"/>
      <c r="DI42" s="90"/>
      <c r="DJ42" s="116"/>
      <c r="DK42" s="16">
        <f t="shared" si="22"/>
        <v>0</v>
      </c>
      <c r="DL42" s="90"/>
      <c r="DM42" s="90"/>
      <c r="DN42" s="90"/>
      <c r="DO42" s="116"/>
      <c r="DP42" s="16">
        <f t="shared" si="23"/>
        <v>0</v>
      </c>
      <c r="DQ42" s="90"/>
      <c r="DR42" s="90"/>
      <c r="DS42" s="90"/>
      <c r="DT42" s="116"/>
      <c r="DU42" s="16">
        <f t="shared" si="24"/>
        <v>0</v>
      </c>
      <c r="DV42" s="90"/>
      <c r="DW42" s="90"/>
      <c r="DX42" s="90"/>
      <c r="DY42" s="116"/>
      <c r="DZ42" s="16">
        <f t="shared" si="25"/>
        <v>0</v>
      </c>
      <c r="EA42" s="90"/>
      <c r="EB42" s="90"/>
      <c r="EC42" s="90"/>
      <c r="ED42" s="116"/>
      <c r="EE42" s="16">
        <f t="shared" si="26"/>
        <v>0</v>
      </c>
      <c r="EF42" s="90"/>
      <c r="EG42" s="90"/>
      <c r="EH42" s="90"/>
      <c r="EI42" s="116"/>
      <c r="EJ42" s="16">
        <f t="shared" si="27"/>
        <v>0</v>
      </c>
      <c r="EK42" s="90"/>
      <c r="EL42" s="90"/>
      <c r="EM42" s="90"/>
      <c r="EN42" s="116"/>
      <c r="EO42" s="16">
        <f t="shared" si="28"/>
        <v>0</v>
      </c>
      <c r="EP42" s="90"/>
      <c r="EQ42" s="90"/>
      <c r="ER42" s="90"/>
      <c r="ES42" s="116"/>
      <c r="ET42" s="16">
        <f t="shared" si="29"/>
        <v>0</v>
      </c>
      <c r="EU42" s="90"/>
      <c r="EV42" s="90"/>
      <c r="EW42" s="90"/>
      <c r="EX42" s="116"/>
      <c r="EY42" s="16">
        <f t="shared" si="30"/>
        <v>0</v>
      </c>
      <c r="EZ42" s="90"/>
      <c r="FA42" s="90"/>
      <c r="FB42" s="90"/>
      <c r="FC42" s="116"/>
      <c r="FD42" s="16">
        <f t="shared" si="31"/>
        <v>0</v>
      </c>
      <c r="FE42" s="90"/>
      <c r="FF42" s="90"/>
      <c r="FG42" s="90"/>
      <c r="FH42" s="116"/>
      <c r="FI42" s="16">
        <f t="shared" si="50"/>
        <v>0</v>
      </c>
      <c r="FJ42" s="90"/>
      <c r="FK42" s="90"/>
      <c r="FL42" s="90"/>
      <c r="FM42" s="116"/>
      <c r="FN42" s="16">
        <f t="shared" si="32"/>
        <v>0</v>
      </c>
      <c r="FO42" s="90"/>
      <c r="FP42" s="90"/>
      <c r="FQ42" s="90"/>
      <c r="FR42" s="116"/>
      <c r="FS42" s="16">
        <f t="shared" si="33"/>
        <v>0</v>
      </c>
      <c r="FT42" s="90"/>
      <c r="FU42" s="90"/>
      <c r="FV42" s="90"/>
      <c r="FW42" s="116"/>
      <c r="FX42" s="16">
        <f t="shared" si="34"/>
        <v>0</v>
      </c>
      <c r="FY42" s="90"/>
      <c r="FZ42" s="90"/>
      <c r="GA42" s="90"/>
      <c r="GB42" s="116"/>
      <c r="GC42" s="16">
        <f t="shared" si="35"/>
        <v>0</v>
      </c>
      <c r="GD42" s="90"/>
      <c r="GE42" s="90"/>
      <c r="GF42" s="90"/>
      <c r="GG42" s="116"/>
      <c r="GH42" s="16">
        <f t="shared" si="36"/>
        <v>0</v>
      </c>
      <c r="GI42" s="90"/>
      <c r="GJ42" s="90"/>
      <c r="GK42" s="90"/>
      <c r="GL42" s="116"/>
      <c r="GM42" s="16">
        <f t="shared" si="37"/>
        <v>0</v>
      </c>
      <c r="GN42" s="90"/>
      <c r="GO42" s="90"/>
      <c r="GP42" s="90"/>
      <c r="GQ42" s="116"/>
      <c r="GR42" s="16">
        <f t="shared" si="38"/>
        <v>0</v>
      </c>
      <c r="GS42" s="90"/>
      <c r="GT42" s="90"/>
      <c r="GU42" s="90"/>
      <c r="GV42" s="116"/>
      <c r="GW42" s="16">
        <f t="shared" si="39"/>
        <v>0</v>
      </c>
      <c r="GX42" s="90"/>
      <c r="GY42" s="90"/>
      <c r="GZ42" s="90"/>
      <c r="HA42" s="116"/>
      <c r="HB42" s="16">
        <f t="shared" si="40"/>
        <v>0</v>
      </c>
      <c r="HC42" s="90"/>
      <c r="HD42" s="90"/>
      <c r="HE42" s="90"/>
      <c r="HF42" s="116"/>
      <c r="HG42" s="16">
        <f t="shared" si="41"/>
        <v>0</v>
      </c>
      <c r="HH42" s="90"/>
      <c r="HI42" s="90"/>
      <c r="HJ42" s="90"/>
      <c r="HK42" s="116"/>
      <c r="HL42" s="16">
        <f t="shared" si="42"/>
        <v>0</v>
      </c>
      <c r="HM42" s="90"/>
      <c r="HN42" s="90"/>
      <c r="HO42" s="90"/>
      <c r="HP42" s="116"/>
      <c r="HQ42" s="16">
        <f t="shared" si="43"/>
        <v>0</v>
      </c>
      <c r="HR42" s="90"/>
      <c r="HS42" s="90"/>
      <c r="HT42" s="90"/>
      <c r="HU42" s="116"/>
      <c r="HV42" s="16">
        <f t="shared" si="44"/>
        <v>0</v>
      </c>
      <c r="HW42" s="90"/>
      <c r="HX42" s="90"/>
      <c r="HY42" s="90"/>
      <c r="HZ42" s="116"/>
      <c r="IA42" s="16">
        <f t="shared" si="45"/>
        <v>0</v>
      </c>
      <c r="IB42" s="90"/>
      <c r="IC42" s="90"/>
      <c r="ID42" s="90"/>
      <c r="IE42" s="116"/>
      <c r="IF42" s="16">
        <f t="shared" si="46"/>
        <v>0</v>
      </c>
      <c r="IG42" s="90"/>
      <c r="IH42" s="90"/>
      <c r="II42" s="90"/>
      <c r="IJ42" s="116"/>
      <c r="IK42" s="16">
        <f t="shared" si="47"/>
        <v>0</v>
      </c>
      <c r="IL42" s="90"/>
      <c r="IM42" s="90"/>
      <c r="IN42" s="90"/>
      <c r="IO42" s="116"/>
      <c r="IP42" s="16">
        <f t="shared" si="48"/>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49"/>
        <v>0</v>
      </c>
      <c r="CC43" s="90"/>
      <c r="CD43" s="90"/>
      <c r="CE43" s="90"/>
      <c r="CF43" s="116"/>
      <c r="CG43" s="16">
        <f t="shared" si="16"/>
        <v>0</v>
      </c>
      <c r="CH43" s="90"/>
      <c r="CI43" s="90"/>
      <c r="CJ43" s="90"/>
      <c r="CK43" s="116"/>
      <c r="CL43" s="16">
        <f t="shared" si="17"/>
        <v>0</v>
      </c>
      <c r="CM43" s="90"/>
      <c r="CN43" s="90"/>
      <c r="CO43" s="90"/>
      <c r="CP43" s="116"/>
      <c r="CQ43" s="16">
        <f t="shared" si="18"/>
        <v>0</v>
      </c>
      <c r="CR43" s="90"/>
      <c r="CS43" s="90"/>
      <c r="CT43" s="90"/>
      <c r="CU43" s="116"/>
      <c r="CV43" s="16">
        <f t="shared" si="19"/>
        <v>0</v>
      </c>
      <c r="CW43" s="90"/>
      <c r="CX43" s="90"/>
      <c r="CY43" s="90"/>
      <c r="CZ43" s="116"/>
      <c r="DA43" s="16">
        <f t="shared" si="20"/>
        <v>0</v>
      </c>
      <c r="DB43" s="90"/>
      <c r="DC43" s="90"/>
      <c r="DD43" s="90"/>
      <c r="DE43" s="116"/>
      <c r="DF43" s="16">
        <f t="shared" si="21"/>
        <v>0</v>
      </c>
      <c r="DG43" s="90"/>
      <c r="DH43" s="90"/>
      <c r="DI43" s="90"/>
      <c r="DJ43" s="116"/>
      <c r="DK43" s="16">
        <f t="shared" si="22"/>
        <v>0</v>
      </c>
      <c r="DL43" s="90"/>
      <c r="DM43" s="90"/>
      <c r="DN43" s="90"/>
      <c r="DO43" s="116"/>
      <c r="DP43" s="16">
        <f t="shared" si="23"/>
        <v>0</v>
      </c>
      <c r="DQ43" s="90"/>
      <c r="DR43" s="90"/>
      <c r="DS43" s="90"/>
      <c r="DT43" s="116"/>
      <c r="DU43" s="16">
        <f t="shared" si="24"/>
        <v>0</v>
      </c>
      <c r="DV43" s="90"/>
      <c r="DW43" s="90"/>
      <c r="DX43" s="90"/>
      <c r="DY43" s="116"/>
      <c r="DZ43" s="16">
        <f t="shared" si="25"/>
        <v>0</v>
      </c>
      <c r="EA43" s="90"/>
      <c r="EB43" s="90"/>
      <c r="EC43" s="90"/>
      <c r="ED43" s="116"/>
      <c r="EE43" s="16">
        <f t="shared" si="26"/>
        <v>0</v>
      </c>
      <c r="EF43" s="90"/>
      <c r="EG43" s="90"/>
      <c r="EH43" s="90"/>
      <c r="EI43" s="116"/>
      <c r="EJ43" s="16">
        <f t="shared" si="27"/>
        <v>0</v>
      </c>
      <c r="EK43" s="90"/>
      <c r="EL43" s="90"/>
      <c r="EM43" s="90"/>
      <c r="EN43" s="116"/>
      <c r="EO43" s="16">
        <f t="shared" si="28"/>
        <v>0</v>
      </c>
      <c r="EP43" s="90"/>
      <c r="EQ43" s="90"/>
      <c r="ER43" s="90"/>
      <c r="ES43" s="116"/>
      <c r="ET43" s="16">
        <f t="shared" si="29"/>
        <v>0</v>
      </c>
      <c r="EU43" s="90"/>
      <c r="EV43" s="90"/>
      <c r="EW43" s="90"/>
      <c r="EX43" s="116"/>
      <c r="EY43" s="16">
        <f t="shared" si="30"/>
        <v>0</v>
      </c>
      <c r="EZ43" s="90"/>
      <c r="FA43" s="90"/>
      <c r="FB43" s="90"/>
      <c r="FC43" s="116"/>
      <c r="FD43" s="16">
        <f t="shared" si="31"/>
        <v>0</v>
      </c>
      <c r="FE43" s="90"/>
      <c r="FF43" s="90"/>
      <c r="FG43" s="90"/>
      <c r="FH43" s="116"/>
      <c r="FI43" s="16">
        <f t="shared" si="50"/>
        <v>0</v>
      </c>
      <c r="FJ43" s="90"/>
      <c r="FK43" s="90"/>
      <c r="FL43" s="90"/>
      <c r="FM43" s="116"/>
      <c r="FN43" s="16">
        <f t="shared" si="32"/>
        <v>0</v>
      </c>
      <c r="FO43" s="90"/>
      <c r="FP43" s="90"/>
      <c r="FQ43" s="90"/>
      <c r="FR43" s="116"/>
      <c r="FS43" s="16">
        <f t="shared" si="33"/>
        <v>0</v>
      </c>
      <c r="FT43" s="90"/>
      <c r="FU43" s="90"/>
      <c r="FV43" s="90"/>
      <c r="FW43" s="116"/>
      <c r="FX43" s="16">
        <f t="shared" si="34"/>
        <v>0</v>
      </c>
      <c r="FY43" s="90"/>
      <c r="FZ43" s="90"/>
      <c r="GA43" s="90"/>
      <c r="GB43" s="116"/>
      <c r="GC43" s="16">
        <f t="shared" si="35"/>
        <v>0</v>
      </c>
      <c r="GD43" s="90"/>
      <c r="GE43" s="90"/>
      <c r="GF43" s="90"/>
      <c r="GG43" s="116"/>
      <c r="GH43" s="16">
        <f t="shared" si="36"/>
        <v>0</v>
      </c>
      <c r="GI43" s="90"/>
      <c r="GJ43" s="90"/>
      <c r="GK43" s="90"/>
      <c r="GL43" s="116"/>
      <c r="GM43" s="16">
        <f t="shared" si="37"/>
        <v>0</v>
      </c>
      <c r="GN43" s="90"/>
      <c r="GO43" s="90"/>
      <c r="GP43" s="90"/>
      <c r="GQ43" s="116"/>
      <c r="GR43" s="16">
        <f t="shared" si="38"/>
        <v>0</v>
      </c>
      <c r="GS43" s="90"/>
      <c r="GT43" s="90"/>
      <c r="GU43" s="90"/>
      <c r="GV43" s="116"/>
      <c r="GW43" s="16">
        <f t="shared" si="39"/>
        <v>0</v>
      </c>
      <c r="GX43" s="90"/>
      <c r="GY43" s="90"/>
      <c r="GZ43" s="90"/>
      <c r="HA43" s="116"/>
      <c r="HB43" s="16">
        <f t="shared" si="40"/>
        <v>0</v>
      </c>
      <c r="HC43" s="90"/>
      <c r="HD43" s="90"/>
      <c r="HE43" s="90"/>
      <c r="HF43" s="116"/>
      <c r="HG43" s="16">
        <f t="shared" si="41"/>
        <v>0</v>
      </c>
      <c r="HH43" s="90"/>
      <c r="HI43" s="90"/>
      <c r="HJ43" s="90"/>
      <c r="HK43" s="116"/>
      <c r="HL43" s="16">
        <f t="shared" si="42"/>
        <v>0</v>
      </c>
      <c r="HM43" s="90"/>
      <c r="HN43" s="90"/>
      <c r="HO43" s="90"/>
      <c r="HP43" s="116"/>
      <c r="HQ43" s="16">
        <f t="shared" si="43"/>
        <v>0</v>
      </c>
      <c r="HR43" s="90"/>
      <c r="HS43" s="90"/>
      <c r="HT43" s="90"/>
      <c r="HU43" s="116"/>
      <c r="HV43" s="16">
        <f t="shared" si="44"/>
        <v>0</v>
      </c>
      <c r="HW43" s="90"/>
      <c r="HX43" s="90"/>
      <c r="HY43" s="90"/>
      <c r="HZ43" s="116"/>
      <c r="IA43" s="16">
        <f t="shared" si="45"/>
        <v>0</v>
      </c>
      <c r="IB43" s="90"/>
      <c r="IC43" s="90"/>
      <c r="ID43" s="90"/>
      <c r="IE43" s="116"/>
      <c r="IF43" s="16">
        <f t="shared" si="46"/>
        <v>0</v>
      </c>
      <c r="IG43" s="90"/>
      <c r="IH43" s="90"/>
      <c r="II43" s="90"/>
      <c r="IJ43" s="116"/>
      <c r="IK43" s="16">
        <f t="shared" si="47"/>
        <v>0</v>
      </c>
      <c r="IL43" s="90"/>
      <c r="IM43" s="90"/>
      <c r="IN43" s="90"/>
      <c r="IO43" s="116"/>
      <c r="IP43" s="16">
        <f t="shared" si="48"/>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49"/>
        <v>0</v>
      </c>
      <c r="CC44" s="90"/>
      <c r="CD44" s="90"/>
      <c r="CE44" s="90"/>
      <c r="CF44" s="116"/>
      <c r="CG44" s="16">
        <f t="shared" si="16"/>
        <v>0</v>
      </c>
      <c r="CH44" s="90"/>
      <c r="CI44" s="90"/>
      <c r="CJ44" s="90"/>
      <c r="CK44" s="116"/>
      <c r="CL44" s="16">
        <f t="shared" si="17"/>
        <v>0</v>
      </c>
      <c r="CM44" s="90"/>
      <c r="CN44" s="90"/>
      <c r="CO44" s="90"/>
      <c r="CP44" s="116"/>
      <c r="CQ44" s="16">
        <f t="shared" si="18"/>
        <v>0</v>
      </c>
      <c r="CR44" s="90"/>
      <c r="CS44" s="90"/>
      <c r="CT44" s="90"/>
      <c r="CU44" s="116"/>
      <c r="CV44" s="16">
        <f t="shared" si="19"/>
        <v>0</v>
      </c>
      <c r="CW44" s="90"/>
      <c r="CX44" s="90"/>
      <c r="CY44" s="90"/>
      <c r="CZ44" s="116"/>
      <c r="DA44" s="16">
        <f t="shared" si="20"/>
        <v>0</v>
      </c>
      <c r="DB44" s="90"/>
      <c r="DC44" s="90"/>
      <c r="DD44" s="90"/>
      <c r="DE44" s="116"/>
      <c r="DF44" s="16">
        <f t="shared" si="21"/>
        <v>0</v>
      </c>
      <c r="DG44" s="90"/>
      <c r="DH44" s="90"/>
      <c r="DI44" s="90"/>
      <c r="DJ44" s="116"/>
      <c r="DK44" s="16">
        <f t="shared" si="22"/>
        <v>0</v>
      </c>
      <c r="DL44" s="90"/>
      <c r="DM44" s="90"/>
      <c r="DN44" s="90"/>
      <c r="DO44" s="116"/>
      <c r="DP44" s="16">
        <f t="shared" si="23"/>
        <v>0</v>
      </c>
      <c r="DQ44" s="90"/>
      <c r="DR44" s="90"/>
      <c r="DS44" s="90"/>
      <c r="DT44" s="116"/>
      <c r="DU44" s="16">
        <f t="shared" si="24"/>
        <v>0</v>
      </c>
      <c r="DV44" s="90"/>
      <c r="DW44" s="90"/>
      <c r="DX44" s="90"/>
      <c r="DY44" s="116"/>
      <c r="DZ44" s="16">
        <f t="shared" si="25"/>
        <v>0</v>
      </c>
      <c r="EA44" s="90"/>
      <c r="EB44" s="90"/>
      <c r="EC44" s="90"/>
      <c r="ED44" s="116"/>
      <c r="EE44" s="16">
        <f t="shared" si="26"/>
        <v>0</v>
      </c>
      <c r="EF44" s="90"/>
      <c r="EG44" s="90"/>
      <c r="EH44" s="90"/>
      <c r="EI44" s="116"/>
      <c r="EJ44" s="16">
        <f t="shared" si="27"/>
        <v>0</v>
      </c>
      <c r="EK44" s="90"/>
      <c r="EL44" s="90"/>
      <c r="EM44" s="90"/>
      <c r="EN44" s="116"/>
      <c r="EO44" s="16">
        <f t="shared" si="28"/>
        <v>0</v>
      </c>
      <c r="EP44" s="90"/>
      <c r="EQ44" s="90"/>
      <c r="ER44" s="90"/>
      <c r="ES44" s="116"/>
      <c r="ET44" s="16">
        <f t="shared" si="29"/>
        <v>0</v>
      </c>
      <c r="EU44" s="90"/>
      <c r="EV44" s="90"/>
      <c r="EW44" s="90"/>
      <c r="EX44" s="116"/>
      <c r="EY44" s="16">
        <f t="shared" si="30"/>
        <v>0</v>
      </c>
      <c r="EZ44" s="90"/>
      <c r="FA44" s="90"/>
      <c r="FB44" s="90"/>
      <c r="FC44" s="116"/>
      <c r="FD44" s="16">
        <f t="shared" si="31"/>
        <v>0</v>
      </c>
      <c r="FE44" s="90"/>
      <c r="FF44" s="90"/>
      <c r="FG44" s="90"/>
      <c r="FH44" s="116"/>
      <c r="FI44" s="16">
        <f t="shared" si="50"/>
        <v>0</v>
      </c>
      <c r="FJ44" s="90"/>
      <c r="FK44" s="90"/>
      <c r="FL44" s="90"/>
      <c r="FM44" s="116"/>
      <c r="FN44" s="16">
        <f t="shared" si="32"/>
        <v>0</v>
      </c>
      <c r="FO44" s="90"/>
      <c r="FP44" s="90"/>
      <c r="FQ44" s="90"/>
      <c r="FR44" s="116"/>
      <c r="FS44" s="16">
        <f t="shared" si="33"/>
        <v>0</v>
      </c>
      <c r="FT44" s="90"/>
      <c r="FU44" s="90"/>
      <c r="FV44" s="90"/>
      <c r="FW44" s="116"/>
      <c r="FX44" s="16">
        <f t="shared" si="34"/>
        <v>0</v>
      </c>
      <c r="FY44" s="90"/>
      <c r="FZ44" s="90"/>
      <c r="GA44" s="90"/>
      <c r="GB44" s="116"/>
      <c r="GC44" s="16">
        <f t="shared" si="35"/>
        <v>0</v>
      </c>
      <c r="GD44" s="90"/>
      <c r="GE44" s="90"/>
      <c r="GF44" s="90"/>
      <c r="GG44" s="116"/>
      <c r="GH44" s="16">
        <f t="shared" si="36"/>
        <v>0</v>
      </c>
      <c r="GI44" s="90"/>
      <c r="GJ44" s="90"/>
      <c r="GK44" s="90"/>
      <c r="GL44" s="116"/>
      <c r="GM44" s="16">
        <f t="shared" si="37"/>
        <v>0</v>
      </c>
      <c r="GN44" s="90"/>
      <c r="GO44" s="90"/>
      <c r="GP44" s="90"/>
      <c r="GQ44" s="116"/>
      <c r="GR44" s="16">
        <f t="shared" si="38"/>
        <v>0</v>
      </c>
      <c r="GS44" s="90"/>
      <c r="GT44" s="90"/>
      <c r="GU44" s="90"/>
      <c r="GV44" s="116"/>
      <c r="GW44" s="16">
        <f t="shared" si="39"/>
        <v>0</v>
      </c>
      <c r="GX44" s="90"/>
      <c r="GY44" s="90"/>
      <c r="GZ44" s="90"/>
      <c r="HA44" s="116"/>
      <c r="HB44" s="16">
        <f t="shared" si="40"/>
        <v>0</v>
      </c>
      <c r="HC44" s="90"/>
      <c r="HD44" s="90"/>
      <c r="HE44" s="90"/>
      <c r="HF44" s="116"/>
      <c r="HG44" s="16">
        <f t="shared" si="41"/>
        <v>0</v>
      </c>
      <c r="HH44" s="90"/>
      <c r="HI44" s="90"/>
      <c r="HJ44" s="90"/>
      <c r="HK44" s="116"/>
      <c r="HL44" s="16">
        <f t="shared" si="42"/>
        <v>0</v>
      </c>
      <c r="HM44" s="90"/>
      <c r="HN44" s="90"/>
      <c r="HO44" s="90"/>
      <c r="HP44" s="116"/>
      <c r="HQ44" s="16">
        <f t="shared" si="43"/>
        <v>0</v>
      </c>
      <c r="HR44" s="90"/>
      <c r="HS44" s="90"/>
      <c r="HT44" s="90"/>
      <c r="HU44" s="116"/>
      <c r="HV44" s="16">
        <f t="shared" si="44"/>
        <v>0</v>
      </c>
      <c r="HW44" s="90"/>
      <c r="HX44" s="90"/>
      <c r="HY44" s="90"/>
      <c r="HZ44" s="116"/>
      <c r="IA44" s="16">
        <f t="shared" si="45"/>
        <v>0</v>
      </c>
      <c r="IB44" s="90"/>
      <c r="IC44" s="90"/>
      <c r="ID44" s="90"/>
      <c r="IE44" s="116"/>
      <c r="IF44" s="16">
        <f t="shared" si="46"/>
        <v>0</v>
      </c>
      <c r="IG44" s="90"/>
      <c r="IH44" s="90"/>
      <c r="II44" s="90"/>
      <c r="IJ44" s="116"/>
      <c r="IK44" s="16">
        <f t="shared" si="47"/>
        <v>0</v>
      </c>
      <c r="IL44" s="90"/>
      <c r="IM44" s="90"/>
      <c r="IN44" s="90"/>
      <c r="IO44" s="116"/>
      <c r="IP44" s="16">
        <f t="shared" si="48"/>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49"/>
        <v>0</v>
      </c>
      <c r="CC45" s="90"/>
      <c r="CD45" s="90"/>
      <c r="CE45" s="90"/>
      <c r="CF45" s="116"/>
      <c r="CG45" s="16">
        <f t="shared" si="16"/>
        <v>0</v>
      </c>
      <c r="CH45" s="90"/>
      <c r="CI45" s="90"/>
      <c r="CJ45" s="90"/>
      <c r="CK45" s="116"/>
      <c r="CL45" s="16">
        <f t="shared" si="17"/>
        <v>0</v>
      </c>
      <c r="CM45" s="90"/>
      <c r="CN45" s="90"/>
      <c r="CO45" s="90"/>
      <c r="CP45" s="116"/>
      <c r="CQ45" s="16">
        <f t="shared" si="18"/>
        <v>0</v>
      </c>
      <c r="CR45" s="90"/>
      <c r="CS45" s="90"/>
      <c r="CT45" s="90"/>
      <c r="CU45" s="116"/>
      <c r="CV45" s="16">
        <f t="shared" si="19"/>
        <v>0</v>
      </c>
      <c r="CW45" s="90"/>
      <c r="CX45" s="90"/>
      <c r="CY45" s="90"/>
      <c r="CZ45" s="116"/>
      <c r="DA45" s="16">
        <f t="shared" si="20"/>
        <v>0</v>
      </c>
      <c r="DB45" s="90"/>
      <c r="DC45" s="90"/>
      <c r="DD45" s="90"/>
      <c r="DE45" s="116"/>
      <c r="DF45" s="16">
        <f t="shared" si="21"/>
        <v>0</v>
      </c>
      <c r="DG45" s="90"/>
      <c r="DH45" s="90"/>
      <c r="DI45" s="90"/>
      <c r="DJ45" s="116"/>
      <c r="DK45" s="16">
        <f t="shared" si="22"/>
        <v>0</v>
      </c>
      <c r="DL45" s="90"/>
      <c r="DM45" s="90"/>
      <c r="DN45" s="90"/>
      <c r="DO45" s="116"/>
      <c r="DP45" s="16">
        <f t="shared" si="23"/>
        <v>0</v>
      </c>
      <c r="DQ45" s="90"/>
      <c r="DR45" s="90"/>
      <c r="DS45" s="90"/>
      <c r="DT45" s="116"/>
      <c r="DU45" s="16">
        <f t="shared" si="24"/>
        <v>0</v>
      </c>
      <c r="DV45" s="90"/>
      <c r="DW45" s="90"/>
      <c r="DX45" s="90"/>
      <c r="DY45" s="116"/>
      <c r="DZ45" s="16">
        <f t="shared" si="25"/>
        <v>0</v>
      </c>
      <c r="EA45" s="90"/>
      <c r="EB45" s="90"/>
      <c r="EC45" s="90"/>
      <c r="ED45" s="116"/>
      <c r="EE45" s="16">
        <f t="shared" si="26"/>
        <v>0</v>
      </c>
      <c r="EF45" s="90"/>
      <c r="EG45" s="90"/>
      <c r="EH45" s="90"/>
      <c r="EI45" s="116"/>
      <c r="EJ45" s="16">
        <f t="shared" si="27"/>
        <v>0</v>
      </c>
      <c r="EK45" s="90"/>
      <c r="EL45" s="90"/>
      <c r="EM45" s="90"/>
      <c r="EN45" s="116"/>
      <c r="EO45" s="16">
        <f t="shared" si="28"/>
        <v>0</v>
      </c>
      <c r="EP45" s="90"/>
      <c r="EQ45" s="90"/>
      <c r="ER45" s="90"/>
      <c r="ES45" s="116"/>
      <c r="ET45" s="16">
        <f t="shared" si="29"/>
        <v>0</v>
      </c>
      <c r="EU45" s="90"/>
      <c r="EV45" s="90"/>
      <c r="EW45" s="90"/>
      <c r="EX45" s="116"/>
      <c r="EY45" s="16">
        <f t="shared" si="30"/>
        <v>0</v>
      </c>
      <c r="EZ45" s="90"/>
      <c r="FA45" s="90"/>
      <c r="FB45" s="90"/>
      <c r="FC45" s="116"/>
      <c r="FD45" s="16">
        <f t="shared" si="31"/>
        <v>0</v>
      </c>
      <c r="FE45" s="90"/>
      <c r="FF45" s="90"/>
      <c r="FG45" s="90"/>
      <c r="FH45" s="116"/>
      <c r="FI45" s="16">
        <f t="shared" si="50"/>
        <v>0</v>
      </c>
      <c r="FJ45" s="90"/>
      <c r="FK45" s="90"/>
      <c r="FL45" s="90"/>
      <c r="FM45" s="116"/>
      <c r="FN45" s="16">
        <f t="shared" si="32"/>
        <v>0</v>
      </c>
      <c r="FO45" s="90"/>
      <c r="FP45" s="90"/>
      <c r="FQ45" s="90"/>
      <c r="FR45" s="116"/>
      <c r="FS45" s="16">
        <f t="shared" si="33"/>
        <v>0</v>
      </c>
      <c r="FT45" s="90"/>
      <c r="FU45" s="90"/>
      <c r="FV45" s="90"/>
      <c r="FW45" s="116"/>
      <c r="FX45" s="16">
        <f t="shared" si="34"/>
        <v>0</v>
      </c>
      <c r="FY45" s="90"/>
      <c r="FZ45" s="90"/>
      <c r="GA45" s="90"/>
      <c r="GB45" s="116"/>
      <c r="GC45" s="16">
        <f t="shared" si="35"/>
        <v>0</v>
      </c>
      <c r="GD45" s="90"/>
      <c r="GE45" s="90"/>
      <c r="GF45" s="90"/>
      <c r="GG45" s="116"/>
      <c r="GH45" s="16">
        <f t="shared" si="36"/>
        <v>0</v>
      </c>
      <c r="GI45" s="90"/>
      <c r="GJ45" s="90"/>
      <c r="GK45" s="90"/>
      <c r="GL45" s="116"/>
      <c r="GM45" s="16">
        <f t="shared" si="37"/>
        <v>0</v>
      </c>
      <c r="GN45" s="90"/>
      <c r="GO45" s="90"/>
      <c r="GP45" s="90"/>
      <c r="GQ45" s="116"/>
      <c r="GR45" s="16">
        <f t="shared" si="38"/>
        <v>0</v>
      </c>
      <c r="GS45" s="90"/>
      <c r="GT45" s="90"/>
      <c r="GU45" s="90"/>
      <c r="GV45" s="116"/>
      <c r="GW45" s="16">
        <f t="shared" si="39"/>
        <v>0</v>
      </c>
      <c r="GX45" s="90"/>
      <c r="GY45" s="90"/>
      <c r="GZ45" s="90"/>
      <c r="HA45" s="116"/>
      <c r="HB45" s="16">
        <f t="shared" si="40"/>
        <v>0</v>
      </c>
      <c r="HC45" s="90"/>
      <c r="HD45" s="90"/>
      <c r="HE45" s="90"/>
      <c r="HF45" s="116"/>
      <c r="HG45" s="16">
        <f t="shared" si="41"/>
        <v>0</v>
      </c>
      <c r="HH45" s="90"/>
      <c r="HI45" s="90"/>
      <c r="HJ45" s="90"/>
      <c r="HK45" s="116"/>
      <c r="HL45" s="16">
        <f t="shared" si="42"/>
        <v>0</v>
      </c>
      <c r="HM45" s="90"/>
      <c r="HN45" s="90"/>
      <c r="HO45" s="90"/>
      <c r="HP45" s="116"/>
      <c r="HQ45" s="16">
        <f t="shared" si="43"/>
        <v>0</v>
      </c>
      <c r="HR45" s="90"/>
      <c r="HS45" s="90"/>
      <c r="HT45" s="90"/>
      <c r="HU45" s="116"/>
      <c r="HV45" s="16">
        <f t="shared" si="44"/>
        <v>0</v>
      </c>
      <c r="HW45" s="90"/>
      <c r="HX45" s="90"/>
      <c r="HY45" s="90"/>
      <c r="HZ45" s="116"/>
      <c r="IA45" s="16">
        <f t="shared" si="45"/>
        <v>0</v>
      </c>
      <c r="IB45" s="90"/>
      <c r="IC45" s="90"/>
      <c r="ID45" s="90"/>
      <c r="IE45" s="116"/>
      <c r="IF45" s="16">
        <f t="shared" si="46"/>
        <v>0</v>
      </c>
      <c r="IG45" s="90"/>
      <c r="IH45" s="90"/>
      <c r="II45" s="90"/>
      <c r="IJ45" s="116"/>
      <c r="IK45" s="16">
        <f t="shared" si="47"/>
        <v>0</v>
      </c>
      <c r="IL45" s="90"/>
      <c r="IM45" s="90"/>
      <c r="IN45" s="90"/>
      <c r="IO45" s="116"/>
      <c r="IP45" s="16">
        <f t="shared" si="48"/>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49"/>
        <v>0</v>
      </c>
      <c r="CC46" s="90"/>
      <c r="CD46" s="90"/>
      <c r="CE46" s="90"/>
      <c r="CF46" s="116"/>
      <c r="CG46" s="16">
        <f t="shared" si="16"/>
        <v>0</v>
      </c>
      <c r="CH46" s="90"/>
      <c r="CI46" s="90"/>
      <c r="CJ46" s="90"/>
      <c r="CK46" s="116"/>
      <c r="CL46" s="16">
        <f t="shared" si="17"/>
        <v>0</v>
      </c>
      <c r="CM46" s="90"/>
      <c r="CN46" s="90"/>
      <c r="CO46" s="90"/>
      <c r="CP46" s="116"/>
      <c r="CQ46" s="16">
        <f t="shared" si="18"/>
        <v>0</v>
      </c>
      <c r="CR46" s="90"/>
      <c r="CS46" s="90"/>
      <c r="CT46" s="90"/>
      <c r="CU46" s="116"/>
      <c r="CV46" s="16">
        <f t="shared" si="19"/>
        <v>0</v>
      </c>
      <c r="CW46" s="90"/>
      <c r="CX46" s="90"/>
      <c r="CY46" s="90"/>
      <c r="CZ46" s="116"/>
      <c r="DA46" s="16">
        <f t="shared" si="20"/>
        <v>0</v>
      </c>
      <c r="DB46" s="90"/>
      <c r="DC46" s="90"/>
      <c r="DD46" s="90"/>
      <c r="DE46" s="116"/>
      <c r="DF46" s="16">
        <f t="shared" si="21"/>
        <v>0</v>
      </c>
      <c r="DG46" s="90"/>
      <c r="DH46" s="90"/>
      <c r="DI46" s="90"/>
      <c r="DJ46" s="116"/>
      <c r="DK46" s="16">
        <f t="shared" si="22"/>
        <v>0</v>
      </c>
      <c r="DL46" s="90"/>
      <c r="DM46" s="90"/>
      <c r="DN46" s="90"/>
      <c r="DO46" s="116"/>
      <c r="DP46" s="16">
        <f t="shared" si="23"/>
        <v>0</v>
      </c>
      <c r="DQ46" s="90"/>
      <c r="DR46" s="90"/>
      <c r="DS46" s="90"/>
      <c r="DT46" s="116"/>
      <c r="DU46" s="16">
        <f t="shared" si="24"/>
        <v>0</v>
      </c>
      <c r="DV46" s="90"/>
      <c r="DW46" s="90"/>
      <c r="DX46" s="90"/>
      <c r="DY46" s="116"/>
      <c r="DZ46" s="16">
        <f t="shared" si="25"/>
        <v>0</v>
      </c>
      <c r="EA46" s="90"/>
      <c r="EB46" s="90"/>
      <c r="EC46" s="90"/>
      <c r="ED46" s="116"/>
      <c r="EE46" s="16">
        <f t="shared" si="26"/>
        <v>0</v>
      </c>
      <c r="EF46" s="90"/>
      <c r="EG46" s="90"/>
      <c r="EH46" s="90"/>
      <c r="EI46" s="116"/>
      <c r="EJ46" s="16">
        <f t="shared" si="27"/>
        <v>0</v>
      </c>
      <c r="EK46" s="90"/>
      <c r="EL46" s="90"/>
      <c r="EM46" s="90"/>
      <c r="EN46" s="116"/>
      <c r="EO46" s="16">
        <f t="shared" si="28"/>
        <v>0</v>
      </c>
      <c r="EP46" s="90"/>
      <c r="EQ46" s="90"/>
      <c r="ER46" s="90"/>
      <c r="ES46" s="116"/>
      <c r="ET46" s="16">
        <f t="shared" si="29"/>
        <v>0</v>
      </c>
      <c r="EU46" s="90"/>
      <c r="EV46" s="90"/>
      <c r="EW46" s="90"/>
      <c r="EX46" s="116"/>
      <c r="EY46" s="16">
        <f t="shared" si="30"/>
        <v>0</v>
      </c>
      <c r="EZ46" s="90"/>
      <c r="FA46" s="90"/>
      <c r="FB46" s="90"/>
      <c r="FC46" s="116"/>
      <c r="FD46" s="16">
        <f t="shared" si="31"/>
        <v>0</v>
      </c>
      <c r="FE46" s="90"/>
      <c r="FF46" s="90"/>
      <c r="FG46" s="90"/>
      <c r="FH46" s="116"/>
      <c r="FI46" s="16">
        <f t="shared" si="50"/>
        <v>0</v>
      </c>
      <c r="FJ46" s="90"/>
      <c r="FK46" s="90"/>
      <c r="FL46" s="90"/>
      <c r="FM46" s="116"/>
      <c r="FN46" s="16">
        <f t="shared" si="32"/>
        <v>0</v>
      </c>
      <c r="FO46" s="90"/>
      <c r="FP46" s="90"/>
      <c r="FQ46" s="90"/>
      <c r="FR46" s="116"/>
      <c r="FS46" s="16">
        <f t="shared" si="33"/>
        <v>0</v>
      </c>
      <c r="FT46" s="90"/>
      <c r="FU46" s="90"/>
      <c r="FV46" s="90"/>
      <c r="FW46" s="116"/>
      <c r="FX46" s="16">
        <f t="shared" si="34"/>
        <v>0</v>
      </c>
      <c r="FY46" s="90"/>
      <c r="FZ46" s="90"/>
      <c r="GA46" s="90"/>
      <c r="GB46" s="116"/>
      <c r="GC46" s="16">
        <f t="shared" si="35"/>
        <v>0</v>
      </c>
      <c r="GD46" s="90"/>
      <c r="GE46" s="90"/>
      <c r="GF46" s="90"/>
      <c r="GG46" s="116"/>
      <c r="GH46" s="16">
        <f t="shared" si="36"/>
        <v>0</v>
      </c>
      <c r="GI46" s="90"/>
      <c r="GJ46" s="90"/>
      <c r="GK46" s="90"/>
      <c r="GL46" s="116"/>
      <c r="GM46" s="16">
        <f t="shared" si="37"/>
        <v>0</v>
      </c>
      <c r="GN46" s="90"/>
      <c r="GO46" s="90"/>
      <c r="GP46" s="90"/>
      <c r="GQ46" s="116"/>
      <c r="GR46" s="16">
        <f t="shared" si="38"/>
        <v>0</v>
      </c>
      <c r="GS46" s="90"/>
      <c r="GT46" s="90"/>
      <c r="GU46" s="90"/>
      <c r="GV46" s="116"/>
      <c r="GW46" s="16">
        <f t="shared" si="39"/>
        <v>0</v>
      </c>
      <c r="GX46" s="90"/>
      <c r="GY46" s="90"/>
      <c r="GZ46" s="90"/>
      <c r="HA46" s="116"/>
      <c r="HB46" s="16">
        <f t="shared" si="40"/>
        <v>0</v>
      </c>
      <c r="HC46" s="90"/>
      <c r="HD46" s="90"/>
      <c r="HE46" s="90"/>
      <c r="HF46" s="116"/>
      <c r="HG46" s="16">
        <f t="shared" si="41"/>
        <v>0</v>
      </c>
      <c r="HH46" s="90"/>
      <c r="HI46" s="90"/>
      <c r="HJ46" s="90"/>
      <c r="HK46" s="116"/>
      <c r="HL46" s="16">
        <f t="shared" si="42"/>
        <v>0</v>
      </c>
      <c r="HM46" s="90"/>
      <c r="HN46" s="90"/>
      <c r="HO46" s="90"/>
      <c r="HP46" s="116"/>
      <c r="HQ46" s="16">
        <f t="shared" si="43"/>
        <v>0</v>
      </c>
      <c r="HR46" s="90"/>
      <c r="HS46" s="90"/>
      <c r="HT46" s="90"/>
      <c r="HU46" s="116"/>
      <c r="HV46" s="16">
        <f t="shared" si="44"/>
        <v>0</v>
      </c>
      <c r="HW46" s="90"/>
      <c r="HX46" s="90"/>
      <c r="HY46" s="90"/>
      <c r="HZ46" s="116"/>
      <c r="IA46" s="16">
        <f t="shared" si="45"/>
        <v>0</v>
      </c>
      <c r="IB46" s="90"/>
      <c r="IC46" s="90"/>
      <c r="ID46" s="90"/>
      <c r="IE46" s="116"/>
      <c r="IF46" s="16">
        <f t="shared" si="46"/>
        <v>0</v>
      </c>
      <c r="IG46" s="90"/>
      <c r="IH46" s="90"/>
      <c r="II46" s="90"/>
      <c r="IJ46" s="116"/>
      <c r="IK46" s="16">
        <f t="shared" si="47"/>
        <v>0</v>
      </c>
      <c r="IL46" s="90"/>
      <c r="IM46" s="90"/>
      <c r="IN46" s="90"/>
      <c r="IO46" s="116"/>
      <c r="IP46" s="16">
        <f t="shared" si="48"/>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49"/>
        <v>0</v>
      </c>
      <c r="CC47" s="90"/>
      <c r="CD47" s="90"/>
      <c r="CE47" s="90"/>
      <c r="CF47" s="116"/>
      <c r="CG47" s="16">
        <f t="shared" si="16"/>
        <v>0</v>
      </c>
      <c r="CH47" s="90"/>
      <c r="CI47" s="90"/>
      <c r="CJ47" s="90"/>
      <c r="CK47" s="116"/>
      <c r="CL47" s="16">
        <f t="shared" si="17"/>
        <v>0</v>
      </c>
      <c r="CM47" s="90"/>
      <c r="CN47" s="90"/>
      <c r="CO47" s="90"/>
      <c r="CP47" s="116"/>
      <c r="CQ47" s="16">
        <f t="shared" si="18"/>
        <v>0</v>
      </c>
      <c r="CR47" s="90"/>
      <c r="CS47" s="90"/>
      <c r="CT47" s="90"/>
      <c r="CU47" s="116"/>
      <c r="CV47" s="16">
        <f t="shared" si="19"/>
        <v>0</v>
      </c>
      <c r="CW47" s="90"/>
      <c r="CX47" s="90"/>
      <c r="CY47" s="90"/>
      <c r="CZ47" s="116"/>
      <c r="DA47" s="16">
        <f t="shared" si="20"/>
        <v>0</v>
      </c>
      <c r="DB47" s="90"/>
      <c r="DC47" s="90"/>
      <c r="DD47" s="90"/>
      <c r="DE47" s="116"/>
      <c r="DF47" s="16">
        <f t="shared" si="21"/>
        <v>0</v>
      </c>
      <c r="DG47" s="90"/>
      <c r="DH47" s="90"/>
      <c r="DI47" s="90"/>
      <c r="DJ47" s="116"/>
      <c r="DK47" s="16">
        <f t="shared" si="22"/>
        <v>0</v>
      </c>
      <c r="DL47" s="90"/>
      <c r="DM47" s="90"/>
      <c r="DN47" s="90"/>
      <c r="DO47" s="116"/>
      <c r="DP47" s="16">
        <f t="shared" si="23"/>
        <v>0</v>
      </c>
      <c r="DQ47" s="90"/>
      <c r="DR47" s="90"/>
      <c r="DS47" s="90"/>
      <c r="DT47" s="116"/>
      <c r="DU47" s="16">
        <f t="shared" si="24"/>
        <v>0</v>
      </c>
      <c r="DV47" s="90"/>
      <c r="DW47" s="90"/>
      <c r="DX47" s="90"/>
      <c r="DY47" s="116"/>
      <c r="DZ47" s="16">
        <f t="shared" si="25"/>
        <v>0</v>
      </c>
      <c r="EA47" s="90"/>
      <c r="EB47" s="90"/>
      <c r="EC47" s="90"/>
      <c r="ED47" s="116"/>
      <c r="EE47" s="16">
        <f t="shared" si="26"/>
        <v>0</v>
      </c>
      <c r="EF47" s="90"/>
      <c r="EG47" s="90"/>
      <c r="EH47" s="90"/>
      <c r="EI47" s="116"/>
      <c r="EJ47" s="16">
        <f t="shared" si="27"/>
        <v>0</v>
      </c>
      <c r="EK47" s="90"/>
      <c r="EL47" s="90"/>
      <c r="EM47" s="90"/>
      <c r="EN47" s="116"/>
      <c r="EO47" s="16">
        <f t="shared" si="28"/>
        <v>0</v>
      </c>
      <c r="EP47" s="90"/>
      <c r="EQ47" s="90"/>
      <c r="ER47" s="90"/>
      <c r="ES47" s="116"/>
      <c r="ET47" s="16">
        <f t="shared" si="29"/>
        <v>0</v>
      </c>
      <c r="EU47" s="90"/>
      <c r="EV47" s="90"/>
      <c r="EW47" s="90"/>
      <c r="EX47" s="116"/>
      <c r="EY47" s="16">
        <f t="shared" si="30"/>
        <v>0</v>
      </c>
      <c r="EZ47" s="90"/>
      <c r="FA47" s="90"/>
      <c r="FB47" s="90"/>
      <c r="FC47" s="116"/>
      <c r="FD47" s="16">
        <f t="shared" si="31"/>
        <v>0</v>
      </c>
      <c r="FE47" s="90"/>
      <c r="FF47" s="90"/>
      <c r="FG47" s="90"/>
      <c r="FH47" s="116"/>
      <c r="FI47" s="16">
        <f t="shared" si="50"/>
        <v>0</v>
      </c>
      <c r="FJ47" s="90"/>
      <c r="FK47" s="90"/>
      <c r="FL47" s="90"/>
      <c r="FM47" s="116"/>
      <c r="FN47" s="16">
        <f t="shared" si="32"/>
        <v>0</v>
      </c>
      <c r="FO47" s="90"/>
      <c r="FP47" s="90"/>
      <c r="FQ47" s="90"/>
      <c r="FR47" s="116"/>
      <c r="FS47" s="16">
        <f t="shared" si="33"/>
        <v>0</v>
      </c>
      <c r="FT47" s="90"/>
      <c r="FU47" s="90"/>
      <c r="FV47" s="90"/>
      <c r="FW47" s="116"/>
      <c r="FX47" s="16">
        <f t="shared" si="34"/>
        <v>0</v>
      </c>
      <c r="FY47" s="90"/>
      <c r="FZ47" s="90"/>
      <c r="GA47" s="90"/>
      <c r="GB47" s="116"/>
      <c r="GC47" s="16">
        <f t="shared" si="35"/>
        <v>0</v>
      </c>
      <c r="GD47" s="90"/>
      <c r="GE47" s="90"/>
      <c r="GF47" s="90"/>
      <c r="GG47" s="116"/>
      <c r="GH47" s="16">
        <f t="shared" si="36"/>
        <v>0</v>
      </c>
      <c r="GI47" s="90"/>
      <c r="GJ47" s="90"/>
      <c r="GK47" s="90"/>
      <c r="GL47" s="116"/>
      <c r="GM47" s="16">
        <f t="shared" si="37"/>
        <v>0</v>
      </c>
      <c r="GN47" s="90"/>
      <c r="GO47" s="90"/>
      <c r="GP47" s="90"/>
      <c r="GQ47" s="116"/>
      <c r="GR47" s="16">
        <f t="shared" si="38"/>
        <v>0</v>
      </c>
      <c r="GS47" s="90"/>
      <c r="GT47" s="90"/>
      <c r="GU47" s="90"/>
      <c r="GV47" s="116"/>
      <c r="GW47" s="16">
        <f t="shared" si="39"/>
        <v>0</v>
      </c>
      <c r="GX47" s="90"/>
      <c r="GY47" s="90"/>
      <c r="GZ47" s="90"/>
      <c r="HA47" s="116"/>
      <c r="HB47" s="16">
        <f t="shared" si="40"/>
        <v>0</v>
      </c>
      <c r="HC47" s="90"/>
      <c r="HD47" s="90"/>
      <c r="HE47" s="90"/>
      <c r="HF47" s="116"/>
      <c r="HG47" s="16">
        <f t="shared" si="41"/>
        <v>0</v>
      </c>
      <c r="HH47" s="90"/>
      <c r="HI47" s="90"/>
      <c r="HJ47" s="90"/>
      <c r="HK47" s="116"/>
      <c r="HL47" s="16">
        <f t="shared" si="42"/>
        <v>0</v>
      </c>
      <c r="HM47" s="90"/>
      <c r="HN47" s="90"/>
      <c r="HO47" s="90"/>
      <c r="HP47" s="116"/>
      <c r="HQ47" s="16">
        <f t="shared" si="43"/>
        <v>0</v>
      </c>
      <c r="HR47" s="90"/>
      <c r="HS47" s="90"/>
      <c r="HT47" s="90"/>
      <c r="HU47" s="116"/>
      <c r="HV47" s="16">
        <f t="shared" si="44"/>
        <v>0</v>
      </c>
      <c r="HW47" s="90"/>
      <c r="HX47" s="90"/>
      <c r="HY47" s="90"/>
      <c r="HZ47" s="116"/>
      <c r="IA47" s="16">
        <f t="shared" si="45"/>
        <v>0</v>
      </c>
      <c r="IB47" s="90"/>
      <c r="IC47" s="90"/>
      <c r="ID47" s="90"/>
      <c r="IE47" s="116"/>
      <c r="IF47" s="16">
        <f t="shared" si="46"/>
        <v>0</v>
      </c>
      <c r="IG47" s="90"/>
      <c r="IH47" s="90"/>
      <c r="II47" s="90"/>
      <c r="IJ47" s="116"/>
      <c r="IK47" s="16">
        <f t="shared" si="47"/>
        <v>0</v>
      </c>
      <c r="IL47" s="90"/>
      <c r="IM47" s="90"/>
      <c r="IN47" s="90"/>
      <c r="IO47" s="116"/>
      <c r="IP47" s="16">
        <f t="shared" si="48"/>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49"/>
        <v>0</v>
      </c>
      <c r="CC48" s="90"/>
      <c r="CD48" s="90"/>
      <c r="CE48" s="90"/>
      <c r="CF48" s="116"/>
      <c r="CG48" s="16">
        <f t="shared" si="16"/>
        <v>0</v>
      </c>
      <c r="CH48" s="90"/>
      <c r="CI48" s="90"/>
      <c r="CJ48" s="90"/>
      <c r="CK48" s="116"/>
      <c r="CL48" s="16">
        <f t="shared" si="17"/>
        <v>0</v>
      </c>
      <c r="CM48" s="90"/>
      <c r="CN48" s="90"/>
      <c r="CO48" s="90"/>
      <c r="CP48" s="116"/>
      <c r="CQ48" s="16">
        <f t="shared" si="18"/>
        <v>0</v>
      </c>
      <c r="CR48" s="90"/>
      <c r="CS48" s="90"/>
      <c r="CT48" s="90"/>
      <c r="CU48" s="116"/>
      <c r="CV48" s="16">
        <f t="shared" si="19"/>
        <v>0</v>
      </c>
      <c r="CW48" s="90"/>
      <c r="CX48" s="90"/>
      <c r="CY48" s="90"/>
      <c r="CZ48" s="116"/>
      <c r="DA48" s="16">
        <f t="shared" si="20"/>
        <v>0</v>
      </c>
      <c r="DB48" s="90"/>
      <c r="DC48" s="90"/>
      <c r="DD48" s="90"/>
      <c r="DE48" s="116"/>
      <c r="DF48" s="16">
        <f t="shared" si="21"/>
        <v>0</v>
      </c>
      <c r="DG48" s="90"/>
      <c r="DH48" s="90"/>
      <c r="DI48" s="90"/>
      <c r="DJ48" s="116"/>
      <c r="DK48" s="16">
        <f t="shared" si="22"/>
        <v>0</v>
      </c>
      <c r="DL48" s="90"/>
      <c r="DM48" s="90"/>
      <c r="DN48" s="90"/>
      <c r="DO48" s="116"/>
      <c r="DP48" s="16">
        <f t="shared" si="23"/>
        <v>0</v>
      </c>
      <c r="DQ48" s="90"/>
      <c r="DR48" s="90"/>
      <c r="DS48" s="90"/>
      <c r="DT48" s="116"/>
      <c r="DU48" s="16">
        <f t="shared" si="24"/>
        <v>0</v>
      </c>
      <c r="DV48" s="90"/>
      <c r="DW48" s="90"/>
      <c r="DX48" s="90"/>
      <c r="DY48" s="116"/>
      <c r="DZ48" s="16">
        <f t="shared" si="25"/>
        <v>0</v>
      </c>
      <c r="EA48" s="90"/>
      <c r="EB48" s="90"/>
      <c r="EC48" s="90"/>
      <c r="ED48" s="116"/>
      <c r="EE48" s="16">
        <f t="shared" si="26"/>
        <v>0</v>
      </c>
      <c r="EF48" s="90"/>
      <c r="EG48" s="90"/>
      <c r="EH48" s="90"/>
      <c r="EI48" s="116"/>
      <c r="EJ48" s="16">
        <f t="shared" si="27"/>
        <v>0</v>
      </c>
      <c r="EK48" s="90"/>
      <c r="EL48" s="90"/>
      <c r="EM48" s="90"/>
      <c r="EN48" s="116"/>
      <c r="EO48" s="16">
        <f t="shared" si="28"/>
        <v>0</v>
      </c>
      <c r="EP48" s="90"/>
      <c r="EQ48" s="90"/>
      <c r="ER48" s="90"/>
      <c r="ES48" s="116"/>
      <c r="ET48" s="16">
        <f t="shared" si="29"/>
        <v>0</v>
      </c>
      <c r="EU48" s="90"/>
      <c r="EV48" s="90"/>
      <c r="EW48" s="90"/>
      <c r="EX48" s="116"/>
      <c r="EY48" s="16">
        <f t="shared" si="30"/>
        <v>0</v>
      </c>
      <c r="EZ48" s="90"/>
      <c r="FA48" s="90"/>
      <c r="FB48" s="90"/>
      <c r="FC48" s="116"/>
      <c r="FD48" s="16">
        <f t="shared" si="31"/>
        <v>0</v>
      </c>
      <c r="FE48" s="90"/>
      <c r="FF48" s="90"/>
      <c r="FG48" s="90"/>
      <c r="FH48" s="116"/>
      <c r="FI48" s="16">
        <f t="shared" si="50"/>
        <v>0</v>
      </c>
      <c r="FJ48" s="90"/>
      <c r="FK48" s="90"/>
      <c r="FL48" s="90"/>
      <c r="FM48" s="116"/>
      <c r="FN48" s="16">
        <f t="shared" si="32"/>
        <v>0</v>
      </c>
      <c r="FO48" s="90"/>
      <c r="FP48" s="90"/>
      <c r="FQ48" s="90"/>
      <c r="FR48" s="116"/>
      <c r="FS48" s="16">
        <f t="shared" si="33"/>
        <v>0</v>
      </c>
      <c r="FT48" s="90"/>
      <c r="FU48" s="90"/>
      <c r="FV48" s="90"/>
      <c r="FW48" s="116"/>
      <c r="FX48" s="16">
        <f t="shared" si="34"/>
        <v>0</v>
      </c>
      <c r="FY48" s="90"/>
      <c r="FZ48" s="90"/>
      <c r="GA48" s="90"/>
      <c r="GB48" s="116"/>
      <c r="GC48" s="16">
        <f t="shared" si="35"/>
        <v>0</v>
      </c>
      <c r="GD48" s="90"/>
      <c r="GE48" s="90"/>
      <c r="GF48" s="90"/>
      <c r="GG48" s="116"/>
      <c r="GH48" s="16">
        <f t="shared" si="36"/>
        <v>0</v>
      </c>
      <c r="GI48" s="90"/>
      <c r="GJ48" s="90"/>
      <c r="GK48" s="90"/>
      <c r="GL48" s="116"/>
      <c r="GM48" s="16">
        <f t="shared" si="37"/>
        <v>0</v>
      </c>
      <c r="GN48" s="90"/>
      <c r="GO48" s="90"/>
      <c r="GP48" s="90"/>
      <c r="GQ48" s="116"/>
      <c r="GR48" s="16">
        <f t="shared" si="38"/>
        <v>0</v>
      </c>
      <c r="GS48" s="90"/>
      <c r="GT48" s="90"/>
      <c r="GU48" s="90"/>
      <c r="GV48" s="116"/>
      <c r="GW48" s="16">
        <f t="shared" si="39"/>
        <v>0</v>
      </c>
      <c r="GX48" s="90"/>
      <c r="GY48" s="90"/>
      <c r="GZ48" s="90"/>
      <c r="HA48" s="116"/>
      <c r="HB48" s="16">
        <f t="shared" si="40"/>
        <v>0</v>
      </c>
      <c r="HC48" s="90"/>
      <c r="HD48" s="90"/>
      <c r="HE48" s="90"/>
      <c r="HF48" s="116"/>
      <c r="HG48" s="16">
        <f t="shared" si="41"/>
        <v>0</v>
      </c>
      <c r="HH48" s="90"/>
      <c r="HI48" s="90"/>
      <c r="HJ48" s="90"/>
      <c r="HK48" s="116"/>
      <c r="HL48" s="16">
        <f t="shared" si="42"/>
        <v>0</v>
      </c>
      <c r="HM48" s="90"/>
      <c r="HN48" s="90"/>
      <c r="HO48" s="90"/>
      <c r="HP48" s="116"/>
      <c r="HQ48" s="16">
        <f t="shared" si="43"/>
        <v>0</v>
      </c>
      <c r="HR48" s="90"/>
      <c r="HS48" s="90"/>
      <c r="HT48" s="90"/>
      <c r="HU48" s="116"/>
      <c r="HV48" s="16">
        <f t="shared" si="44"/>
        <v>0</v>
      </c>
      <c r="HW48" s="90"/>
      <c r="HX48" s="90"/>
      <c r="HY48" s="90"/>
      <c r="HZ48" s="116"/>
      <c r="IA48" s="16">
        <f t="shared" si="45"/>
        <v>0</v>
      </c>
      <c r="IB48" s="90"/>
      <c r="IC48" s="90"/>
      <c r="ID48" s="90"/>
      <c r="IE48" s="116"/>
      <c r="IF48" s="16">
        <f t="shared" si="46"/>
        <v>0</v>
      </c>
      <c r="IG48" s="90"/>
      <c r="IH48" s="90"/>
      <c r="II48" s="90"/>
      <c r="IJ48" s="116"/>
      <c r="IK48" s="16">
        <f t="shared" si="47"/>
        <v>0</v>
      </c>
      <c r="IL48" s="90"/>
      <c r="IM48" s="90"/>
      <c r="IN48" s="90"/>
      <c r="IO48" s="116"/>
      <c r="IP48" s="16">
        <f t="shared" si="48"/>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49"/>
        <v>0</v>
      </c>
      <c r="CC49" s="90"/>
      <c r="CD49" s="90"/>
      <c r="CE49" s="90"/>
      <c r="CF49" s="116"/>
      <c r="CG49" s="16">
        <f t="shared" si="16"/>
        <v>0</v>
      </c>
      <c r="CH49" s="90"/>
      <c r="CI49" s="90"/>
      <c r="CJ49" s="90"/>
      <c r="CK49" s="116"/>
      <c r="CL49" s="16">
        <f t="shared" si="17"/>
        <v>0</v>
      </c>
      <c r="CM49" s="90"/>
      <c r="CN49" s="90"/>
      <c r="CO49" s="90"/>
      <c r="CP49" s="116"/>
      <c r="CQ49" s="16">
        <f t="shared" si="18"/>
        <v>0</v>
      </c>
      <c r="CR49" s="90"/>
      <c r="CS49" s="90"/>
      <c r="CT49" s="90"/>
      <c r="CU49" s="116"/>
      <c r="CV49" s="16">
        <f t="shared" si="19"/>
        <v>0</v>
      </c>
      <c r="CW49" s="90"/>
      <c r="CX49" s="90"/>
      <c r="CY49" s="90"/>
      <c r="CZ49" s="116"/>
      <c r="DA49" s="16">
        <f t="shared" si="20"/>
        <v>0</v>
      </c>
      <c r="DB49" s="90"/>
      <c r="DC49" s="90"/>
      <c r="DD49" s="90"/>
      <c r="DE49" s="116"/>
      <c r="DF49" s="16">
        <f t="shared" si="21"/>
        <v>0</v>
      </c>
      <c r="DG49" s="90"/>
      <c r="DH49" s="90"/>
      <c r="DI49" s="90"/>
      <c r="DJ49" s="116"/>
      <c r="DK49" s="16">
        <f t="shared" si="22"/>
        <v>0</v>
      </c>
      <c r="DL49" s="90"/>
      <c r="DM49" s="90"/>
      <c r="DN49" s="90"/>
      <c r="DO49" s="116"/>
      <c r="DP49" s="16">
        <f t="shared" si="23"/>
        <v>0</v>
      </c>
      <c r="DQ49" s="90"/>
      <c r="DR49" s="90"/>
      <c r="DS49" s="90"/>
      <c r="DT49" s="116"/>
      <c r="DU49" s="16">
        <f t="shared" si="24"/>
        <v>0</v>
      </c>
      <c r="DV49" s="90"/>
      <c r="DW49" s="90"/>
      <c r="DX49" s="90"/>
      <c r="DY49" s="116"/>
      <c r="DZ49" s="16">
        <f t="shared" si="25"/>
        <v>0</v>
      </c>
      <c r="EA49" s="90"/>
      <c r="EB49" s="90"/>
      <c r="EC49" s="90"/>
      <c r="ED49" s="116"/>
      <c r="EE49" s="16">
        <f t="shared" si="26"/>
        <v>0</v>
      </c>
      <c r="EF49" s="90"/>
      <c r="EG49" s="90"/>
      <c r="EH49" s="90"/>
      <c r="EI49" s="116"/>
      <c r="EJ49" s="16">
        <f t="shared" si="27"/>
        <v>0</v>
      </c>
      <c r="EK49" s="90"/>
      <c r="EL49" s="90"/>
      <c r="EM49" s="90"/>
      <c r="EN49" s="116"/>
      <c r="EO49" s="16">
        <f t="shared" si="28"/>
        <v>0</v>
      </c>
      <c r="EP49" s="90"/>
      <c r="EQ49" s="90"/>
      <c r="ER49" s="90"/>
      <c r="ES49" s="116"/>
      <c r="ET49" s="16">
        <f t="shared" si="29"/>
        <v>0</v>
      </c>
      <c r="EU49" s="90"/>
      <c r="EV49" s="90"/>
      <c r="EW49" s="90"/>
      <c r="EX49" s="116"/>
      <c r="EY49" s="16">
        <f t="shared" si="30"/>
        <v>0</v>
      </c>
      <c r="EZ49" s="90"/>
      <c r="FA49" s="90"/>
      <c r="FB49" s="90"/>
      <c r="FC49" s="116"/>
      <c r="FD49" s="16">
        <f t="shared" si="31"/>
        <v>0</v>
      </c>
      <c r="FE49" s="90"/>
      <c r="FF49" s="90"/>
      <c r="FG49" s="90"/>
      <c r="FH49" s="116"/>
      <c r="FI49" s="16">
        <f t="shared" si="50"/>
        <v>0</v>
      </c>
      <c r="FJ49" s="90"/>
      <c r="FK49" s="90"/>
      <c r="FL49" s="90"/>
      <c r="FM49" s="116"/>
      <c r="FN49" s="16">
        <f t="shared" si="32"/>
        <v>0</v>
      </c>
      <c r="FO49" s="90"/>
      <c r="FP49" s="90"/>
      <c r="FQ49" s="90"/>
      <c r="FR49" s="116"/>
      <c r="FS49" s="16">
        <f t="shared" si="33"/>
        <v>0</v>
      </c>
      <c r="FT49" s="90"/>
      <c r="FU49" s="90"/>
      <c r="FV49" s="90"/>
      <c r="FW49" s="116"/>
      <c r="FX49" s="16">
        <f t="shared" si="34"/>
        <v>0</v>
      </c>
      <c r="FY49" s="90"/>
      <c r="FZ49" s="90"/>
      <c r="GA49" s="90"/>
      <c r="GB49" s="116"/>
      <c r="GC49" s="16">
        <f t="shared" si="35"/>
        <v>0</v>
      </c>
      <c r="GD49" s="90"/>
      <c r="GE49" s="90"/>
      <c r="GF49" s="90"/>
      <c r="GG49" s="116"/>
      <c r="GH49" s="16">
        <f t="shared" si="36"/>
        <v>0</v>
      </c>
      <c r="GI49" s="90"/>
      <c r="GJ49" s="90"/>
      <c r="GK49" s="90"/>
      <c r="GL49" s="116"/>
      <c r="GM49" s="16">
        <f t="shared" si="37"/>
        <v>0</v>
      </c>
      <c r="GN49" s="90"/>
      <c r="GO49" s="90"/>
      <c r="GP49" s="90"/>
      <c r="GQ49" s="116"/>
      <c r="GR49" s="16">
        <f t="shared" si="38"/>
        <v>0</v>
      </c>
      <c r="GS49" s="90"/>
      <c r="GT49" s="90"/>
      <c r="GU49" s="90"/>
      <c r="GV49" s="116"/>
      <c r="GW49" s="16">
        <f t="shared" si="39"/>
        <v>0</v>
      </c>
      <c r="GX49" s="90"/>
      <c r="GY49" s="90"/>
      <c r="GZ49" s="90"/>
      <c r="HA49" s="116"/>
      <c r="HB49" s="16">
        <f t="shared" si="40"/>
        <v>0</v>
      </c>
      <c r="HC49" s="90"/>
      <c r="HD49" s="90"/>
      <c r="HE49" s="90"/>
      <c r="HF49" s="116"/>
      <c r="HG49" s="16">
        <f t="shared" si="41"/>
        <v>0</v>
      </c>
      <c r="HH49" s="90"/>
      <c r="HI49" s="90"/>
      <c r="HJ49" s="90"/>
      <c r="HK49" s="116"/>
      <c r="HL49" s="16">
        <f t="shared" si="42"/>
        <v>0</v>
      </c>
      <c r="HM49" s="90"/>
      <c r="HN49" s="90"/>
      <c r="HO49" s="90"/>
      <c r="HP49" s="116"/>
      <c r="HQ49" s="16">
        <f t="shared" si="43"/>
        <v>0</v>
      </c>
      <c r="HR49" s="90"/>
      <c r="HS49" s="90"/>
      <c r="HT49" s="90"/>
      <c r="HU49" s="116"/>
      <c r="HV49" s="16">
        <f t="shared" si="44"/>
        <v>0</v>
      </c>
      <c r="HW49" s="90"/>
      <c r="HX49" s="90"/>
      <c r="HY49" s="90"/>
      <c r="HZ49" s="116"/>
      <c r="IA49" s="16">
        <f t="shared" si="45"/>
        <v>0</v>
      </c>
      <c r="IB49" s="90"/>
      <c r="IC49" s="90"/>
      <c r="ID49" s="90"/>
      <c r="IE49" s="116"/>
      <c r="IF49" s="16">
        <f t="shared" si="46"/>
        <v>0</v>
      </c>
      <c r="IG49" s="90"/>
      <c r="IH49" s="90"/>
      <c r="II49" s="90"/>
      <c r="IJ49" s="116"/>
      <c r="IK49" s="16">
        <f t="shared" si="47"/>
        <v>0</v>
      </c>
      <c r="IL49" s="90"/>
      <c r="IM49" s="90"/>
      <c r="IN49" s="90"/>
      <c r="IO49" s="116"/>
      <c r="IP49" s="16">
        <f t="shared" si="48"/>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49"/>
        <v>0</v>
      </c>
      <c r="CC50" s="90"/>
      <c r="CD50" s="90"/>
      <c r="CE50" s="90"/>
      <c r="CF50" s="116"/>
      <c r="CG50" s="16">
        <f t="shared" si="16"/>
        <v>0</v>
      </c>
      <c r="CH50" s="90"/>
      <c r="CI50" s="90"/>
      <c r="CJ50" s="90"/>
      <c r="CK50" s="116"/>
      <c r="CL50" s="16">
        <f t="shared" si="17"/>
        <v>0</v>
      </c>
      <c r="CM50" s="90"/>
      <c r="CN50" s="90"/>
      <c r="CO50" s="90"/>
      <c r="CP50" s="116"/>
      <c r="CQ50" s="16">
        <f t="shared" si="18"/>
        <v>0</v>
      </c>
      <c r="CR50" s="90"/>
      <c r="CS50" s="90"/>
      <c r="CT50" s="90"/>
      <c r="CU50" s="116"/>
      <c r="CV50" s="16">
        <f t="shared" si="19"/>
        <v>0</v>
      </c>
      <c r="CW50" s="90"/>
      <c r="CX50" s="90"/>
      <c r="CY50" s="90"/>
      <c r="CZ50" s="116"/>
      <c r="DA50" s="16">
        <f t="shared" si="20"/>
        <v>0</v>
      </c>
      <c r="DB50" s="90"/>
      <c r="DC50" s="90"/>
      <c r="DD50" s="90"/>
      <c r="DE50" s="116"/>
      <c r="DF50" s="16">
        <f t="shared" si="21"/>
        <v>0</v>
      </c>
      <c r="DG50" s="90"/>
      <c r="DH50" s="90"/>
      <c r="DI50" s="90"/>
      <c r="DJ50" s="116"/>
      <c r="DK50" s="16">
        <f t="shared" si="22"/>
        <v>0</v>
      </c>
      <c r="DL50" s="90"/>
      <c r="DM50" s="90"/>
      <c r="DN50" s="90"/>
      <c r="DO50" s="116"/>
      <c r="DP50" s="16">
        <f t="shared" si="23"/>
        <v>0</v>
      </c>
      <c r="DQ50" s="90"/>
      <c r="DR50" s="90"/>
      <c r="DS50" s="90"/>
      <c r="DT50" s="116"/>
      <c r="DU50" s="16">
        <f t="shared" si="24"/>
        <v>0</v>
      </c>
      <c r="DV50" s="90"/>
      <c r="DW50" s="90"/>
      <c r="DX50" s="90"/>
      <c r="DY50" s="116"/>
      <c r="DZ50" s="16">
        <f t="shared" si="25"/>
        <v>0</v>
      </c>
      <c r="EA50" s="90"/>
      <c r="EB50" s="90"/>
      <c r="EC50" s="90"/>
      <c r="ED50" s="116"/>
      <c r="EE50" s="16">
        <f t="shared" si="26"/>
        <v>0</v>
      </c>
      <c r="EF50" s="90"/>
      <c r="EG50" s="90"/>
      <c r="EH50" s="90"/>
      <c r="EI50" s="116"/>
      <c r="EJ50" s="16">
        <f t="shared" si="27"/>
        <v>0</v>
      </c>
      <c r="EK50" s="90"/>
      <c r="EL50" s="90"/>
      <c r="EM50" s="90"/>
      <c r="EN50" s="116"/>
      <c r="EO50" s="16">
        <f t="shared" si="28"/>
        <v>0</v>
      </c>
      <c r="EP50" s="90"/>
      <c r="EQ50" s="90"/>
      <c r="ER50" s="90"/>
      <c r="ES50" s="116"/>
      <c r="ET50" s="16">
        <f t="shared" si="29"/>
        <v>0</v>
      </c>
      <c r="EU50" s="90"/>
      <c r="EV50" s="90"/>
      <c r="EW50" s="90"/>
      <c r="EX50" s="116"/>
      <c r="EY50" s="16">
        <f t="shared" si="30"/>
        <v>0</v>
      </c>
      <c r="EZ50" s="90"/>
      <c r="FA50" s="90"/>
      <c r="FB50" s="90"/>
      <c r="FC50" s="116"/>
      <c r="FD50" s="16">
        <f t="shared" si="31"/>
        <v>0</v>
      </c>
      <c r="FE50" s="90"/>
      <c r="FF50" s="90"/>
      <c r="FG50" s="90"/>
      <c r="FH50" s="116"/>
      <c r="FI50" s="16">
        <f t="shared" si="50"/>
        <v>0</v>
      </c>
      <c r="FJ50" s="90"/>
      <c r="FK50" s="90"/>
      <c r="FL50" s="90"/>
      <c r="FM50" s="116"/>
      <c r="FN50" s="16">
        <f t="shared" si="32"/>
        <v>0</v>
      </c>
      <c r="FO50" s="90"/>
      <c r="FP50" s="90"/>
      <c r="FQ50" s="90"/>
      <c r="FR50" s="116"/>
      <c r="FS50" s="16">
        <f t="shared" si="33"/>
        <v>0</v>
      </c>
      <c r="FT50" s="90"/>
      <c r="FU50" s="90"/>
      <c r="FV50" s="90"/>
      <c r="FW50" s="116"/>
      <c r="FX50" s="16">
        <f t="shared" si="34"/>
        <v>0</v>
      </c>
      <c r="FY50" s="90"/>
      <c r="FZ50" s="90"/>
      <c r="GA50" s="90"/>
      <c r="GB50" s="116"/>
      <c r="GC50" s="16">
        <f t="shared" si="35"/>
        <v>0</v>
      </c>
      <c r="GD50" s="90"/>
      <c r="GE50" s="90"/>
      <c r="GF50" s="90"/>
      <c r="GG50" s="116"/>
      <c r="GH50" s="16">
        <f t="shared" si="36"/>
        <v>0</v>
      </c>
      <c r="GI50" s="90"/>
      <c r="GJ50" s="90"/>
      <c r="GK50" s="90"/>
      <c r="GL50" s="116"/>
      <c r="GM50" s="16">
        <f t="shared" si="37"/>
        <v>0</v>
      </c>
      <c r="GN50" s="90"/>
      <c r="GO50" s="90"/>
      <c r="GP50" s="90"/>
      <c r="GQ50" s="116"/>
      <c r="GR50" s="16">
        <f t="shared" si="38"/>
        <v>0</v>
      </c>
      <c r="GS50" s="90"/>
      <c r="GT50" s="90"/>
      <c r="GU50" s="90"/>
      <c r="GV50" s="116"/>
      <c r="GW50" s="16">
        <f t="shared" si="39"/>
        <v>0</v>
      </c>
      <c r="GX50" s="90"/>
      <c r="GY50" s="90"/>
      <c r="GZ50" s="90"/>
      <c r="HA50" s="116"/>
      <c r="HB50" s="16">
        <f t="shared" si="40"/>
        <v>0</v>
      </c>
      <c r="HC50" s="90"/>
      <c r="HD50" s="90"/>
      <c r="HE50" s="90"/>
      <c r="HF50" s="116"/>
      <c r="HG50" s="16">
        <f t="shared" si="41"/>
        <v>0</v>
      </c>
      <c r="HH50" s="90"/>
      <c r="HI50" s="90"/>
      <c r="HJ50" s="90"/>
      <c r="HK50" s="116"/>
      <c r="HL50" s="16">
        <f t="shared" si="42"/>
        <v>0</v>
      </c>
      <c r="HM50" s="90"/>
      <c r="HN50" s="90"/>
      <c r="HO50" s="90"/>
      <c r="HP50" s="116"/>
      <c r="HQ50" s="16">
        <f t="shared" si="43"/>
        <v>0</v>
      </c>
      <c r="HR50" s="90"/>
      <c r="HS50" s="90"/>
      <c r="HT50" s="90"/>
      <c r="HU50" s="116"/>
      <c r="HV50" s="16">
        <f t="shared" si="44"/>
        <v>0</v>
      </c>
      <c r="HW50" s="90"/>
      <c r="HX50" s="90"/>
      <c r="HY50" s="90"/>
      <c r="HZ50" s="116"/>
      <c r="IA50" s="16">
        <f t="shared" si="45"/>
        <v>0</v>
      </c>
      <c r="IB50" s="90"/>
      <c r="IC50" s="90"/>
      <c r="ID50" s="90"/>
      <c r="IE50" s="116"/>
      <c r="IF50" s="16">
        <f t="shared" si="46"/>
        <v>0</v>
      </c>
      <c r="IG50" s="90"/>
      <c r="IH50" s="90"/>
      <c r="II50" s="90"/>
      <c r="IJ50" s="116"/>
      <c r="IK50" s="16">
        <f t="shared" si="47"/>
        <v>0</v>
      </c>
      <c r="IL50" s="90"/>
      <c r="IM50" s="90"/>
      <c r="IN50" s="90"/>
      <c r="IO50" s="116"/>
      <c r="IP50" s="16">
        <f t="shared" si="48"/>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49"/>
        <v>0</v>
      </c>
      <c r="CC51" s="90"/>
      <c r="CD51" s="90"/>
      <c r="CE51" s="90"/>
      <c r="CF51" s="116"/>
      <c r="CG51" s="16">
        <f t="shared" si="16"/>
        <v>0</v>
      </c>
      <c r="CH51" s="90"/>
      <c r="CI51" s="90"/>
      <c r="CJ51" s="90"/>
      <c r="CK51" s="116"/>
      <c r="CL51" s="16">
        <f t="shared" si="17"/>
        <v>0</v>
      </c>
      <c r="CM51" s="90"/>
      <c r="CN51" s="90"/>
      <c r="CO51" s="90"/>
      <c r="CP51" s="116"/>
      <c r="CQ51" s="16">
        <f t="shared" si="18"/>
        <v>0</v>
      </c>
      <c r="CR51" s="90"/>
      <c r="CS51" s="90"/>
      <c r="CT51" s="90"/>
      <c r="CU51" s="116"/>
      <c r="CV51" s="16">
        <f t="shared" si="19"/>
        <v>0</v>
      </c>
      <c r="CW51" s="90"/>
      <c r="CX51" s="90"/>
      <c r="CY51" s="90"/>
      <c r="CZ51" s="116"/>
      <c r="DA51" s="16">
        <f t="shared" si="20"/>
        <v>0</v>
      </c>
      <c r="DB51" s="90"/>
      <c r="DC51" s="90"/>
      <c r="DD51" s="90"/>
      <c r="DE51" s="116"/>
      <c r="DF51" s="16">
        <f t="shared" si="21"/>
        <v>0</v>
      </c>
      <c r="DG51" s="90"/>
      <c r="DH51" s="90"/>
      <c r="DI51" s="90"/>
      <c r="DJ51" s="116"/>
      <c r="DK51" s="16">
        <f t="shared" si="22"/>
        <v>0</v>
      </c>
      <c r="DL51" s="90"/>
      <c r="DM51" s="90"/>
      <c r="DN51" s="90"/>
      <c r="DO51" s="116"/>
      <c r="DP51" s="16">
        <f t="shared" si="23"/>
        <v>0</v>
      </c>
      <c r="DQ51" s="90"/>
      <c r="DR51" s="90"/>
      <c r="DS51" s="90"/>
      <c r="DT51" s="116"/>
      <c r="DU51" s="16">
        <f t="shared" si="24"/>
        <v>0</v>
      </c>
      <c r="DV51" s="90"/>
      <c r="DW51" s="90"/>
      <c r="DX51" s="90"/>
      <c r="DY51" s="116"/>
      <c r="DZ51" s="16">
        <f t="shared" si="25"/>
        <v>0</v>
      </c>
      <c r="EA51" s="90"/>
      <c r="EB51" s="90"/>
      <c r="EC51" s="90"/>
      <c r="ED51" s="116"/>
      <c r="EE51" s="16">
        <f t="shared" si="26"/>
        <v>0</v>
      </c>
      <c r="EF51" s="90"/>
      <c r="EG51" s="90"/>
      <c r="EH51" s="90"/>
      <c r="EI51" s="116"/>
      <c r="EJ51" s="16">
        <f t="shared" si="27"/>
        <v>0</v>
      </c>
      <c r="EK51" s="90"/>
      <c r="EL51" s="90"/>
      <c r="EM51" s="90"/>
      <c r="EN51" s="116"/>
      <c r="EO51" s="16">
        <f t="shared" si="28"/>
        <v>0</v>
      </c>
      <c r="EP51" s="90"/>
      <c r="EQ51" s="90"/>
      <c r="ER51" s="90"/>
      <c r="ES51" s="116"/>
      <c r="ET51" s="16">
        <f t="shared" si="29"/>
        <v>0</v>
      </c>
      <c r="EU51" s="90"/>
      <c r="EV51" s="90"/>
      <c r="EW51" s="90"/>
      <c r="EX51" s="116"/>
      <c r="EY51" s="16">
        <f t="shared" si="30"/>
        <v>0</v>
      </c>
      <c r="EZ51" s="90"/>
      <c r="FA51" s="90"/>
      <c r="FB51" s="90"/>
      <c r="FC51" s="116"/>
      <c r="FD51" s="16">
        <f t="shared" si="31"/>
        <v>0</v>
      </c>
      <c r="FE51" s="90"/>
      <c r="FF51" s="90"/>
      <c r="FG51" s="90"/>
      <c r="FH51" s="116"/>
      <c r="FI51" s="16">
        <f t="shared" si="50"/>
        <v>0</v>
      </c>
      <c r="FJ51" s="90"/>
      <c r="FK51" s="90"/>
      <c r="FL51" s="90"/>
      <c r="FM51" s="116"/>
      <c r="FN51" s="16">
        <f t="shared" si="32"/>
        <v>0</v>
      </c>
      <c r="FO51" s="90"/>
      <c r="FP51" s="90"/>
      <c r="FQ51" s="90"/>
      <c r="FR51" s="116"/>
      <c r="FS51" s="16">
        <f t="shared" si="33"/>
        <v>0</v>
      </c>
      <c r="FT51" s="90"/>
      <c r="FU51" s="90"/>
      <c r="FV51" s="90"/>
      <c r="FW51" s="116"/>
      <c r="FX51" s="16">
        <f t="shared" si="34"/>
        <v>0</v>
      </c>
      <c r="FY51" s="90"/>
      <c r="FZ51" s="90"/>
      <c r="GA51" s="90"/>
      <c r="GB51" s="116"/>
      <c r="GC51" s="16">
        <f t="shared" si="35"/>
        <v>0</v>
      </c>
      <c r="GD51" s="90"/>
      <c r="GE51" s="90"/>
      <c r="GF51" s="90"/>
      <c r="GG51" s="116"/>
      <c r="GH51" s="16">
        <f t="shared" si="36"/>
        <v>0</v>
      </c>
      <c r="GI51" s="90"/>
      <c r="GJ51" s="90"/>
      <c r="GK51" s="90"/>
      <c r="GL51" s="116"/>
      <c r="GM51" s="16">
        <f t="shared" si="37"/>
        <v>0</v>
      </c>
      <c r="GN51" s="90"/>
      <c r="GO51" s="90"/>
      <c r="GP51" s="90"/>
      <c r="GQ51" s="116"/>
      <c r="GR51" s="16">
        <f t="shared" si="38"/>
        <v>0</v>
      </c>
      <c r="GS51" s="90"/>
      <c r="GT51" s="90"/>
      <c r="GU51" s="90"/>
      <c r="GV51" s="116"/>
      <c r="GW51" s="16">
        <f t="shared" si="39"/>
        <v>0</v>
      </c>
      <c r="GX51" s="90"/>
      <c r="GY51" s="90"/>
      <c r="GZ51" s="90"/>
      <c r="HA51" s="116"/>
      <c r="HB51" s="16">
        <f t="shared" si="40"/>
        <v>0</v>
      </c>
      <c r="HC51" s="90"/>
      <c r="HD51" s="90"/>
      <c r="HE51" s="90"/>
      <c r="HF51" s="116"/>
      <c r="HG51" s="16">
        <f t="shared" si="41"/>
        <v>0</v>
      </c>
      <c r="HH51" s="90"/>
      <c r="HI51" s="90"/>
      <c r="HJ51" s="90"/>
      <c r="HK51" s="116"/>
      <c r="HL51" s="16">
        <f t="shared" si="42"/>
        <v>0</v>
      </c>
      <c r="HM51" s="90"/>
      <c r="HN51" s="90"/>
      <c r="HO51" s="90"/>
      <c r="HP51" s="116"/>
      <c r="HQ51" s="16">
        <f t="shared" si="43"/>
        <v>0</v>
      </c>
      <c r="HR51" s="90"/>
      <c r="HS51" s="90"/>
      <c r="HT51" s="90"/>
      <c r="HU51" s="116"/>
      <c r="HV51" s="16">
        <f t="shared" si="44"/>
        <v>0</v>
      </c>
      <c r="HW51" s="90"/>
      <c r="HX51" s="90"/>
      <c r="HY51" s="90"/>
      <c r="HZ51" s="116"/>
      <c r="IA51" s="16">
        <f t="shared" si="45"/>
        <v>0</v>
      </c>
      <c r="IB51" s="90"/>
      <c r="IC51" s="90"/>
      <c r="ID51" s="90"/>
      <c r="IE51" s="116"/>
      <c r="IF51" s="16">
        <f t="shared" si="46"/>
        <v>0</v>
      </c>
      <c r="IG51" s="90"/>
      <c r="IH51" s="90"/>
      <c r="II51" s="90"/>
      <c r="IJ51" s="116"/>
      <c r="IK51" s="16">
        <f t="shared" si="47"/>
        <v>0</v>
      </c>
      <c r="IL51" s="90"/>
      <c r="IM51" s="90"/>
      <c r="IN51" s="90"/>
      <c r="IO51" s="116"/>
      <c r="IP51" s="16">
        <f t="shared" si="48"/>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49"/>
        <v>0</v>
      </c>
      <c r="CC52" s="90"/>
      <c r="CD52" s="90"/>
      <c r="CE52" s="90"/>
      <c r="CF52" s="116"/>
      <c r="CG52" s="16">
        <f t="shared" si="16"/>
        <v>0</v>
      </c>
      <c r="CH52" s="90"/>
      <c r="CI52" s="90"/>
      <c r="CJ52" s="90"/>
      <c r="CK52" s="116"/>
      <c r="CL52" s="16">
        <f t="shared" si="17"/>
        <v>0</v>
      </c>
      <c r="CM52" s="90"/>
      <c r="CN52" s="90"/>
      <c r="CO52" s="90"/>
      <c r="CP52" s="116"/>
      <c r="CQ52" s="16">
        <f t="shared" si="18"/>
        <v>0</v>
      </c>
      <c r="CR52" s="90"/>
      <c r="CS52" s="90"/>
      <c r="CT52" s="90"/>
      <c r="CU52" s="116"/>
      <c r="CV52" s="16">
        <f t="shared" si="19"/>
        <v>0</v>
      </c>
      <c r="CW52" s="90"/>
      <c r="CX52" s="90"/>
      <c r="CY52" s="90"/>
      <c r="CZ52" s="116"/>
      <c r="DA52" s="16">
        <f t="shared" si="20"/>
        <v>0</v>
      </c>
      <c r="DB52" s="90"/>
      <c r="DC52" s="90"/>
      <c r="DD52" s="90"/>
      <c r="DE52" s="116"/>
      <c r="DF52" s="16">
        <f t="shared" si="21"/>
        <v>0</v>
      </c>
      <c r="DG52" s="90"/>
      <c r="DH52" s="90"/>
      <c r="DI52" s="90"/>
      <c r="DJ52" s="116"/>
      <c r="DK52" s="16">
        <f t="shared" si="22"/>
        <v>0</v>
      </c>
      <c r="DL52" s="90"/>
      <c r="DM52" s="90"/>
      <c r="DN52" s="90"/>
      <c r="DO52" s="116"/>
      <c r="DP52" s="16">
        <f t="shared" si="23"/>
        <v>0</v>
      </c>
      <c r="DQ52" s="90"/>
      <c r="DR52" s="90"/>
      <c r="DS52" s="90"/>
      <c r="DT52" s="116"/>
      <c r="DU52" s="16">
        <f t="shared" si="24"/>
        <v>0</v>
      </c>
      <c r="DV52" s="90"/>
      <c r="DW52" s="90"/>
      <c r="DX52" s="90"/>
      <c r="DY52" s="116"/>
      <c r="DZ52" s="16">
        <f t="shared" si="25"/>
        <v>0</v>
      </c>
      <c r="EA52" s="90"/>
      <c r="EB52" s="90"/>
      <c r="EC52" s="90"/>
      <c r="ED52" s="116"/>
      <c r="EE52" s="16">
        <f t="shared" si="26"/>
        <v>0</v>
      </c>
      <c r="EF52" s="90"/>
      <c r="EG52" s="90"/>
      <c r="EH52" s="90"/>
      <c r="EI52" s="116"/>
      <c r="EJ52" s="16">
        <f t="shared" si="27"/>
        <v>0</v>
      </c>
      <c r="EK52" s="90"/>
      <c r="EL52" s="90"/>
      <c r="EM52" s="90"/>
      <c r="EN52" s="116"/>
      <c r="EO52" s="16">
        <f t="shared" si="28"/>
        <v>0</v>
      </c>
      <c r="EP52" s="90"/>
      <c r="EQ52" s="90"/>
      <c r="ER52" s="90"/>
      <c r="ES52" s="116"/>
      <c r="ET52" s="16">
        <f t="shared" si="29"/>
        <v>0</v>
      </c>
      <c r="EU52" s="90"/>
      <c r="EV52" s="90"/>
      <c r="EW52" s="90"/>
      <c r="EX52" s="116"/>
      <c r="EY52" s="16">
        <f t="shared" si="30"/>
        <v>0</v>
      </c>
      <c r="EZ52" s="90"/>
      <c r="FA52" s="90"/>
      <c r="FB52" s="90"/>
      <c r="FC52" s="116"/>
      <c r="FD52" s="16">
        <f t="shared" si="31"/>
        <v>0</v>
      </c>
      <c r="FE52" s="90"/>
      <c r="FF52" s="90"/>
      <c r="FG52" s="90"/>
      <c r="FH52" s="116"/>
      <c r="FI52" s="16">
        <f t="shared" si="50"/>
        <v>0</v>
      </c>
      <c r="FJ52" s="90"/>
      <c r="FK52" s="90"/>
      <c r="FL52" s="90"/>
      <c r="FM52" s="116"/>
      <c r="FN52" s="16">
        <f t="shared" si="32"/>
        <v>0</v>
      </c>
      <c r="FO52" s="90"/>
      <c r="FP52" s="90"/>
      <c r="FQ52" s="90"/>
      <c r="FR52" s="116"/>
      <c r="FS52" s="16">
        <f t="shared" si="33"/>
        <v>0</v>
      </c>
      <c r="FT52" s="90"/>
      <c r="FU52" s="90"/>
      <c r="FV52" s="90"/>
      <c r="FW52" s="116"/>
      <c r="FX52" s="16">
        <f t="shared" si="34"/>
        <v>0</v>
      </c>
      <c r="FY52" s="90"/>
      <c r="FZ52" s="90"/>
      <c r="GA52" s="90"/>
      <c r="GB52" s="116"/>
      <c r="GC52" s="16">
        <f t="shared" si="35"/>
        <v>0</v>
      </c>
      <c r="GD52" s="90"/>
      <c r="GE52" s="90"/>
      <c r="GF52" s="90"/>
      <c r="GG52" s="116"/>
      <c r="GH52" s="16">
        <f t="shared" si="36"/>
        <v>0</v>
      </c>
      <c r="GI52" s="90"/>
      <c r="GJ52" s="90"/>
      <c r="GK52" s="90"/>
      <c r="GL52" s="116"/>
      <c r="GM52" s="16">
        <f t="shared" si="37"/>
        <v>0</v>
      </c>
      <c r="GN52" s="90"/>
      <c r="GO52" s="90"/>
      <c r="GP52" s="90"/>
      <c r="GQ52" s="116"/>
      <c r="GR52" s="16">
        <f t="shared" si="38"/>
        <v>0</v>
      </c>
      <c r="GS52" s="90"/>
      <c r="GT52" s="90"/>
      <c r="GU52" s="90"/>
      <c r="GV52" s="116"/>
      <c r="GW52" s="16">
        <f t="shared" si="39"/>
        <v>0</v>
      </c>
      <c r="GX52" s="90"/>
      <c r="GY52" s="90"/>
      <c r="GZ52" s="90"/>
      <c r="HA52" s="116"/>
      <c r="HB52" s="16">
        <f t="shared" si="40"/>
        <v>0</v>
      </c>
      <c r="HC52" s="90"/>
      <c r="HD52" s="90"/>
      <c r="HE52" s="90"/>
      <c r="HF52" s="116"/>
      <c r="HG52" s="16">
        <f t="shared" si="41"/>
        <v>0</v>
      </c>
      <c r="HH52" s="90"/>
      <c r="HI52" s="90"/>
      <c r="HJ52" s="90"/>
      <c r="HK52" s="116"/>
      <c r="HL52" s="16">
        <f t="shared" si="42"/>
        <v>0</v>
      </c>
      <c r="HM52" s="90"/>
      <c r="HN52" s="90"/>
      <c r="HO52" s="90"/>
      <c r="HP52" s="116"/>
      <c r="HQ52" s="16">
        <f t="shared" si="43"/>
        <v>0</v>
      </c>
      <c r="HR52" s="90"/>
      <c r="HS52" s="90"/>
      <c r="HT52" s="90"/>
      <c r="HU52" s="116"/>
      <c r="HV52" s="16">
        <f t="shared" si="44"/>
        <v>0</v>
      </c>
      <c r="HW52" s="90"/>
      <c r="HX52" s="90"/>
      <c r="HY52" s="90"/>
      <c r="HZ52" s="116"/>
      <c r="IA52" s="16">
        <f t="shared" si="45"/>
        <v>0</v>
      </c>
      <c r="IB52" s="90"/>
      <c r="IC52" s="90"/>
      <c r="ID52" s="90"/>
      <c r="IE52" s="116"/>
      <c r="IF52" s="16">
        <f t="shared" si="46"/>
        <v>0</v>
      </c>
      <c r="IG52" s="90"/>
      <c r="IH52" s="90"/>
      <c r="II52" s="90"/>
      <c r="IJ52" s="116"/>
      <c r="IK52" s="16">
        <f t="shared" si="47"/>
        <v>0</v>
      </c>
      <c r="IL52" s="90"/>
      <c r="IM52" s="90"/>
      <c r="IN52" s="90"/>
      <c r="IO52" s="116"/>
      <c r="IP52" s="16">
        <f t="shared" si="48"/>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49"/>
        <v>0</v>
      </c>
      <c r="CC53" s="90"/>
      <c r="CD53" s="90"/>
      <c r="CE53" s="90"/>
      <c r="CF53" s="116"/>
      <c r="CG53" s="16">
        <f t="shared" si="16"/>
        <v>0</v>
      </c>
      <c r="CH53" s="90"/>
      <c r="CI53" s="90"/>
      <c r="CJ53" s="90"/>
      <c r="CK53" s="116"/>
      <c r="CL53" s="16">
        <f t="shared" si="17"/>
        <v>0</v>
      </c>
      <c r="CM53" s="90"/>
      <c r="CN53" s="90"/>
      <c r="CO53" s="90"/>
      <c r="CP53" s="116"/>
      <c r="CQ53" s="16">
        <f t="shared" si="18"/>
        <v>0</v>
      </c>
      <c r="CR53" s="90"/>
      <c r="CS53" s="90"/>
      <c r="CT53" s="90"/>
      <c r="CU53" s="116"/>
      <c r="CV53" s="16">
        <f t="shared" si="19"/>
        <v>0</v>
      </c>
      <c r="CW53" s="90"/>
      <c r="CX53" s="90"/>
      <c r="CY53" s="90"/>
      <c r="CZ53" s="116"/>
      <c r="DA53" s="16">
        <f t="shared" si="20"/>
        <v>0</v>
      </c>
      <c r="DB53" s="90"/>
      <c r="DC53" s="90"/>
      <c r="DD53" s="90"/>
      <c r="DE53" s="116"/>
      <c r="DF53" s="16">
        <f t="shared" si="21"/>
        <v>0</v>
      </c>
      <c r="DG53" s="90"/>
      <c r="DH53" s="90"/>
      <c r="DI53" s="90"/>
      <c r="DJ53" s="116"/>
      <c r="DK53" s="16">
        <f t="shared" si="22"/>
        <v>0</v>
      </c>
      <c r="DL53" s="90"/>
      <c r="DM53" s="90"/>
      <c r="DN53" s="90"/>
      <c r="DO53" s="116"/>
      <c r="DP53" s="16">
        <f t="shared" si="23"/>
        <v>0</v>
      </c>
      <c r="DQ53" s="90"/>
      <c r="DR53" s="90"/>
      <c r="DS53" s="90"/>
      <c r="DT53" s="116"/>
      <c r="DU53" s="16">
        <f t="shared" si="24"/>
        <v>0</v>
      </c>
      <c r="DV53" s="90"/>
      <c r="DW53" s="90"/>
      <c r="DX53" s="90"/>
      <c r="DY53" s="116"/>
      <c r="DZ53" s="16">
        <f t="shared" si="25"/>
        <v>0</v>
      </c>
      <c r="EA53" s="90"/>
      <c r="EB53" s="90"/>
      <c r="EC53" s="90"/>
      <c r="ED53" s="116"/>
      <c r="EE53" s="16">
        <f t="shared" si="26"/>
        <v>0</v>
      </c>
      <c r="EF53" s="90"/>
      <c r="EG53" s="90"/>
      <c r="EH53" s="90"/>
      <c r="EI53" s="116"/>
      <c r="EJ53" s="16">
        <f t="shared" si="27"/>
        <v>0</v>
      </c>
      <c r="EK53" s="90"/>
      <c r="EL53" s="90"/>
      <c r="EM53" s="90"/>
      <c r="EN53" s="116"/>
      <c r="EO53" s="16">
        <f t="shared" si="28"/>
        <v>0</v>
      </c>
      <c r="EP53" s="90"/>
      <c r="EQ53" s="90"/>
      <c r="ER53" s="90"/>
      <c r="ES53" s="116"/>
      <c r="ET53" s="16">
        <f t="shared" si="29"/>
        <v>0</v>
      </c>
      <c r="EU53" s="90"/>
      <c r="EV53" s="90"/>
      <c r="EW53" s="90"/>
      <c r="EX53" s="116"/>
      <c r="EY53" s="16">
        <f t="shared" si="30"/>
        <v>0</v>
      </c>
      <c r="EZ53" s="90"/>
      <c r="FA53" s="90"/>
      <c r="FB53" s="90"/>
      <c r="FC53" s="116"/>
      <c r="FD53" s="16">
        <f t="shared" si="31"/>
        <v>0</v>
      </c>
      <c r="FE53" s="90"/>
      <c r="FF53" s="90"/>
      <c r="FG53" s="90"/>
      <c r="FH53" s="116"/>
      <c r="FI53" s="16">
        <f t="shared" si="50"/>
        <v>0</v>
      </c>
      <c r="FJ53" s="90"/>
      <c r="FK53" s="90"/>
      <c r="FL53" s="90"/>
      <c r="FM53" s="116"/>
      <c r="FN53" s="16">
        <f t="shared" si="32"/>
        <v>0</v>
      </c>
      <c r="FO53" s="90"/>
      <c r="FP53" s="90"/>
      <c r="FQ53" s="90"/>
      <c r="FR53" s="116"/>
      <c r="FS53" s="16">
        <f t="shared" si="33"/>
        <v>0</v>
      </c>
      <c r="FT53" s="90"/>
      <c r="FU53" s="90"/>
      <c r="FV53" s="90"/>
      <c r="FW53" s="116"/>
      <c r="FX53" s="16">
        <f t="shared" si="34"/>
        <v>0</v>
      </c>
      <c r="FY53" s="90"/>
      <c r="FZ53" s="90"/>
      <c r="GA53" s="90"/>
      <c r="GB53" s="116"/>
      <c r="GC53" s="16">
        <f t="shared" si="35"/>
        <v>0</v>
      </c>
      <c r="GD53" s="90"/>
      <c r="GE53" s="90"/>
      <c r="GF53" s="90"/>
      <c r="GG53" s="116"/>
      <c r="GH53" s="16">
        <f t="shared" si="36"/>
        <v>0</v>
      </c>
      <c r="GI53" s="90"/>
      <c r="GJ53" s="90"/>
      <c r="GK53" s="90"/>
      <c r="GL53" s="116"/>
      <c r="GM53" s="16">
        <f t="shared" si="37"/>
        <v>0</v>
      </c>
      <c r="GN53" s="90"/>
      <c r="GO53" s="90"/>
      <c r="GP53" s="90"/>
      <c r="GQ53" s="116"/>
      <c r="GR53" s="16">
        <f t="shared" si="38"/>
        <v>0</v>
      </c>
      <c r="GS53" s="90"/>
      <c r="GT53" s="90"/>
      <c r="GU53" s="90"/>
      <c r="GV53" s="116"/>
      <c r="GW53" s="16">
        <f t="shared" si="39"/>
        <v>0</v>
      </c>
      <c r="GX53" s="90"/>
      <c r="GY53" s="90"/>
      <c r="GZ53" s="90"/>
      <c r="HA53" s="116"/>
      <c r="HB53" s="16">
        <f t="shared" si="40"/>
        <v>0</v>
      </c>
      <c r="HC53" s="90"/>
      <c r="HD53" s="90"/>
      <c r="HE53" s="90"/>
      <c r="HF53" s="116"/>
      <c r="HG53" s="16">
        <f t="shared" si="41"/>
        <v>0</v>
      </c>
      <c r="HH53" s="90"/>
      <c r="HI53" s="90"/>
      <c r="HJ53" s="90"/>
      <c r="HK53" s="116"/>
      <c r="HL53" s="16">
        <f t="shared" si="42"/>
        <v>0</v>
      </c>
      <c r="HM53" s="90"/>
      <c r="HN53" s="90"/>
      <c r="HO53" s="90"/>
      <c r="HP53" s="116"/>
      <c r="HQ53" s="16">
        <f t="shared" si="43"/>
        <v>0</v>
      </c>
      <c r="HR53" s="90"/>
      <c r="HS53" s="90"/>
      <c r="HT53" s="90"/>
      <c r="HU53" s="116"/>
      <c r="HV53" s="16">
        <f t="shared" si="44"/>
        <v>0</v>
      </c>
      <c r="HW53" s="90"/>
      <c r="HX53" s="90"/>
      <c r="HY53" s="90"/>
      <c r="HZ53" s="116"/>
      <c r="IA53" s="16">
        <f t="shared" si="45"/>
        <v>0</v>
      </c>
      <c r="IB53" s="90"/>
      <c r="IC53" s="90"/>
      <c r="ID53" s="90"/>
      <c r="IE53" s="116"/>
      <c r="IF53" s="16">
        <f t="shared" si="46"/>
        <v>0</v>
      </c>
      <c r="IG53" s="90"/>
      <c r="IH53" s="90"/>
      <c r="II53" s="90"/>
      <c r="IJ53" s="116"/>
      <c r="IK53" s="16">
        <f t="shared" si="47"/>
        <v>0</v>
      </c>
      <c r="IL53" s="90"/>
      <c r="IM53" s="90"/>
      <c r="IN53" s="90"/>
      <c r="IO53" s="116"/>
      <c r="IP53" s="16">
        <f t="shared" si="48"/>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49"/>
        <v>0</v>
      </c>
      <c r="CC54" s="90"/>
      <c r="CD54" s="90"/>
      <c r="CE54" s="90"/>
      <c r="CF54" s="116"/>
      <c r="CG54" s="16">
        <f t="shared" si="16"/>
        <v>0</v>
      </c>
      <c r="CH54" s="90"/>
      <c r="CI54" s="90"/>
      <c r="CJ54" s="90"/>
      <c r="CK54" s="116"/>
      <c r="CL54" s="16">
        <f t="shared" si="17"/>
        <v>0</v>
      </c>
      <c r="CM54" s="90"/>
      <c r="CN54" s="90"/>
      <c r="CO54" s="90"/>
      <c r="CP54" s="116"/>
      <c r="CQ54" s="16">
        <f t="shared" si="18"/>
        <v>0</v>
      </c>
      <c r="CR54" s="90"/>
      <c r="CS54" s="90"/>
      <c r="CT54" s="90"/>
      <c r="CU54" s="116"/>
      <c r="CV54" s="16">
        <f t="shared" si="19"/>
        <v>0</v>
      </c>
      <c r="CW54" s="90"/>
      <c r="CX54" s="90"/>
      <c r="CY54" s="90"/>
      <c r="CZ54" s="116"/>
      <c r="DA54" s="16">
        <f t="shared" si="20"/>
        <v>0</v>
      </c>
      <c r="DB54" s="90"/>
      <c r="DC54" s="90"/>
      <c r="DD54" s="90"/>
      <c r="DE54" s="116"/>
      <c r="DF54" s="16">
        <f t="shared" si="21"/>
        <v>0</v>
      </c>
      <c r="DG54" s="90"/>
      <c r="DH54" s="90"/>
      <c r="DI54" s="90"/>
      <c r="DJ54" s="116"/>
      <c r="DK54" s="16">
        <f t="shared" si="22"/>
        <v>0</v>
      </c>
      <c r="DL54" s="90"/>
      <c r="DM54" s="90"/>
      <c r="DN54" s="90"/>
      <c r="DO54" s="116"/>
      <c r="DP54" s="16">
        <f t="shared" si="23"/>
        <v>0</v>
      </c>
      <c r="DQ54" s="90"/>
      <c r="DR54" s="90"/>
      <c r="DS54" s="90"/>
      <c r="DT54" s="116"/>
      <c r="DU54" s="16">
        <f t="shared" si="24"/>
        <v>0</v>
      </c>
      <c r="DV54" s="90"/>
      <c r="DW54" s="90"/>
      <c r="DX54" s="90"/>
      <c r="DY54" s="116"/>
      <c r="DZ54" s="16">
        <f t="shared" si="25"/>
        <v>0</v>
      </c>
      <c r="EA54" s="90"/>
      <c r="EB54" s="90"/>
      <c r="EC54" s="90"/>
      <c r="ED54" s="116"/>
      <c r="EE54" s="16">
        <f t="shared" si="26"/>
        <v>0</v>
      </c>
      <c r="EF54" s="90"/>
      <c r="EG54" s="90"/>
      <c r="EH54" s="90"/>
      <c r="EI54" s="116"/>
      <c r="EJ54" s="16">
        <f t="shared" si="27"/>
        <v>0</v>
      </c>
      <c r="EK54" s="90"/>
      <c r="EL54" s="90"/>
      <c r="EM54" s="90"/>
      <c r="EN54" s="116"/>
      <c r="EO54" s="16">
        <f t="shared" si="28"/>
        <v>0</v>
      </c>
      <c r="EP54" s="90"/>
      <c r="EQ54" s="90"/>
      <c r="ER54" s="90"/>
      <c r="ES54" s="116"/>
      <c r="ET54" s="16">
        <f t="shared" si="29"/>
        <v>0</v>
      </c>
      <c r="EU54" s="90"/>
      <c r="EV54" s="90"/>
      <c r="EW54" s="90"/>
      <c r="EX54" s="116"/>
      <c r="EY54" s="16">
        <f t="shared" si="30"/>
        <v>0</v>
      </c>
      <c r="EZ54" s="90"/>
      <c r="FA54" s="90"/>
      <c r="FB54" s="90"/>
      <c r="FC54" s="116"/>
      <c r="FD54" s="16">
        <f t="shared" si="31"/>
        <v>0</v>
      </c>
      <c r="FE54" s="90"/>
      <c r="FF54" s="90"/>
      <c r="FG54" s="90"/>
      <c r="FH54" s="116"/>
      <c r="FI54" s="16">
        <f t="shared" si="50"/>
        <v>0</v>
      </c>
      <c r="FJ54" s="90"/>
      <c r="FK54" s="90"/>
      <c r="FL54" s="90"/>
      <c r="FM54" s="116"/>
      <c r="FN54" s="16">
        <f t="shared" si="32"/>
        <v>0</v>
      </c>
      <c r="FO54" s="90"/>
      <c r="FP54" s="90"/>
      <c r="FQ54" s="90"/>
      <c r="FR54" s="116"/>
      <c r="FS54" s="16">
        <f t="shared" si="33"/>
        <v>0</v>
      </c>
      <c r="FT54" s="90"/>
      <c r="FU54" s="90"/>
      <c r="FV54" s="90"/>
      <c r="FW54" s="116"/>
      <c r="FX54" s="16">
        <f t="shared" si="34"/>
        <v>0</v>
      </c>
      <c r="FY54" s="90"/>
      <c r="FZ54" s="90"/>
      <c r="GA54" s="90"/>
      <c r="GB54" s="116"/>
      <c r="GC54" s="16">
        <f t="shared" si="35"/>
        <v>0</v>
      </c>
      <c r="GD54" s="90"/>
      <c r="GE54" s="90"/>
      <c r="GF54" s="90"/>
      <c r="GG54" s="116"/>
      <c r="GH54" s="16">
        <f t="shared" si="36"/>
        <v>0</v>
      </c>
      <c r="GI54" s="90"/>
      <c r="GJ54" s="90"/>
      <c r="GK54" s="90"/>
      <c r="GL54" s="116"/>
      <c r="GM54" s="16">
        <f t="shared" si="37"/>
        <v>0</v>
      </c>
      <c r="GN54" s="90"/>
      <c r="GO54" s="90"/>
      <c r="GP54" s="90"/>
      <c r="GQ54" s="116"/>
      <c r="GR54" s="16">
        <f t="shared" si="38"/>
        <v>0</v>
      </c>
      <c r="GS54" s="90"/>
      <c r="GT54" s="90"/>
      <c r="GU54" s="90"/>
      <c r="GV54" s="116"/>
      <c r="GW54" s="16">
        <f t="shared" si="39"/>
        <v>0</v>
      </c>
      <c r="GX54" s="90"/>
      <c r="GY54" s="90"/>
      <c r="GZ54" s="90"/>
      <c r="HA54" s="116"/>
      <c r="HB54" s="16">
        <f t="shared" si="40"/>
        <v>0</v>
      </c>
      <c r="HC54" s="90"/>
      <c r="HD54" s="90"/>
      <c r="HE54" s="90"/>
      <c r="HF54" s="116"/>
      <c r="HG54" s="16">
        <f t="shared" si="41"/>
        <v>0</v>
      </c>
      <c r="HH54" s="90"/>
      <c r="HI54" s="90"/>
      <c r="HJ54" s="90"/>
      <c r="HK54" s="116"/>
      <c r="HL54" s="16">
        <f t="shared" si="42"/>
        <v>0</v>
      </c>
      <c r="HM54" s="90"/>
      <c r="HN54" s="90"/>
      <c r="HO54" s="90"/>
      <c r="HP54" s="116"/>
      <c r="HQ54" s="16">
        <f t="shared" si="43"/>
        <v>0</v>
      </c>
      <c r="HR54" s="90"/>
      <c r="HS54" s="90"/>
      <c r="HT54" s="90"/>
      <c r="HU54" s="116"/>
      <c r="HV54" s="16">
        <f t="shared" si="44"/>
        <v>0</v>
      </c>
      <c r="HW54" s="90"/>
      <c r="HX54" s="90"/>
      <c r="HY54" s="90"/>
      <c r="HZ54" s="116"/>
      <c r="IA54" s="16">
        <f t="shared" si="45"/>
        <v>0</v>
      </c>
      <c r="IB54" s="90"/>
      <c r="IC54" s="90"/>
      <c r="ID54" s="90"/>
      <c r="IE54" s="116"/>
      <c r="IF54" s="16">
        <f t="shared" si="46"/>
        <v>0</v>
      </c>
      <c r="IG54" s="90"/>
      <c r="IH54" s="90"/>
      <c r="II54" s="90"/>
      <c r="IJ54" s="116"/>
      <c r="IK54" s="16">
        <f t="shared" si="47"/>
        <v>0</v>
      </c>
      <c r="IL54" s="90"/>
      <c r="IM54" s="90"/>
      <c r="IN54" s="90"/>
      <c r="IO54" s="116"/>
      <c r="IP54" s="16">
        <f t="shared" si="48"/>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49"/>
        <v>0</v>
      </c>
      <c r="CC55" s="90"/>
      <c r="CD55" s="90"/>
      <c r="CE55" s="90"/>
      <c r="CF55" s="116"/>
      <c r="CG55" s="16">
        <f t="shared" si="16"/>
        <v>0</v>
      </c>
      <c r="CH55" s="90"/>
      <c r="CI55" s="90"/>
      <c r="CJ55" s="90"/>
      <c r="CK55" s="116"/>
      <c r="CL55" s="16">
        <f t="shared" si="17"/>
        <v>0</v>
      </c>
      <c r="CM55" s="90"/>
      <c r="CN55" s="90"/>
      <c r="CO55" s="90"/>
      <c r="CP55" s="116"/>
      <c r="CQ55" s="16">
        <f t="shared" si="18"/>
        <v>0</v>
      </c>
      <c r="CR55" s="90"/>
      <c r="CS55" s="90"/>
      <c r="CT55" s="90"/>
      <c r="CU55" s="116"/>
      <c r="CV55" s="16">
        <f t="shared" si="19"/>
        <v>0</v>
      </c>
      <c r="CW55" s="90"/>
      <c r="CX55" s="90"/>
      <c r="CY55" s="90"/>
      <c r="CZ55" s="116"/>
      <c r="DA55" s="16">
        <f t="shared" si="20"/>
        <v>0</v>
      </c>
      <c r="DB55" s="90"/>
      <c r="DC55" s="90"/>
      <c r="DD55" s="90"/>
      <c r="DE55" s="116"/>
      <c r="DF55" s="16">
        <f t="shared" si="21"/>
        <v>0</v>
      </c>
      <c r="DG55" s="90"/>
      <c r="DH55" s="90"/>
      <c r="DI55" s="90"/>
      <c r="DJ55" s="116"/>
      <c r="DK55" s="16">
        <f t="shared" si="22"/>
        <v>0</v>
      </c>
      <c r="DL55" s="90"/>
      <c r="DM55" s="90"/>
      <c r="DN55" s="90"/>
      <c r="DO55" s="116"/>
      <c r="DP55" s="16">
        <f t="shared" si="23"/>
        <v>0</v>
      </c>
      <c r="DQ55" s="90"/>
      <c r="DR55" s="90"/>
      <c r="DS55" s="90"/>
      <c r="DT55" s="116"/>
      <c r="DU55" s="16">
        <f t="shared" si="24"/>
        <v>0</v>
      </c>
      <c r="DV55" s="90"/>
      <c r="DW55" s="90"/>
      <c r="DX55" s="90"/>
      <c r="DY55" s="116"/>
      <c r="DZ55" s="16">
        <f t="shared" si="25"/>
        <v>0</v>
      </c>
      <c r="EA55" s="90"/>
      <c r="EB55" s="90"/>
      <c r="EC55" s="90"/>
      <c r="ED55" s="116"/>
      <c r="EE55" s="16">
        <f t="shared" si="26"/>
        <v>0</v>
      </c>
      <c r="EF55" s="90"/>
      <c r="EG55" s="90"/>
      <c r="EH55" s="90"/>
      <c r="EI55" s="116"/>
      <c r="EJ55" s="16">
        <f t="shared" si="27"/>
        <v>0</v>
      </c>
      <c r="EK55" s="90"/>
      <c r="EL55" s="90"/>
      <c r="EM55" s="90"/>
      <c r="EN55" s="116"/>
      <c r="EO55" s="16">
        <f t="shared" si="28"/>
        <v>0</v>
      </c>
      <c r="EP55" s="90"/>
      <c r="EQ55" s="90"/>
      <c r="ER55" s="90"/>
      <c r="ES55" s="116"/>
      <c r="ET55" s="16">
        <f t="shared" si="29"/>
        <v>0</v>
      </c>
      <c r="EU55" s="90"/>
      <c r="EV55" s="90"/>
      <c r="EW55" s="90"/>
      <c r="EX55" s="116"/>
      <c r="EY55" s="16">
        <f t="shared" si="30"/>
        <v>0</v>
      </c>
      <c r="EZ55" s="90"/>
      <c r="FA55" s="90"/>
      <c r="FB55" s="90"/>
      <c r="FC55" s="116"/>
      <c r="FD55" s="16">
        <f t="shared" si="31"/>
        <v>0</v>
      </c>
      <c r="FE55" s="90"/>
      <c r="FF55" s="90"/>
      <c r="FG55" s="90"/>
      <c r="FH55" s="116"/>
      <c r="FI55" s="16">
        <f t="shared" si="50"/>
        <v>0</v>
      </c>
      <c r="FJ55" s="90"/>
      <c r="FK55" s="90"/>
      <c r="FL55" s="90"/>
      <c r="FM55" s="116"/>
      <c r="FN55" s="16">
        <f t="shared" si="32"/>
        <v>0</v>
      </c>
      <c r="FO55" s="90"/>
      <c r="FP55" s="90"/>
      <c r="FQ55" s="90"/>
      <c r="FR55" s="116"/>
      <c r="FS55" s="16">
        <f t="shared" si="33"/>
        <v>0</v>
      </c>
      <c r="FT55" s="90"/>
      <c r="FU55" s="90"/>
      <c r="FV55" s="90"/>
      <c r="FW55" s="116"/>
      <c r="FX55" s="16">
        <f t="shared" si="34"/>
        <v>0</v>
      </c>
      <c r="FY55" s="90"/>
      <c r="FZ55" s="90"/>
      <c r="GA55" s="90"/>
      <c r="GB55" s="116"/>
      <c r="GC55" s="16">
        <f t="shared" si="35"/>
        <v>0</v>
      </c>
      <c r="GD55" s="90"/>
      <c r="GE55" s="90"/>
      <c r="GF55" s="90"/>
      <c r="GG55" s="116"/>
      <c r="GH55" s="16">
        <f t="shared" si="36"/>
        <v>0</v>
      </c>
      <c r="GI55" s="90"/>
      <c r="GJ55" s="90"/>
      <c r="GK55" s="90"/>
      <c r="GL55" s="116"/>
      <c r="GM55" s="16">
        <f t="shared" si="37"/>
        <v>0</v>
      </c>
      <c r="GN55" s="90"/>
      <c r="GO55" s="90"/>
      <c r="GP55" s="90"/>
      <c r="GQ55" s="116"/>
      <c r="GR55" s="16">
        <f t="shared" si="38"/>
        <v>0</v>
      </c>
      <c r="GS55" s="90"/>
      <c r="GT55" s="90"/>
      <c r="GU55" s="90"/>
      <c r="GV55" s="116"/>
      <c r="GW55" s="16">
        <f t="shared" si="39"/>
        <v>0</v>
      </c>
      <c r="GX55" s="90"/>
      <c r="GY55" s="90"/>
      <c r="GZ55" s="90"/>
      <c r="HA55" s="116"/>
      <c r="HB55" s="16">
        <f t="shared" si="40"/>
        <v>0</v>
      </c>
      <c r="HC55" s="90"/>
      <c r="HD55" s="90"/>
      <c r="HE55" s="90"/>
      <c r="HF55" s="116"/>
      <c r="HG55" s="16">
        <f t="shared" si="41"/>
        <v>0</v>
      </c>
      <c r="HH55" s="90"/>
      <c r="HI55" s="90"/>
      <c r="HJ55" s="90"/>
      <c r="HK55" s="116"/>
      <c r="HL55" s="16">
        <f t="shared" si="42"/>
        <v>0</v>
      </c>
      <c r="HM55" s="90"/>
      <c r="HN55" s="90"/>
      <c r="HO55" s="90"/>
      <c r="HP55" s="116"/>
      <c r="HQ55" s="16">
        <f t="shared" si="43"/>
        <v>0</v>
      </c>
      <c r="HR55" s="90"/>
      <c r="HS55" s="90"/>
      <c r="HT55" s="90"/>
      <c r="HU55" s="116"/>
      <c r="HV55" s="16">
        <f t="shared" si="44"/>
        <v>0</v>
      </c>
      <c r="HW55" s="90"/>
      <c r="HX55" s="90"/>
      <c r="HY55" s="90"/>
      <c r="HZ55" s="116"/>
      <c r="IA55" s="16">
        <f t="shared" si="45"/>
        <v>0</v>
      </c>
      <c r="IB55" s="90"/>
      <c r="IC55" s="90"/>
      <c r="ID55" s="90"/>
      <c r="IE55" s="116"/>
      <c r="IF55" s="16">
        <f t="shared" si="46"/>
        <v>0</v>
      </c>
      <c r="IG55" s="90"/>
      <c r="IH55" s="90"/>
      <c r="II55" s="90"/>
      <c r="IJ55" s="116"/>
      <c r="IK55" s="16">
        <f t="shared" si="47"/>
        <v>0</v>
      </c>
      <c r="IL55" s="90"/>
      <c r="IM55" s="90"/>
      <c r="IN55" s="90"/>
      <c r="IO55" s="116"/>
      <c r="IP55" s="16">
        <f t="shared" si="48"/>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49"/>
        <v>0</v>
      </c>
      <c r="CC56" s="90"/>
      <c r="CD56" s="90"/>
      <c r="CE56" s="90"/>
      <c r="CF56" s="116"/>
      <c r="CG56" s="16">
        <f t="shared" si="16"/>
        <v>0</v>
      </c>
      <c r="CH56" s="90"/>
      <c r="CI56" s="90"/>
      <c r="CJ56" s="90"/>
      <c r="CK56" s="116"/>
      <c r="CL56" s="16">
        <f t="shared" si="17"/>
        <v>0</v>
      </c>
      <c r="CM56" s="90"/>
      <c r="CN56" s="90"/>
      <c r="CO56" s="90"/>
      <c r="CP56" s="116"/>
      <c r="CQ56" s="16">
        <f t="shared" si="18"/>
        <v>0</v>
      </c>
      <c r="CR56" s="90"/>
      <c r="CS56" s="90"/>
      <c r="CT56" s="90"/>
      <c r="CU56" s="116"/>
      <c r="CV56" s="16">
        <f t="shared" si="19"/>
        <v>0</v>
      </c>
      <c r="CW56" s="90"/>
      <c r="CX56" s="90"/>
      <c r="CY56" s="90"/>
      <c r="CZ56" s="116"/>
      <c r="DA56" s="16">
        <f t="shared" si="20"/>
        <v>0</v>
      </c>
      <c r="DB56" s="90"/>
      <c r="DC56" s="90"/>
      <c r="DD56" s="90"/>
      <c r="DE56" s="116"/>
      <c r="DF56" s="16">
        <f t="shared" si="21"/>
        <v>0</v>
      </c>
      <c r="DG56" s="90"/>
      <c r="DH56" s="90"/>
      <c r="DI56" s="90"/>
      <c r="DJ56" s="116"/>
      <c r="DK56" s="16">
        <f t="shared" si="22"/>
        <v>0</v>
      </c>
      <c r="DL56" s="90"/>
      <c r="DM56" s="90"/>
      <c r="DN56" s="90"/>
      <c r="DO56" s="116"/>
      <c r="DP56" s="16">
        <f t="shared" si="23"/>
        <v>0</v>
      </c>
      <c r="DQ56" s="90"/>
      <c r="DR56" s="90"/>
      <c r="DS56" s="90"/>
      <c r="DT56" s="116"/>
      <c r="DU56" s="16">
        <f t="shared" si="24"/>
        <v>0</v>
      </c>
      <c r="DV56" s="90"/>
      <c r="DW56" s="90"/>
      <c r="DX56" s="90"/>
      <c r="DY56" s="116"/>
      <c r="DZ56" s="16">
        <f t="shared" si="25"/>
        <v>0</v>
      </c>
      <c r="EA56" s="90"/>
      <c r="EB56" s="90"/>
      <c r="EC56" s="90"/>
      <c r="ED56" s="116"/>
      <c r="EE56" s="16">
        <f t="shared" si="26"/>
        <v>0</v>
      </c>
      <c r="EF56" s="90"/>
      <c r="EG56" s="90"/>
      <c r="EH56" s="90"/>
      <c r="EI56" s="116"/>
      <c r="EJ56" s="16">
        <f t="shared" si="27"/>
        <v>0</v>
      </c>
      <c r="EK56" s="90"/>
      <c r="EL56" s="90"/>
      <c r="EM56" s="90"/>
      <c r="EN56" s="116"/>
      <c r="EO56" s="16">
        <f t="shared" si="28"/>
        <v>0</v>
      </c>
      <c r="EP56" s="90"/>
      <c r="EQ56" s="90"/>
      <c r="ER56" s="90"/>
      <c r="ES56" s="116"/>
      <c r="ET56" s="16">
        <f t="shared" si="29"/>
        <v>0</v>
      </c>
      <c r="EU56" s="90"/>
      <c r="EV56" s="90"/>
      <c r="EW56" s="90"/>
      <c r="EX56" s="116"/>
      <c r="EY56" s="16">
        <f t="shared" si="30"/>
        <v>0</v>
      </c>
      <c r="EZ56" s="90"/>
      <c r="FA56" s="90"/>
      <c r="FB56" s="90"/>
      <c r="FC56" s="116"/>
      <c r="FD56" s="16">
        <f t="shared" si="31"/>
        <v>0</v>
      </c>
      <c r="FE56" s="90"/>
      <c r="FF56" s="90"/>
      <c r="FG56" s="90"/>
      <c r="FH56" s="116"/>
      <c r="FI56" s="16">
        <f t="shared" si="50"/>
        <v>0</v>
      </c>
      <c r="FJ56" s="90"/>
      <c r="FK56" s="90"/>
      <c r="FL56" s="90"/>
      <c r="FM56" s="116"/>
      <c r="FN56" s="16">
        <f t="shared" si="32"/>
        <v>0</v>
      </c>
      <c r="FO56" s="90"/>
      <c r="FP56" s="90"/>
      <c r="FQ56" s="90"/>
      <c r="FR56" s="116"/>
      <c r="FS56" s="16">
        <f t="shared" si="33"/>
        <v>0</v>
      </c>
      <c r="FT56" s="90"/>
      <c r="FU56" s="90"/>
      <c r="FV56" s="90"/>
      <c r="FW56" s="116"/>
      <c r="FX56" s="16">
        <f t="shared" si="34"/>
        <v>0</v>
      </c>
      <c r="FY56" s="90"/>
      <c r="FZ56" s="90"/>
      <c r="GA56" s="90"/>
      <c r="GB56" s="116"/>
      <c r="GC56" s="16">
        <f t="shared" si="35"/>
        <v>0</v>
      </c>
      <c r="GD56" s="90"/>
      <c r="GE56" s="90"/>
      <c r="GF56" s="90"/>
      <c r="GG56" s="116"/>
      <c r="GH56" s="16">
        <f t="shared" si="36"/>
        <v>0</v>
      </c>
      <c r="GI56" s="90"/>
      <c r="GJ56" s="90"/>
      <c r="GK56" s="90"/>
      <c r="GL56" s="116"/>
      <c r="GM56" s="16">
        <f t="shared" si="37"/>
        <v>0</v>
      </c>
      <c r="GN56" s="90"/>
      <c r="GO56" s="90"/>
      <c r="GP56" s="90"/>
      <c r="GQ56" s="116"/>
      <c r="GR56" s="16">
        <f t="shared" si="38"/>
        <v>0</v>
      </c>
      <c r="GS56" s="90"/>
      <c r="GT56" s="90"/>
      <c r="GU56" s="90"/>
      <c r="GV56" s="116"/>
      <c r="GW56" s="16">
        <f t="shared" si="39"/>
        <v>0</v>
      </c>
      <c r="GX56" s="90"/>
      <c r="GY56" s="90"/>
      <c r="GZ56" s="90"/>
      <c r="HA56" s="116"/>
      <c r="HB56" s="16">
        <f t="shared" si="40"/>
        <v>0</v>
      </c>
      <c r="HC56" s="90"/>
      <c r="HD56" s="90"/>
      <c r="HE56" s="90"/>
      <c r="HF56" s="116"/>
      <c r="HG56" s="16">
        <f t="shared" si="41"/>
        <v>0</v>
      </c>
      <c r="HH56" s="90"/>
      <c r="HI56" s="90"/>
      <c r="HJ56" s="90"/>
      <c r="HK56" s="116"/>
      <c r="HL56" s="16">
        <f t="shared" si="42"/>
        <v>0</v>
      </c>
      <c r="HM56" s="90"/>
      <c r="HN56" s="90"/>
      <c r="HO56" s="90"/>
      <c r="HP56" s="116"/>
      <c r="HQ56" s="16">
        <f t="shared" si="43"/>
        <v>0</v>
      </c>
      <c r="HR56" s="90"/>
      <c r="HS56" s="90"/>
      <c r="HT56" s="90"/>
      <c r="HU56" s="116"/>
      <c r="HV56" s="16">
        <f t="shared" si="44"/>
        <v>0</v>
      </c>
      <c r="HW56" s="90"/>
      <c r="HX56" s="90"/>
      <c r="HY56" s="90"/>
      <c r="HZ56" s="116"/>
      <c r="IA56" s="16">
        <f t="shared" si="45"/>
        <v>0</v>
      </c>
      <c r="IB56" s="90"/>
      <c r="IC56" s="90"/>
      <c r="ID56" s="90"/>
      <c r="IE56" s="116"/>
      <c r="IF56" s="16">
        <f t="shared" si="46"/>
        <v>0</v>
      </c>
      <c r="IG56" s="90"/>
      <c r="IH56" s="90"/>
      <c r="II56" s="90"/>
      <c r="IJ56" s="116"/>
      <c r="IK56" s="16">
        <f t="shared" si="47"/>
        <v>0</v>
      </c>
      <c r="IL56" s="90"/>
      <c r="IM56" s="90"/>
      <c r="IN56" s="90"/>
      <c r="IO56" s="116"/>
      <c r="IP56" s="16">
        <f t="shared" si="48"/>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49"/>
        <v>0</v>
      </c>
      <c r="CC57" s="90"/>
      <c r="CD57" s="90"/>
      <c r="CE57" s="90"/>
      <c r="CF57" s="116"/>
      <c r="CG57" s="16">
        <f t="shared" si="16"/>
        <v>0</v>
      </c>
      <c r="CH57" s="90"/>
      <c r="CI57" s="90"/>
      <c r="CJ57" s="90"/>
      <c r="CK57" s="116"/>
      <c r="CL57" s="16">
        <f t="shared" si="17"/>
        <v>0</v>
      </c>
      <c r="CM57" s="90"/>
      <c r="CN57" s="90"/>
      <c r="CO57" s="90"/>
      <c r="CP57" s="116"/>
      <c r="CQ57" s="16">
        <f t="shared" si="18"/>
        <v>0</v>
      </c>
      <c r="CR57" s="90"/>
      <c r="CS57" s="90"/>
      <c r="CT57" s="90"/>
      <c r="CU57" s="116"/>
      <c r="CV57" s="16">
        <f t="shared" si="19"/>
        <v>0</v>
      </c>
      <c r="CW57" s="90"/>
      <c r="CX57" s="90"/>
      <c r="CY57" s="90"/>
      <c r="CZ57" s="116"/>
      <c r="DA57" s="16">
        <f t="shared" si="20"/>
        <v>0</v>
      </c>
      <c r="DB57" s="90"/>
      <c r="DC57" s="90"/>
      <c r="DD57" s="90"/>
      <c r="DE57" s="116"/>
      <c r="DF57" s="16">
        <f t="shared" si="21"/>
        <v>0</v>
      </c>
      <c r="DG57" s="90"/>
      <c r="DH57" s="90"/>
      <c r="DI57" s="90"/>
      <c r="DJ57" s="116"/>
      <c r="DK57" s="16">
        <f t="shared" si="22"/>
        <v>0</v>
      </c>
      <c r="DL57" s="90"/>
      <c r="DM57" s="90"/>
      <c r="DN57" s="90"/>
      <c r="DO57" s="116"/>
      <c r="DP57" s="16">
        <f t="shared" si="23"/>
        <v>0</v>
      </c>
      <c r="DQ57" s="90"/>
      <c r="DR57" s="90"/>
      <c r="DS57" s="90"/>
      <c r="DT57" s="116"/>
      <c r="DU57" s="16">
        <f t="shared" si="24"/>
        <v>0</v>
      </c>
      <c r="DV57" s="90"/>
      <c r="DW57" s="90"/>
      <c r="DX57" s="90"/>
      <c r="DY57" s="116"/>
      <c r="DZ57" s="16">
        <f t="shared" si="25"/>
        <v>0</v>
      </c>
      <c r="EA57" s="90"/>
      <c r="EB57" s="90"/>
      <c r="EC57" s="90"/>
      <c r="ED57" s="116"/>
      <c r="EE57" s="16">
        <f t="shared" si="26"/>
        <v>0</v>
      </c>
      <c r="EF57" s="90"/>
      <c r="EG57" s="90"/>
      <c r="EH57" s="90"/>
      <c r="EI57" s="116"/>
      <c r="EJ57" s="16">
        <f t="shared" si="27"/>
        <v>0</v>
      </c>
      <c r="EK57" s="90"/>
      <c r="EL57" s="90"/>
      <c r="EM57" s="90"/>
      <c r="EN57" s="116"/>
      <c r="EO57" s="16">
        <f t="shared" si="28"/>
        <v>0</v>
      </c>
      <c r="EP57" s="90"/>
      <c r="EQ57" s="90"/>
      <c r="ER57" s="90"/>
      <c r="ES57" s="116"/>
      <c r="ET57" s="16">
        <f t="shared" si="29"/>
        <v>0</v>
      </c>
      <c r="EU57" s="90"/>
      <c r="EV57" s="90"/>
      <c r="EW57" s="90"/>
      <c r="EX57" s="116"/>
      <c r="EY57" s="16">
        <f t="shared" si="30"/>
        <v>0</v>
      </c>
      <c r="EZ57" s="90"/>
      <c r="FA57" s="90"/>
      <c r="FB57" s="90"/>
      <c r="FC57" s="116"/>
      <c r="FD57" s="16">
        <f t="shared" si="31"/>
        <v>0</v>
      </c>
      <c r="FE57" s="90"/>
      <c r="FF57" s="90"/>
      <c r="FG57" s="90"/>
      <c r="FH57" s="116"/>
      <c r="FI57" s="16">
        <f t="shared" si="50"/>
        <v>0</v>
      </c>
      <c r="FJ57" s="90"/>
      <c r="FK57" s="90"/>
      <c r="FL57" s="90"/>
      <c r="FM57" s="116"/>
      <c r="FN57" s="16">
        <f t="shared" si="32"/>
        <v>0</v>
      </c>
      <c r="FO57" s="90"/>
      <c r="FP57" s="90"/>
      <c r="FQ57" s="90"/>
      <c r="FR57" s="116"/>
      <c r="FS57" s="16">
        <f t="shared" si="33"/>
        <v>0</v>
      </c>
      <c r="FT57" s="90"/>
      <c r="FU57" s="90"/>
      <c r="FV57" s="90"/>
      <c r="FW57" s="116"/>
      <c r="FX57" s="16">
        <f t="shared" si="34"/>
        <v>0</v>
      </c>
      <c r="FY57" s="90"/>
      <c r="FZ57" s="90"/>
      <c r="GA57" s="90"/>
      <c r="GB57" s="116"/>
      <c r="GC57" s="16">
        <f t="shared" si="35"/>
        <v>0</v>
      </c>
      <c r="GD57" s="90"/>
      <c r="GE57" s="90"/>
      <c r="GF57" s="90"/>
      <c r="GG57" s="116"/>
      <c r="GH57" s="16">
        <f t="shared" si="36"/>
        <v>0</v>
      </c>
      <c r="GI57" s="90"/>
      <c r="GJ57" s="90"/>
      <c r="GK57" s="90"/>
      <c r="GL57" s="116"/>
      <c r="GM57" s="16">
        <f t="shared" si="37"/>
        <v>0</v>
      </c>
      <c r="GN57" s="90"/>
      <c r="GO57" s="90"/>
      <c r="GP57" s="90"/>
      <c r="GQ57" s="116"/>
      <c r="GR57" s="16">
        <f t="shared" si="38"/>
        <v>0</v>
      </c>
      <c r="GS57" s="90"/>
      <c r="GT57" s="90"/>
      <c r="GU57" s="90"/>
      <c r="GV57" s="116"/>
      <c r="GW57" s="16">
        <f t="shared" si="39"/>
        <v>0</v>
      </c>
      <c r="GX57" s="90"/>
      <c r="GY57" s="90"/>
      <c r="GZ57" s="90"/>
      <c r="HA57" s="116"/>
      <c r="HB57" s="16">
        <f t="shared" si="40"/>
        <v>0</v>
      </c>
      <c r="HC57" s="90"/>
      <c r="HD57" s="90"/>
      <c r="HE57" s="90"/>
      <c r="HF57" s="116"/>
      <c r="HG57" s="16">
        <f t="shared" si="41"/>
        <v>0</v>
      </c>
      <c r="HH57" s="90"/>
      <c r="HI57" s="90"/>
      <c r="HJ57" s="90"/>
      <c r="HK57" s="116"/>
      <c r="HL57" s="16">
        <f t="shared" si="42"/>
        <v>0</v>
      </c>
      <c r="HM57" s="90"/>
      <c r="HN57" s="90"/>
      <c r="HO57" s="90"/>
      <c r="HP57" s="116"/>
      <c r="HQ57" s="16">
        <f t="shared" si="43"/>
        <v>0</v>
      </c>
      <c r="HR57" s="90"/>
      <c r="HS57" s="90"/>
      <c r="HT57" s="90"/>
      <c r="HU57" s="116"/>
      <c r="HV57" s="16">
        <f t="shared" si="44"/>
        <v>0</v>
      </c>
      <c r="HW57" s="90"/>
      <c r="HX57" s="90"/>
      <c r="HY57" s="90"/>
      <c r="HZ57" s="116"/>
      <c r="IA57" s="16">
        <f t="shared" si="45"/>
        <v>0</v>
      </c>
      <c r="IB57" s="90"/>
      <c r="IC57" s="90"/>
      <c r="ID57" s="90"/>
      <c r="IE57" s="116"/>
      <c r="IF57" s="16">
        <f t="shared" si="46"/>
        <v>0</v>
      </c>
      <c r="IG57" s="90"/>
      <c r="IH57" s="90"/>
      <c r="II57" s="90"/>
      <c r="IJ57" s="116"/>
      <c r="IK57" s="16">
        <f t="shared" si="47"/>
        <v>0</v>
      </c>
      <c r="IL57" s="90"/>
      <c r="IM57" s="90"/>
      <c r="IN57" s="90"/>
      <c r="IO57" s="116"/>
      <c r="IP57" s="16">
        <f t="shared" si="48"/>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49"/>
        <v>0</v>
      </c>
      <c r="CC58" s="90"/>
      <c r="CD58" s="90"/>
      <c r="CE58" s="90"/>
      <c r="CF58" s="116"/>
      <c r="CG58" s="16">
        <f t="shared" si="16"/>
        <v>0</v>
      </c>
      <c r="CH58" s="90"/>
      <c r="CI58" s="90"/>
      <c r="CJ58" s="90"/>
      <c r="CK58" s="116"/>
      <c r="CL58" s="16">
        <f t="shared" si="17"/>
        <v>0</v>
      </c>
      <c r="CM58" s="90"/>
      <c r="CN58" s="90"/>
      <c r="CO58" s="90"/>
      <c r="CP58" s="116"/>
      <c r="CQ58" s="16">
        <f t="shared" si="18"/>
        <v>0</v>
      </c>
      <c r="CR58" s="90"/>
      <c r="CS58" s="90"/>
      <c r="CT58" s="90"/>
      <c r="CU58" s="116"/>
      <c r="CV58" s="16">
        <f t="shared" si="19"/>
        <v>0</v>
      </c>
      <c r="CW58" s="90"/>
      <c r="CX58" s="90"/>
      <c r="CY58" s="90"/>
      <c r="CZ58" s="116"/>
      <c r="DA58" s="16">
        <f t="shared" si="20"/>
        <v>0</v>
      </c>
      <c r="DB58" s="90"/>
      <c r="DC58" s="90"/>
      <c r="DD58" s="90"/>
      <c r="DE58" s="116"/>
      <c r="DF58" s="16">
        <f t="shared" si="21"/>
        <v>0</v>
      </c>
      <c r="DG58" s="90"/>
      <c r="DH58" s="90"/>
      <c r="DI58" s="90"/>
      <c r="DJ58" s="116"/>
      <c r="DK58" s="16">
        <f t="shared" si="22"/>
        <v>0</v>
      </c>
      <c r="DL58" s="90"/>
      <c r="DM58" s="90"/>
      <c r="DN58" s="90"/>
      <c r="DO58" s="116"/>
      <c r="DP58" s="16">
        <f t="shared" si="23"/>
        <v>0</v>
      </c>
      <c r="DQ58" s="90"/>
      <c r="DR58" s="90"/>
      <c r="DS58" s="90"/>
      <c r="DT58" s="116"/>
      <c r="DU58" s="16">
        <f t="shared" si="24"/>
        <v>0</v>
      </c>
      <c r="DV58" s="90"/>
      <c r="DW58" s="90"/>
      <c r="DX58" s="90"/>
      <c r="DY58" s="116"/>
      <c r="DZ58" s="16">
        <f t="shared" si="25"/>
        <v>0</v>
      </c>
      <c r="EA58" s="90"/>
      <c r="EB58" s="90"/>
      <c r="EC58" s="90"/>
      <c r="ED58" s="116"/>
      <c r="EE58" s="16">
        <f t="shared" si="26"/>
        <v>0</v>
      </c>
      <c r="EF58" s="90"/>
      <c r="EG58" s="90"/>
      <c r="EH58" s="90"/>
      <c r="EI58" s="116"/>
      <c r="EJ58" s="16">
        <f t="shared" si="27"/>
        <v>0</v>
      </c>
      <c r="EK58" s="90"/>
      <c r="EL58" s="90"/>
      <c r="EM58" s="90"/>
      <c r="EN58" s="116"/>
      <c r="EO58" s="16">
        <f t="shared" si="28"/>
        <v>0</v>
      </c>
      <c r="EP58" s="90"/>
      <c r="EQ58" s="90"/>
      <c r="ER58" s="90"/>
      <c r="ES58" s="116"/>
      <c r="ET58" s="16">
        <f t="shared" si="29"/>
        <v>0</v>
      </c>
      <c r="EU58" s="90"/>
      <c r="EV58" s="90"/>
      <c r="EW58" s="90"/>
      <c r="EX58" s="116"/>
      <c r="EY58" s="16">
        <f t="shared" si="30"/>
        <v>0</v>
      </c>
      <c r="EZ58" s="90"/>
      <c r="FA58" s="90"/>
      <c r="FB58" s="90"/>
      <c r="FC58" s="116"/>
      <c r="FD58" s="16">
        <f t="shared" si="31"/>
        <v>0</v>
      </c>
      <c r="FE58" s="90"/>
      <c r="FF58" s="90"/>
      <c r="FG58" s="90"/>
      <c r="FH58" s="116"/>
      <c r="FI58" s="16">
        <f t="shared" si="50"/>
        <v>0</v>
      </c>
      <c r="FJ58" s="90"/>
      <c r="FK58" s="90"/>
      <c r="FL58" s="90"/>
      <c r="FM58" s="116"/>
      <c r="FN58" s="16">
        <f t="shared" si="32"/>
        <v>0</v>
      </c>
      <c r="FO58" s="90"/>
      <c r="FP58" s="90"/>
      <c r="FQ58" s="90"/>
      <c r="FR58" s="116"/>
      <c r="FS58" s="16">
        <f t="shared" si="33"/>
        <v>0</v>
      </c>
      <c r="FT58" s="90"/>
      <c r="FU58" s="90"/>
      <c r="FV58" s="90"/>
      <c r="FW58" s="116"/>
      <c r="FX58" s="16">
        <f t="shared" si="34"/>
        <v>0</v>
      </c>
      <c r="FY58" s="90"/>
      <c r="FZ58" s="90"/>
      <c r="GA58" s="90"/>
      <c r="GB58" s="116"/>
      <c r="GC58" s="16">
        <f t="shared" si="35"/>
        <v>0</v>
      </c>
      <c r="GD58" s="90"/>
      <c r="GE58" s="90"/>
      <c r="GF58" s="90"/>
      <c r="GG58" s="116"/>
      <c r="GH58" s="16">
        <f t="shared" si="36"/>
        <v>0</v>
      </c>
      <c r="GI58" s="90"/>
      <c r="GJ58" s="90"/>
      <c r="GK58" s="90"/>
      <c r="GL58" s="116"/>
      <c r="GM58" s="16">
        <f t="shared" si="37"/>
        <v>0</v>
      </c>
      <c r="GN58" s="90"/>
      <c r="GO58" s="90"/>
      <c r="GP58" s="90"/>
      <c r="GQ58" s="116"/>
      <c r="GR58" s="16">
        <f t="shared" si="38"/>
        <v>0</v>
      </c>
      <c r="GS58" s="90"/>
      <c r="GT58" s="90"/>
      <c r="GU58" s="90"/>
      <c r="GV58" s="116"/>
      <c r="GW58" s="16">
        <f t="shared" si="39"/>
        <v>0</v>
      </c>
      <c r="GX58" s="90"/>
      <c r="GY58" s="90"/>
      <c r="GZ58" s="90"/>
      <c r="HA58" s="116"/>
      <c r="HB58" s="16">
        <f t="shared" si="40"/>
        <v>0</v>
      </c>
      <c r="HC58" s="90"/>
      <c r="HD58" s="90"/>
      <c r="HE58" s="90"/>
      <c r="HF58" s="116"/>
      <c r="HG58" s="16">
        <f t="shared" si="41"/>
        <v>0</v>
      </c>
      <c r="HH58" s="90"/>
      <c r="HI58" s="90"/>
      <c r="HJ58" s="90"/>
      <c r="HK58" s="116"/>
      <c r="HL58" s="16">
        <f t="shared" si="42"/>
        <v>0</v>
      </c>
      <c r="HM58" s="90"/>
      <c r="HN58" s="90"/>
      <c r="HO58" s="90"/>
      <c r="HP58" s="116"/>
      <c r="HQ58" s="16">
        <f t="shared" si="43"/>
        <v>0</v>
      </c>
      <c r="HR58" s="90"/>
      <c r="HS58" s="90"/>
      <c r="HT58" s="90"/>
      <c r="HU58" s="116"/>
      <c r="HV58" s="16">
        <f t="shared" si="44"/>
        <v>0</v>
      </c>
      <c r="HW58" s="90"/>
      <c r="HX58" s="90"/>
      <c r="HY58" s="90"/>
      <c r="HZ58" s="116"/>
      <c r="IA58" s="16">
        <f t="shared" si="45"/>
        <v>0</v>
      </c>
      <c r="IB58" s="90"/>
      <c r="IC58" s="90"/>
      <c r="ID58" s="90"/>
      <c r="IE58" s="116"/>
      <c r="IF58" s="16">
        <f t="shared" si="46"/>
        <v>0</v>
      </c>
      <c r="IG58" s="90"/>
      <c r="IH58" s="90"/>
      <c r="II58" s="90"/>
      <c r="IJ58" s="116"/>
      <c r="IK58" s="16">
        <f t="shared" si="47"/>
        <v>0</v>
      </c>
      <c r="IL58" s="90"/>
      <c r="IM58" s="90"/>
      <c r="IN58" s="90"/>
      <c r="IO58" s="116"/>
      <c r="IP58" s="16">
        <f t="shared" si="48"/>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49"/>
        <v>0</v>
      </c>
      <c r="CC59" s="90"/>
      <c r="CD59" s="90"/>
      <c r="CE59" s="90"/>
      <c r="CF59" s="116"/>
      <c r="CG59" s="16">
        <f t="shared" si="16"/>
        <v>0</v>
      </c>
      <c r="CH59" s="90"/>
      <c r="CI59" s="90"/>
      <c r="CJ59" s="90"/>
      <c r="CK59" s="116"/>
      <c r="CL59" s="16">
        <f t="shared" si="17"/>
        <v>0</v>
      </c>
      <c r="CM59" s="90"/>
      <c r="CN59" s="90"/>
      <c r="CO59" s="90"/>
      <c r="CP59" s="116"/>
      <c r="CQ59" s="16">
        <f t="shared" si="18"/>
        <v>0</v>
      </c>
      <c r="CR59" s="90"/>
      <c r="CS59" s="90"/>
      <c r="CT59" s="90"/>
      <c r="CU59" s="116"/>
      <c r="CV59" s="16">
        <f t="shared" si="19"/>
        <v>0</v>
      </c>
      <c r="CW59" s="90"/>
      <c r="CX59" s="90"/>
      <c r="CY59" s="90"/>
      <c r="CZ59" s="116"/>
      <c r="DA59" s="16">
        <f t="shared" si="20"/>
        <v>0</v>
      </c>
      <c r="DB59" s="90"/>
      <c r="DC59" s="90"/>
      <c r="DD59" s="90"/>
      <c r="DE59" s="116"/>
      <c r="DF59" s="16">
        <f t="shared" si="21"/>
        <v>0</v>
      </c>
      <c r="DG59" s="90"/>
      <c r="DH59" s="90"/>
      <c r="DI59" s="90"/>
      <c r="DJ59" s="116"/>
      <c r="DK59" s="16">
        <f t="shared" si="22"/>
        <v>0</v>
      </c>
      <c r="DL59" s="90"/>
      <c r="DM59" s="90"/>
      <c r="DN59" s="90"/>
      <c r="DO59" s="116"/>
      <c r="DP59" s="16">
        <f t="shared" si="23"/>
        <v>0</v>
      </c>
      <c r="DQ59" s="90"/>
      <c r="DR59" s="90"/>
      <c r="DS59" s="90"/>
      <c r="DT59" s="116"/>
      <c r="DU59" s="16">
        <f t="shared" si="24"/>
        <v>0</v>
      </c>
      <c r="DV59" s="90"/>
      <c r="DW59" s="90"/>
      <c r="DX59" s="90"/>
      <c r="DY59" s="116"/>
      <c r="DZ59" s="16">
        <f t="shared" si="25"/>
        <v>0</v>
      </c>
      <c r="EA59" s="90"/>
      <c r="EB59" s="90"/>
      <c r="EC59" s="90"/>
      <c r="ED59" s="116"/>
      <c r="EE59" s="16">
        <f t="shared" si="26"/>
        <v>0</v>
      </c>
      <c r="EF59" s="90"/>
      <c r="EG59" s="90"/>
      <c r="EH59" s="90"/>
      <c r="EI59" s="116"/>
      <c r="EJ59" s="16">
        <f t="shared" si="27"/>
        <v>0</v>
      </c>
      <c r="EK59" s="90"/>
      <c r="EL59" s="90"/>
      <c r="EM59" s="90"/>
      <c r="EN59" s="116"/>
      <c r="EO59" s="16">
        <f t="shared" si="28"/>
        <v>0</v>
      </c>
      <c r="EP59" s="90"/>
      <c r="EQ59" s="90"/>
      <c r="ER59" s="90"/>
      <c r="ES59" s="116"/>
      <c r="ET59" s="16">
        <f t="shared" si="29"/>
        <v>0</v>
      </c>
      <c r="EU59" s="90"/>
      <c r="EV59" s="90"/>
      <c r="EW59" s="90"/>
      <c r="EX59" s="116"/>
      <c r="EY59" s="16">
        <f t="shared" si="30"/>
        <v>0</v>
      </c>
      <c r="EZ59" s="90"/>
      <c r="FA59" s="90"/>
      <c r="FB59" s="90"/>
      <c r="FC59" s="116"/>
      <c r="FD59" s="16">
        <f t="shared" si="31"/>
        <v>0</v>
      </c>
      <c r="FE59" s="90"/>
      <c r="FF59" s="90"/>
      <c r="FG59" s="90"/>
      <c r="FH59" s="116"/>
      <c r="FI59" s="16">
        <f t="shared" si="50"/>
        <v>0</v>
      </c>
      <c r="FJ59" s="90"/>
      <c r="FK59" s="90"/>
      <c r="FL59" s="90"/>
      <c r="FM59" s="116"/>
      <c r="FN59" s="16">
        <f t="shared" si="32"/>
        <v>0</v>
      </c>
      <c r="FO59" s="90"/>
      <c r="FP59" s="90"/>
      <c r="FQ59" s="90"/>
      <c r="FR59" s="116"/>
      <c r="FS59" s="16">
        <f t="shared" si="33"/>
        <v>0</v>
      </c>
      <c r="FT59" s="90"/>
      <c r="FU59" s="90"/>
      <c r="FV59" s="90"/>
      <c r="FW59" s="116"/>
      <c r="FX59" s="16">
        <f t="shared" si="34"/>
        <v>0</v>
      </c>
      <c r="FY59" s="90"/>
      <c r="FZ59" s="90"/>
      <c r="GA59" s="90"/>
      <c r="GB59" s="116"/>
      <c r="GC59" s="16">
        <f t="shared" si="35"/>
        <v>0</v>
      </c>
      <c r="GD59" s="90"/>
      <c r="GE59" s="90"/>
      <c r="GF59" s="90"/>
      <c r="GG59" s="116"/>
      <c r="GH59" s="16">
        <f t="shared" si="36"/>
        <v>0</v>
      </c>
      <c r="GI59" s="90"/>
      <c r="GJ59" s="90"/>
      <c r="GK59" s="90"/>
      <c r="GL59" s="116"/>
      <c r="GM59" s="16">
        <f t="shared" si="37"/>
        <v>0</v>
      </c>
      <c r="GN59" s="90"/>
      <c r="GO59" s="90"/>
      <c r="GP59" s="90"/>
      <c r="GQ59" s="116"/>
      <c r="GR59" s="16">
        <f t="shared" si="38"/>
        <v>0</v>
      </c>
      <c r="GS59" s="90"/>
      <c r="GT59" s="90"/>
      <c r="GU59" s="90"/>
      <c r="GV59" s="116"/>
      <c r="GW59" s="16">
        <f t="shared" si="39"/>
        <v>0</v>
      </c>
      <c r="GX59" s="90"/>
      <c r="GY59" s="90"/>
      <c r="GZ59" s="90"/>
      <c r="HA59" s="116"/>
      <c r="HB59" s="16">
        <f t="shared" si="40"/>
        <v>0</v>
      </c>
      <c r="HC59" s="90"/>
      <c r="HD59" s="90"/>
      <c r="HE59" s="90"/>
      <c r="HF59" s="116"/>
      <c r="HG59" s="16">
        <f t="shared" si="41"/>
        <v>0</v>
      </c>
      <c r="HH59" s="90"/>
      <c r="HI59" s="90"/>
      <c r="HJ59" s="90"/>
      <c r="HK59" s="116"/>
      <c r="HL59" s="16">
        <f t="shared" si="42"/>
        <v>0</v>
      </c>
      <c r="HM59" s="90"/>
      <c r="HN59" s="90"/>
      <c r="HO59" s="90"/>
      <c r="HP59" s="116"/>
      <c r="HQ59" s="16">
        <f t="shared" si="43"/>
        <v>0</v>
      </c>
      <c r="HR59" s="90"/>
      <c r="HS59" s="90"/>
      <c r="HT59" s="90"/>
      <c r="HU59" s="116"/>
      <c r="HV59" s="16">
        <f t="shared" si="44"/>
        <v>0</v>
      </c>
      <c r="HW59" s="90"/>
      <c r="HX59" s="90"/>
      <c r="HY59" s="90"/>
      <c r="HZ59" s="116"/>
      <c r="IA59" s="16">
        <f t="shared" si="45"/>
        <v>0</v>
      </c>
      <c r="IB59" s="90"/>
      <c r="IC59" s="90"/>
      <c r="ID59" s="90"/>
      <c r="IE59" s="116"/>
      <c r="IF59" s="16">
        <f t="shared" si="46"/>
        <v>0</v>
      </c>
      <c r="IG59" s="90"/>
      <c r="IH59" s="90"/>
      <c r="II59" s="90"/>
      <c r="IJ59" s="116"/>
      <c r="IK59" s="16">
        <f t="shared" si="47"/>
        <v>0</v>
      </c>
      <c r="IL59" s="90"/>
      <c r="IM59" s="90"/>
      <c r="IN59" s="90"/>
      <c r="IO59" s="116"/>
      <c r="IP59" s="16">
        <f t="shared" si="48"/>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49"/>
        <v>0</v>
      </c>
      <c r="CC60" s="90"/>
      <c r="CD60" s="90"/>
      <c r="CE60" s="90"/>
      <c r="CF60" s="116"/>
      <c r="CG60" s="16">
        <f t="shared" si="16"/>
        <v>0</v>
      </c>
      <c r="CH60" s="90"/>
      <c r="CI60" s="90"/>
      <c r="CJ60" s="90"/>
      <c r="CK60" s="116"/>
      <c r="CL60" s="16">
        <f t="shared" si="17"/>
        <v>0</v>
      </c>
      <c r="CM60" s="90"/>
      <c r="CN60" s="90"/>
      <c r="CO60" s="90"/>
      <c r="CP60" s="116"/>
      <c r="CQ60" s="16">
        <f t="shared" si="18"/>
        <v>0</v>
      </c>
      <c r="CR60" s="90"/>
      <c r="CS60" s="90"/>
      <c r="CT60" s="90"/>
      <c r="CU60" s="116"/>
      <c r="CV60" s="16">
        <f t="shared" si="19"/>
        <v>0</v>
      </c>
      <c r="CW60" s="90"/>
      <c r="CX60" s="90"/>
      <c r="CY60" s="90"/>
      <c r="CZ60" s="116"/>
      <c r="DA60" s="16">
        <f t="shared" si="20"/>
        <v>0</v>
      </c>
      <c r="DB60" s="90"/>
      <c r="DC60" s="90"/>
      <c r="DD60" s="90"/>
      <c r="DE60" s="116"/>
      <c r="DF60" s="16">
        <f t="shared" si="21"/>
        <v>0</v>
      </c>
      <c r="DG60" s="90"/>
      <c r="DH60" s="90"/>
      <c r="DI60" s="90"/>
      <c r="DJ60" s="116"/>
      <c r="DK60" s="16">
        <f t="shared" si="22"/>
        <v>0</v>
      </c>
      <c r="DL60" s="90"/>
      <c r="DM60" s="90"/>
      <c r="DN60" s="90"/>
      <c r="DO60" s="116"/>
      <c r="DP60" s="16">
        <f t="shared" si="23"/>
        <v>0</v>
      </c>
      <c r="DQ60" s="90"/>
      <c r="DR60" s="90"/>
      <c r="DS60" s="90"/>
      <c r="DT60" s="116"/>
      <c r="DU60" s="16">
        <f t="shared" si="24"/>
        <v>0</v>
      </c>
      <c r="DV60" s="90"/>
      <c r="DW60" s="90"/>
      <c r="DX60" s="90"/>
      <c r="DY60" s="116"/>
      <c r="DZ60" s="16">
        <f t="shared" si="25"/>
        <v>0</v>
      </c>
      <c r="EA60" s="90"/>
      <c r="EB60" s="90"/>
      <c r="EC60" s="90"/>
      <c r="ED60" s="116"/>
      <c r="EE60" s="16">
        <f t="shared" si="26"/>
        <v>0</v>
      </c>
      <c r="EF60" s="90"/>
      <c r="EG60" s="90"/>
      <c r="EH60" s="90"/>
      <c r="EI60" s="116"/>
      <c r="EJ60" s="16">
        <f t="shared" si="27"/>
        <v>0</v>
      </c>
      <c r="EK60" s="90"/>
      <c r="EL60" s="90"/>
      <c r="EM60" s="90"/>
      <c r="EN60" s="116"/>
      <c r="EO60" s="16">
        <f t="shared" si="28"/>
        <v>0</v>
      </c>
      <c r="EP60" s="90"/>
      <c r="EQ60" s="90"/>
      <c r="ER60" s="90"/>
      <c r="ES60" s="116"/>
      <c r="ET60" s="16">
        <f t="shared" si="29"/>
        <v>0</v>
      </c>
      <c r="EU60" s="90"/>
      <c r="EV60" s="90"/>
      <c r="EW60" s="90"/>
      <c r="EX60" s="116"/>
      <c r="EY60" s="16">
        <f t="shared" si="30"/>
        <v>0</v>
      </c>
      <c r="EZ60" s="90"/>
      <c r="FA60" s="90"/>
      <c r="FB60" s="90"/>
      <c r="FC60" s="116"/>
      <c r="FD60" s="16">
        <f t="shared" si="31"/>
        <v>0</v>
      </c>
      <c r="FE60" s="90"/>
      <c r="FF60" s="90"/>
      <c r="FG60" s="90"/>
      <c r="FH60" s="116"/>
      <c r="FI60" s="16">
        <f t="shared" si="50"/>
        <v>0</v>
      </c>
      <c r="FJ60" s="90"/>
      <c r="FK60" s="90"/>
      <c r="FL60" s="90"/>
      <c r="FM60" s="116"/>
      <c r="FN60" s="16">
        <f t="shared" si="32"/>
        <v>0</v>
      </c>
      <c r="FO60" s="90"/>
      <c r="FP60" s="90"/>
      <c r="FQ60" s="90"/>
      <c r="FR60" s="116"/>
      <c r="FS60" s="16">
        <f t="shared" si="33"/>
        <v>0</v>
      </c>
      <c r="FT60" s="90"/>
      <c r="FU60" s="90"/>
      <c r="FV60" s="90"/>
      <c r="FW60" s="116"/>
      <c r="FX60" s="16">
        <f t="shared" si="34"/>
        <v>0</v>
      </c>
      <c r="FY60" s="90"/>
      <c r="FZ60" s="90"/>
      <c r="GA60" s="90"/>
      <c r="GB60" s="116"/>
      <c r="GC60" s="16">
        <f t="shared" si="35"/>
        <v>0</v>
      </c>
      <c r="GD60" s="90"/>
      <c r="GE60" s="90"/>
      <c r="GF60" s="90"/>
      <c r="GG60" s="116"/>
      <c r="GH60" s="16">
        <f t="shared" si="36"/>
        <v>0</v>
      </c>
      <c r="GI60" s="90"/>
      <c r="GJ60" s="90"/>
      <c r="GK60" s="90"/>
      <c r="GL60" s="116"/>
      <c r="GM60" s="16">
        <f t="shared" si="37"/>
        <v>0</v>
      </c>
      <c r="GN60" s="90"/>
      <c r="GO60" s="90"/>
      <c r="GP60" s="90"/>
      <c r="GQ60" s="116"/>
      <c r="GR60" s="16">
        <f t="shared" si="38"/>
        <v>0</v>
      </c>
      <c r="GS60" s="90"/>
      <c r="GT60" s="90"/>
      <c r="GU60" s="90"/>
      <c r="GV60" s="116"/>
      <c r="GW60" s="16">
        <f t="shared" si="39"/>
        <v>0</v>
      </c>
      <c r="GX60" s="90"/>
      <c r="GY60" s="90"/>
      <c r="GZ60" s="90"/>
      <c r="HA60" s="116"/>
      <c r="HB60" s="16">
        <f t="shared" si="40"/>
        <v>0</v>
      </c>
      <c r="HC60" s="90"/>
      <c r="HD60" s="90"/>
      <c r="HE60" s="90"/>
      <c r="HF60" s="116"/>
      <c r="HG60" s="16">
        <f t="shared" si="41"/>
        <v>0</v>
      </c>
      <c r="HH60" s="90"/>
      <c r="HI60" s="90"/>
      <c r="HJ60" s="90"/>
      <c r="HK60" s="116"/>
      <c r="HL60" s="16">
        <f t="shared" si="42"/>
        <v>0</v>
      </c>
      <c r="HM60" s="90"/>
      <c r="HN60" s="90"/>
      <c r="HO60" s="90"/>
      <c r="HP60" s="116"/>
      <c r="HQ60" s="16">
        <f t="shared" si="43"/>
        <v>0</v>
      </c>
      <c r="HR60" s="90"/>
      <c r="HS60" s="90"/>
      <c r="HT60" s="90"/>
      <c r="HU60" s="116"/>
      <c r="HV60" s="16">
        <f t="shared" si="44"/>
        <v>0</v>
      </c>
      <c r="HW60" s="90"/>
      <c r="HX60" s="90"/>
      <c r="HY60" s="90"/>
      <c r="HZ60" s="116"/>
      <c r="IA60" s="16">
        <f t="shared" si="45"/>
        <v>0</v>
      </c>
      <c r="IB60" s="90"/>
      <c r="IC60" s="90"/>
      <c r="ID60" s="90"/>
      <c r="IE60" s="116"/>
      <c r="IF60" s="16">
        <f t="shared" si="46"/>
        <v>0</v>
      </c>
      <c r="IG60" s="90"/>
      <c r="IH60" s="90"/>
      <c r="II60" s="90"/>
      <c r="IJ60" s="116"/>
      <c r="IK60" s="16">
        <f t="shared" si="47"/>
        <v>0</v>
      </c>
      <c r="IL60" s="90"/>
      <c r="IM60" s="90"/>
      <c r="IN60" s="90"/>
      <c r="IO60" s="116"/>
      <c r="IP60" s="16">
        <f t="shared" si="48"/>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49"/>
        <v>0</v>
      </c>
      <c r="CC61" s="90"/>
      <c r="CD61" s="90"/>
      <c r="CE61" s="90"/>
      <c r="CF61" s="116"/>
      <c r="CG61" s="16">
        <f t="shared" si="16"/>
        <v>0</v>
      </c>
      <c r="CH61" s="90"/>
      <c r="CI61" s="90"/>
      <c r="CJ61" s="90"/>
      <c r="CK61" s="116"/>
      <c r="CL61" s="16">
        <f t="shared" si="17"/>
        <v>0</v>
      </c>
      <c r="CM61" s="90"/>
      <c r="CN61" s="90"/>
      <c r="CO61" s="90"/>
      <c r="CP61" s="116"/>
      <c r="CQ61" s="16">
        <f t="shared" si="18"/>
        <v>0</v>
      </c>
      <c r="CR61" s="90"/>
      <c r="CS61" s="90"/>
      <c r="CT61" s="90"/>
      <c r="CU61" s="116"/>
      <c r="CV61" s="16">
        <f t="shared" si="19"/>
        <v>0</v>
      </c>
      <c r="CW61" s="90"/>
      <c r="CX61" s="90"/>
      <c r="CY61" s="90"/>
      <c r="CZ61" s="116"/>
      <c r="DA61" s="16">
        <f t="shared" si="20"/>
        <v>0</v>
      </c>
      <c r="DB61" s="90"/>
      <c r="DC61" s="90"/>
      <c r="DD61" s="90"/>
      <c r="DE61" s="116"/>
      <c r="DF61" s="16">
        <f t="shared" si="21"/>
        <v>0</v>
      </c>
      <c r="DG61" s="90"/>
      <c r="DH61" s="90"/>
      <c r="DI61" s="90"/>
      <c r="DJ61" s="116"/>
      <c r="DK61" s="16">
        <f t="shared" si="22"/>
        <v>0</v>
      </c>
      <c r="DL61" s="90"/>
      <c r="DM61" s="90"/>
      <c r="DN61" s="90"/>
      <c r="DO61" s="116"/>
      <c r="DP61" s="16">
        <f t="shared" si="23"/>
        <v>0</v>
      </c>
      <c r="DQ61" s="90"/>
      <c r="DR61" s="90"/>
      <c r="DS61" s="90"/>
      <c r="DT61" s="116"/>
      <c r="DU61" s="16">
        <f t="shared" si="24"/>
        <v>0</v>
      </c>
      <c r="DV61" s="90"/>
      <c r="DW61" s="90"/>
      <c r="DX61" s="90"/>
      <c r="DY61" s="116"/>
      <c r="DZ61" s="16">
        <f t="shared" si="25"/>
        <v>0</v>
      </c>
      <c r="EA61" s="90"/>
      <c r="EB61" s="90"/>
      <c r="EC61" s="90"/>
      <c r="ED61" s="116"/>
      <c r="EE61" s="16">
        <f t="shared" si="26"/>
        <v>0</v>
      </c>
      <c r="EF61" s="90"/>
      <c r="EG61" s="90"/>
      <c r="EH61" s="90"/>
      <c r="EI61" s="116"/>
      <c r="EJ61" s="16">
        <f t="shared" si="27"/>
        <v>0</v>
      </c>
      <c r="EK61" s="90"/>
      <c r="EL61" s="90"/>
      <c r="EM61" s="90"/>
      <c r="EN61" s="116"/>
      <c r="EO61" s="16">
        <f t="shared" si="28"/>
        <v>0</v>
      </c>
      <c r="EP61" s="90"/>
      <c r="EQ61" s="90"/>
      <c r="ER61" s="90"/>
      <c r="ES61" s="116"/>
      <c r="ET61" s="16">
        <f t="shared" si="29"/>
        <v>0</v>
      </c>
      <c r="EU61" s="90"/>
      <c r="EV61" s="90"/>
      <c r="EW61" s="90"/>
      <c r="EX61" s="116"/>
      <c r="EY61" s="16">
        <f t="shared" si="30"/>
        <v>0</v>
      </c>
      <c r="EZ61" s="90"/>
      <c r="FA61" s="90"/>
      <c r="FB61" s="90"/>
      <c r="FC61" s="116"/>
      <c r="FD61" s="16">
        <f t="shared" si="31"/>
        <v>0</v>
      </c>
      <c r="FE61" s="90"/>
      <c r="FF61" s="90"/>
      <c r="FG61" s="90"/>
      <c r="FH61" s="116"/>
      <c r="FI61" s="16">
        <f t="shared" si="50"/>
        <v>0</v>
      </c>
      <c r="FJ61" s="90"/>
      <c r="FK61" s="90"/>
      <c r="FL61" s="90"/>
      <c r="FM61" s="116"/>
      <c r="FN61" s="16">
        <f t="shared" si="32"/>
        <v>0</v>
      </c>
      <c r="FO61" s="90"/>
      <c r="FP61" s="90"/>
      <c r="FQ61" s="90"/>
      <c r="FR61" s="116"/>
      <c r="FS61" s="16">
        <f t="shared" si="33"/>
        <v>0</v>
      </c>
      <c r="FT61" s="90"/>
      <c r="FU61" s="90"/>
      <c r="FV61" s="90"/>
      <c r="FW61" s="116"/>
      <c r="FX61" s="16">
        <f t="shared" si="34"/>
        <v>0</v>
      </c>
      <c r="FY61" s="90"/>
      <c r="FZ61" s="90"/>
      <c r="GA61" s="90"/>
      <c r="GB61" s="116"/>
      <c r="GC61" s="16">
        <f t="shared" si="35"/>
        <v>0</v>
      </c>
      <c r="GD61" s="90"/>
      <c r="GE61" s="90"/>
      <c r="GF61" s="90"/>
      <c r="GG61" s="116"/>
      <c r="GH61" s="16">
        <f t="shared" si="36"/>
        <v>0</v>
      </c>
      <c r="GI61" s="90"/>
      <c r="GJ61" s="90"/>
      <c r="GK61" s="90"/>
      <c r="GL61" s="116"/>
      <c r="GM61" s="16">
        <f t="shared" si="37"/>
        <v>0</v>
      </c>
      <c r="GN61" s="90"/>
      <c r="GO61" s="90"/>
      <c r="GP61" s="90"/>
      <c r="GQ61" s="116"/>
      <c r="GR61" s="16">
        <f t="shared" si="38"/>
        <v>0</v>
      </c>
      <c r="GS61" s="90"/>
      <c r="GT61" s="90"/>
      <c r="GU61" s="90"/>
      <c r="GV61" s="116"/>
      <c r="GW61" s="16">
        <f t="shared" si="39"/>
        <v>0</v>
      </c>
      <c r="GX61" s="90"/>
      <c r="GY61" s="90"/>
      <c r="GZ61" s="90"/>
      <c r="HA61" s="116"/>
      <c r="HB61" s="16">
        <f t="shared" si="40"/>
        <v>0</v>
      </c>
      <c r="HC61" s="90"/>
      <c r="HD61" s="90"/>
      <c r="HE61" s="90"/>
      <c r="HF61" s="116"/>
      <c r="HG61" s="16">
        <f t="shared" si="41"/>
        <v>0</v>
      </c>
      <c r="HH61" s="90"/>
      <c r="HI61" s="90"/>
      <c r="HJ61" s="90"/>
      <c r="HK61" s="116"/>
      <c r="HL61" s="16">
        <f t="shared" si="42"/>
        <v>0</v>
      </c>
      <c r="HM61" s="90"/>
      <c r="HN61" s="90"/>
      <c r="HO61" s="90"/>
      <c r="HP61" s="116"/>
      <c r="HQ61" s="16">
        <f t="shared" si="43"/>
        <v>0</v>
      </c>
      <c r="HR61" s="90"/>
      <c r="HS61" s="90"/>
      <c r="HT61" s="90"/>
      <c r="HU61" s="116"/>
      <c r="HV61" s="16">
        <f t="shared" si="44"/>
        <v>0</v>
      </c>
      <c r="HW61" s="90"/>
      <c r="HX61" s="90"/>
      <c r="HY61" s="90"/>
      <c r="HZ61" s="116"/>
      <c r="IA61" s="16">
        <f t="shared" si="45"/>
        <v>0</v>
      </c>
      <c r="IB61" s="90"/>
      <c r="IC61" s="90"/>
      <c r="ID61" s="90"/>
      <c r="IE61" s="116"/>
      <c r="IF61" s="16">
        <f t="shared" si="46"/>
        <v>0</v>
      </c>
      <c r="IG61" s="90"/>
      <c r="IH61" s="90"/>
      <c r="II61" s="90"/>
      <c r="IJ61" s="116"/>
      <c r="IK61" s="16">
        <f t="shared" si="47"/>
        <v>0</v>
      </c>
      <c r="IL61" s="90"/>
      <c r="IM61" s="90"/>
      <c r="IN61" s="90"/>
      <c r="IO61" s="116"/>
      <c r="IP61" s="16">
        <f t="shared" si="48"/>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49"/>
        <v>0</v>
      </c>
      <c r="CC62" s="90"/>
      <c r="CD62" s="90"/>
      <c r="CE62" s="90"/>
      <c r="CF62" s="116"/>
      <c r="CG62" s="16">
        <f t="shared" si="16"/>
        <v>0</v>
      </c>
      <c r="CH62" s="90"/>
      <c r="CI62" s="90"/>
      <c r="CJ62" s="90"/>
      <c r="CK62" s="116"/>
      <c r="CL62" s="16">
        <f t="shared" si="17"/>
        <v>0</v>
      </c>
      <c r="CM62" s="90"/>
      <c r="CN62" s="90"/>
      <c r="CO62" s="90"/>
      <c r="CP62" s="116"/>
      <c r="CQ62" s="16">
        <f t="shared" si="18"/>
        <v>0</v>
      </c>
      <c r="CR62" s="90"/>
      <c r="CS62" s="90"/>
      <c r="CT62" s="90"/>
      <c r="CU62" s="116"/>
      <c r="CV62" s="16">
        <f t="shared" si="19"/>
        <v>0</v>
      </c>
      <c r="CW62" s="90"/>
      <c r="CX62" s="90"/>
      <c r="CY62" s="90"/>
      <c r="CZ62" s="116"/>
      <c r="DA62" s="16">
        <f t="shared" si="20"/>
        <v>0</v>
      </c>
      <c r="DB62" s="90"/>
      <c r="DC62" s="90"/>
      <c r="DD62" s="90"/>
      <c r="DE62" s="116"/>
      <c r="DF62" s="16">
        <f t="shared" si="21"/>
        <v>0</v>
      </c>
      <c r="DG62" s="90"/>
      <c r="DH62" s="90"/>
      <c r="DI62" s="90"/>
      <c r="DJ62" s="116"/>
      <c r="DK62" s="16">
        <f t="shared" si="22"/>
        <v>0</v>
      </c>
      <c r="DL62" s="90"/>
      <c r="DM62" s="90"/>
      <c r="DN62" s="90"/>
      <c r="DO62" s="116"/>
      <c r="DP62" s="16">
        <f t="shared" si="23"/>
        <v>0</v>
      </c>
      <c r="DQ62" s="90"/>
      <c r="DR62" s="90"/>
      <c r="DS62" s="90"/>
      <c r="DT62" s="116"/>
      <c r="DU62" s="16">
        <f t="shared" si="24"/>
        <v>0</v>
      </c>
      <c r="DV62" s="90"/>
      <c r="DW62" s="90"/>
      <c r="DX62" s="90"/>
      <c r="DY62" s="116"/>
      <c r="DZ62" s="16">
        <f t="shared" si="25"/>
        <v>0</v>
      </c>
      <c r="EA62" s="90"/>
      <c r="EB62" s="90"/>
      <c r="EC62" s="90"/>
      <c r="ED62" s="116"/>
      <c r="EE62" s="16">
        <f t="shared" si="26"/>
        <v>0</v>
      </c>
      <c r="EF62" s="90"/>
      <c r="EG62" s="90"/>
      <c r="EH62" s="90"/>
      <c r="EI62" s="116"/>
      <c r="EJ62" s="16">
        <f t="shared" si="27"/>
        <v>0</v>
      </c>
      <c r="EK62" s="90"/>
      <c r="EL62" s="90"/>
      <c r="EM62" s="90"/>
      <c r="EN62" s="116"/>
      <c r="EO62" s="16">
        <f t="shared" si="28"/>
        <v>0</v>
      </c>
      <c r="EP62" s="90"/>
      <c r="EQ62" s="90"/>
      <c r="ER62" s="90"/>
      <c r="ES62" s="116"/>
      <c r="ET62" s="16">
        <f t="shared" si="29"/>
        <v>0</v>
      </c>
      <c r="EU62" s="90"/>
      <c r="EV62" s="90"/>
      <c r="EW62" s="90"/>
      <c r="EX62" s="116"/>
      <c r="EY62" s="16">
        <f t="shared" si="30"/>
        <v>0</v>
      </c>
      <c r="EZ62" s="90"/>
      <c r="FA62" s="90"/>
      <c r="FB62" s="90"/>
      <c r="FC62" s="116"/>
      <c r="FD62" s="16">
        <f t="shared" si="31"/>
        <v>0</v>
      </c>
      <c r="FE62" s="90"/>
      <c r="FF62" s="90"/>
      <c r="FG62" s="90"/>
      <c r="FH62" s="116"/>
      <c r="FI62" s="16">
        <f t="shared" si="50"/>
        <v>0</v>
      </c>
      <c r="FJ62" s="90"/>
      <c r="FK62" s="90"/>
      <c r="FL62" s="90"/>
      <c r="FM62" s="116"/>
      <c r="FN62" s="16">
        <f t="shared" si="32"/>
        <v>0</v>
      </c>
      <c r="FO62" s="90"/>
      <c r="FP62" s="90"/>
      <c r="FQ62" s="90"/>
      <c r="FR62" s="116"/>
      <c r="FS62" s="16">
        <f t="shared" si="33"/>
        <v>0</v>
      </c>
      <c r="FT62" s="90"/>
      <c r="FU62" s="90"/>
      <c r="FV62" s="90"/>
      <c r="FW62" s="116"/>
      <c r="FX62" s="16">
        <f t="shared" si="34"/>
        <v>0</v>
      </c>
      <c r="FY62" s="90"/>
      <c r="FZ62" s="90"/>
      <c r="GA62" s="90"/>
      <c r="GB62" s="116"/>
      <c r="GC62" s="16">
        <f t="shared" si="35"/>
        <v>0</v>
      </c>
      <c r="GD62" s="90"/>
      <c r="GE62" s="90"/>
      <c r="GF62" s="90"/>
      <c r="GG62" s="116"/>
      <c r="GH62" s="16">
        <f t="shared" si="36"/>
        <v>0</v>
      </c>
      <c r="GI62" s="90"/>
      <c r="GJ62" s="90"/>
      <c r="GK62" s="90"/>
      <c r="GL62" s="116"/>
      <c r="GM62" s="16">
        <f t="shared" si="37"/>
        <v>0</v>
      </c>
      <c r="GN62" s="90"/>
      <c r="GO62" s="90"/>
      <c r="GP62" s="90"/>
      <c r="GQ62" s="116"/>
      <c r="GR62" s="16">
        <f t="shared" si="38"/>
        <v>0</v>
      </c>
      <c r="GS62" s="90"/>
      <c r="GT62" s="90"/>
      <c r="GU62" s="90"/>
      <c r="GV62" s="116"/>
      <c r="GW62" s="16">
        <f t="shared" si="39"/>
        <v>0</v>
      </c>
      <c r="GX62" s="90"/>
      <c r="GY62" s="90"/>
      <c r="GZ62" s="90"/>
      <c r="HA62" s="116"/>
      <c r="HB62" s="16">
        <f t="shared" si="40"/>
        <v>0</v>
      </c>
      <c r="HC62" s="90"/>
      <c r="HD62" s="90"/>
      <c r="HE62" s="90"/>
      <c r="HF62" s="116"/>
      <c r="HG62" s="16">
        <f t="shared" si="41"/>
        <v>0</v>
      </c>
      <c r="HH62" s="90"/>
      <c r="HI62" s="90"/>
      <c r="HJ62" s="90"/>
      <c r="HK62" s="116"/>
      <c r="HL62" s="16">
        <f t="shared" si="42"/>
        <v>0</v>
      </c>
      <c r="HM62" s="90"/>
      <c r="HN62" s="90"/>
      <c r="HO62" s="90"/>
      <c r="HP62" s="116"/>
      <c r="HQ62" s="16">
        <f t="shared" si="43"/>
        <v>0</v>
      </c>
      <c r="HR62" s="90"/>
      <c r="HS62" s="90"/>
      <c r="HT62" s="90"/>
      <c r="HU62" s="116"/>
      <c r="HV62" s="16">
        <f t="shared" si="44"/>
        <v>0</v>
      </c>
      <c r="HW62" s="90"/>
      <c r="HX62" s="90"/>
      <c r="HY62" s="90"/>
      <c r="HZ62" s="116"/>
      <c r="IA62" s="16">
        <f t="shared" si="45"/>
        <v>0</v>
      </c>
      <c r="IB62" s="90"/>
      <c r="IC62" s="90"/>
      <c r="ID62" s="90"/>
      <c r="IE62" s="116"/>
      <c r="IF62" s="16">
        <f t="shared" si="46"/>
        <v>0</v>
      </c>
      <c r="IG62" s="90"/>
      <c r="IH62" s="90"/>
      <c r="II62" s="90"/>
      <c r="IJ62" s="116"/>
      <c r="IK62" s="16">
        <f t="shared" si="47"/>
        <v>0</v>
      </c>
      <c r="IL62" s="90"/>
      <c r="IM62" s="90"/>
      <c r="IN62" s="90"/>
      <c r="IO62" s="116"/>
      <c r="IP62" s="16">
        <f t="shared" si="48"/>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49"/>
        <v>0</v>
      </c>
      <c r="CC63" s="90"/>
      <c r="CD63" s="90"/>
      <c r="CE63" s="90"/>
      <c r="CF63" s="116"/>
      <c r="CG63" s="16">
        <f t="shared" si="16"/>
        <v>0</v>
      </c>
      <c r="CH63" s="90"/>
      <c r="CI63" s="90"/>
      <c r="CJ63" s="90"/>
      <c r="CK63" s="116"/>
      <c r="CL63" s="16">
        <f t="shared" si="17"/>
        <v>0</v>
      </c>
      <c r="CM63" s="90"/>
      <c r="CN63" s="90"/>
      <c r="CO63" s="90"/>
      <c r="CP63" s="116"/>
      <c r="CQ63" s="16">
        <f t="shared" si="18"/>
        <v>0</v>
      </c>
      <c r="CR63" s="90"/>
      <c r="CS63" s="90"/>
      <c r="CT63" s="90"/>
      <c r="CU63" s="116"/>
      <c r="CV63" s="16">
        <f t="shared" si="19"/>
        <v>0</v>
      </c>
      <c r="CW63" s="90"/>
      <c r="CX63" s="90"/>
      <c r="CY63" s="90"/>
      <c r="CZ63" s="116"/>
      <c r="DA63" s="16">
        <f t="shared" si="20"/>
        <v>0</v>
      </c>
      <c r="DB63" s="90"/>
      <c r="DC63" s="90"/>
      <c r="DD63" s="90"/>
      <c r="DE63" s="116"/>
      <c r="DF63" s="16">
        <f t="shared" si="21"/>
        <v>0</v>
      </c>
      <c r="DG63" s="90"/>
      <c r="DH63" s="90"/>
      <c r="DI63" s="90"/>
      <c r="DJ63" s="116"/>
      <c r="DK63" s="16">
        <f t="shared" si="22"/>
        <v>0</v>
      </c>
      <c r="DL63" s="90"/>
      <c r="DM63" s="90"/>
      <c r="DN63" s="90"/>
      <c r="DO63" s="116"/>
      <c r="DP63" s="16">
        <f t="shared" si="23"/>
        <v>0</v>
      </c>
      <c r="DQ63" s="90"/>
      <c r="DR63" s="90"/>
      <c r="DS63" s="90"/>
      <c r="DT63" s="116"/>
      <c r="DU63" s="16">
        <f t="shared" si="24"/>
        <v>0</v>
      </c>
      <c r="DV63" s="90"/>
      <c r="DW63" s="90"/>
      <c r="DX63" s="90"/>
      <c r="DY63" s="116"/>
      <c r="DZ63" s="16">
        <f t="shared" si="25"/>
        <v>0</v>
      </c>
      <c r="EA63" s="90"/>
      <c r="EB63" s="90"/>
      <c r="EC63" s="90"/>
      <c r="ED63" s="116"/>
      <c r="EE63" s="16">
        <f t="shared" si="26"/>
        <v>0</v>
      </c>
      <c r="EF63" s="90"/>
      <c r="EG63" s="90"/>
      <c r="EH63" s="90"/>
      <c r="EI63" s="116"/>
      <c r="EJ63" s="16">
        <f t="shared" si="27"/>
        <v>0</v>
      </c>
      <c r="EK63" s="90"/>
      <c r="EL63" s="90"/>
      <c r="EM63" s="90"/>
      <c r="EN63" s="116"/>
      <c r="EO63" s="16">
        <f t="shared" si="28"/>
        <v>0</v>
      </c>
      <c r="EP63" s="90"/>
      <c r="EQ63" s="90"/>
      <c r="ER63" s="90"/>
      <c r="ES63" s="116"/>
      <c r="ET63" s="16">
        <f t="shared" si="29"/>
        <v>0</v>
      </c>
      <c r="EU63" s="90"/>
      <c r="EV63" s="90"/>
      <c r="EW63" s="90"/>
      <c r="EX63" s="116"/>
      <c r="EY63" s="16">
        <f t="shared" si="30"/>
        <v>0</v>
      </c>
      <c r="EZ63" s="90"/>
      <c r="FA63" s="90"/>
      <c r="FB63" s="90"/>
      <c r="FC63" s="116"/>
      <c r="FD63" s="16">
        <f t="shared" si="31"/>
        <v>0</v>
      </c>
      <c r="FE63" s="90"/>
      <c r="FF63" s="90"/>
      <c r="FG63" s="90"/>
      <c r="FH63" s="116"/>
      <c r="FI63" s="16">
        <f t="shared" si="50"/>
        <v>0</v>
      </c>
      <c r="FJ63" s="90"/>
      <c r="FK63" s="90"/>
      <c r="FL63" s="90"/>
      <c r="FM63" s="116"/>
      <c r="FN63" s="16">
        <f t="shared" si="32"/>
        <v>0</v>
      </c>
      <c r="FO63" s="90"/>
      <c r="FP63" s="90"/>
      <c r="FQ63" s="90"/>
      <c r="FR63" s="116"/>
      <c r="FS63" s="16">
        <f t="shared" si="33"/>
        <v>0</v>
      </c>
      <c r="FT63" s="90"/>
      <c r="FU63" s="90"/>
      <c r="FV63" s="90"/>
      <c r="FW63" s="116"/>
      <c r="FX63" s="16">
        <f t="shared" si="34"/>
        <v>0</v>
      </c>
      <c r="FY63" s="90"/>
      <c r="FZ63" s="90"/>
      <c r="GA63" s="90"/>
      <c r="GB63" s="116"/>
      <c r="GC63" s="16">
        <f t="shared" si="35"/>
        <v>0</v>
      </c>
      <c r="GD63" s="90"/>
      <c r="GE63" s="90"/>
      <c r="GF63" s="90"/>
      <c r="GG63" s="116"/>
      <c r="GH63" s="16">
        <f t="shared" si="36"/>
        <v>0</v>
      </c>
      <c r="GI63" s="90"/>
      <c r="GJ63" s="90"/>
      <c r="GK63" s="90"/>
      <c r="GL63" s="116"/>
      <c r="GM63" s="16">
        <f t="shared" si="37"/>
        <v>0</v>
      </c>
      <c r="GN63" s="90"/>
      <c r="GO63" s="90"/>
      <c r="GP63" s="90"/>
      <c r="GQ63" s="116"/>
      <c r="GR63" s="16">
        <f t="shared" si="38"/>
        <v>0</v>
      </c>
      <c r="GS63" s="90"/>
      <c r="GT63" s="90"/>
      <c r="GU63" s="90"/>
      <c r="GV63" s="116"/>
      <c r="GW63" s="16">
        <f t="shared" si="39"/>
        <v>0</v>
      </c>
      <c r="GX63" s="90"/>
      <c r="GY63" s="90"/>
      <c r="GZ63" s="90"/>
      <c r="HA63" s="116"/>
      <c r="HB63" s="16">
        <f t="shared" si="40"/>
        <v>0</v>
      </c>
      <c r="HC63" s="90"/>
      <c r="HD63" s="90"/>
      <c r="HE63" s="90"/>
      <c r="HF63" s="116"/>
      <c r="HG63" s="16">
        <f t="shared" si="41"/>
        <v>0</v>
      </c>
      <c r="HH63" s="90"/>
      <c r="HI63" s="90"/>
      <c r="HJ63" s="90"/>
      <c r="HK63" s="116"/>
      <c r="HL63" s="16">
        <f t="shared" si="42"/>
        <v>0</v>
      </c>
      <c r="HM63" s="90"/>
      <c r="HN63" s="90"/>
      <c r="HO63" s="90"/>
      <c r="HP63" s="116"/>
      <c r="HQ63" s="16">
        <f t="shared" si="43"/>
        <v>0</v>
      </c>
      <c r="HR63" s="90"/>
      <c r="HS63" s="90"/>
      <c r="HT63" s="90"/>
      <c r="HU63" s="116"/>
      <c r="HV63" s="16">
        <f t="shared" si="44"/>
        <v>0</v>
      </c>
      <c r="HW63" s="90"/>
      <c r="HX63" s="90"/>
      <c r="HY63" s="90"/>
      <c r="HZ63" s="116"/>
      <c r="IA63" s="16">
        <f t="shared" si="45"/>
        <v>0</v>
      </c>
      <c r="IB63" s="90"/>
      <c r="IC63" s="90"/>
      <c r="ID63" s="90"/>
      <c r="IE63" s="116"/>
      <c r="IF63" s="16">
        <f t="shared" si="46"/>
        <v>0</v>
      </c>
      <c r="IG63" s="90"/>
      <c r="IH63" s="90"/>
      <c r="II63" s="90"/>
      <c r="IJ63" s="116"/>
      <c r="IK63" s="16">
        <f t="shared" si="47"/>
        <v>0</v>
      </c>
      <c r="IL63" s="90"/>
      <c r="IM63" s="90"/>
      <c r="IN63" s="90"/>
      <c r="IO63" s="116"/>
      <c r="IP63" s="16">
        <f t="shared" si="48"/>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49"/>
        <v>0</v>
      </c>
      <c r="CC64" s="90"/>
      <c r="CD64" s="90"/>
      <c r="CE64" s="90"/>
      <c r="CF64" s="116"/>
      <c r="CG64" s="16">
        <f t="shared" si="16"/>
        <v>0</v>
      </c>
      <c r="CH64" s="90"/>
      <c r="CI64" s="90"/>
      <c r="CJ64" s="90"/>
      <c r="CK64" s="116"/>
      <c r="CL64" s="16">
        <f t="shared" si="17"/>
        <v>0</v>
      </c>
      <c r="CM64" s="90"/>
      <c r="CN64" s="90"/>
      <c r="CO64" s="90"/>
      <c r="CP64" s="116"/>
      <c r="CQ64" s="16">
        <f t="shared" si="18"/>
        <v>0</v>
      </c>
      <c r="CR64" s="90"/>
      <c r="CS64" s="90"/>
      <c r="CT64" s="90"/>
      <c r="CU64" s="116"/>
      <c r="CV64" s="16">
        <f t="shared" si="19"/>
        <v>0</v>
      </c>
      <c r="CW64" s="90"/>
      <c r="CX64" s="90"/>
      <c r="CY64" s="90"/>
      <c r="CZ64" s="116"/>
      <c r="DA64" s="16">
        <f t="shared" si="20"/>
        <v>0</v>
      </c>
      <c r="DB64" s="90"/>
      <c r="DC64" s="90"/>
      <c r="DD64" s="90"/>
      <c r="DE64" s="116"/>
      <c r="DF64" s="16">
        <f t="shared" si="21"/>
        <v>0</v>
      </c>
      <c r="DG64" s="90"/>
      <c r="DH64" s="90"/>
      <c r="DI64" s="90"/>
      <c r="DJ64" s="116"/>
      <c r="DK64" s="16">
        <f t="shared" si="22"/>
        <v>0</v>
      </c>
      <c r="DL64" s="90"/>
      <c r="DM64" s="90"/>
      <c r="DN64" s="90"/>
      <c r="DO64" s="116"/>
      <c r="DP64" s="16">
        <f t="shared" si="23"/>
        <v>0</v>
      </c>
      <c r="DQ64" s="90"/>
      <c r="DR64" s="90"/>
      <c r="DS64" s="90"/>
      <c r="DT64" s="116"/>
      <c r="DU64" s="16">
        <f t="shared" si="24"/>
        <v>0</v>
      </c>
      <c r="DV64" s="90"/>
      <c r="DW64" s="90"/>
      <c r="DX64" s="90"/>
      <c r="DY64" s="116"/>
      <c r="DZ64" s="16">
        <f t="shared" si="25"/>
        <v>0</v>
      </c>
      <c r="EA64" s="90"/>
      <c r="EB64" s="90"/>
      <c r="EC64" s="90"/>
      <c r="ED64" s="116"/>
      <c r="EE64" s="16">
        <f t="shared" si="26"/>
        <v>0</v>
      </c>
      <c r="EF64" s="90"/>
      <c r="EG64" s="90"/>
      <c r="EH64" s="90"/>
      <c r="EI64" s="116"/>
      <c r="EJ64" s="16">
        <f t="shared" si="27"/>
        <v>0</v>
      </c>
      <c r="EK64" s="90"/>
      <c r="EL64" s="90"/>
      <c r="EM64" s="90"/>
      <c r="EN64" s="116"/>
      <c r="EO64" s="16">
        <f t="shared" si="28"/>
        <v>0</v>
      </c>
      <c r="EP64" s="90"/>
      <c r="EQ64" s="90"/>
      <c r="ER64" s="90"/>
      <c r="ES64" s="116"/>
      <c r="ET64" s="16">
        <f t="shared" si="29"/>
        <v>0</v>
      </c>
      <c r="EU64" s="90"/>
      <c r="EV64" s="90"/>
      <c r="EW64" s="90"/>
      <c r="EX64" s="116"/>
      <c r="EY64" s="16">
        <f t="shared" si="30"/>
        <v>0</v>
      </c>
      <c r="EZ64" s="90"/>
      <c r="FA64" s="90"/>
      <c r="FB64" s="90"/>
      <c r="FC64" s="116"/>
      <c r="FD64" s="16">
        <f t="shared" si="31"/>
        <v>0</v>
      </c>
      <c r="FE64" s="90"/>
      <c r="FF64" s="90"/>
      <c r="FG64" s="90"/>
      <c r="FH64" s="116"/>
      <c r="FI64" s="16">
        <f t="shared" si="50"/>
        <v>0</v>
      </c>
      <c r="FJ64" s="90"/>
      <c r="FK64" s="90"/>
      <c r="FL64" s="90"/>
      <c r="FM64" s="116"/>
      <c r="FN64" s="16">
        <f t="shared" si="32"/>
        <v>0</v>
      </c>
      <c r="FO64" s="90"/>
      <c r="FP64" s="90"/>
      <c r="FQ64" s="90"/>
      <c r="FR64" s="116"/>
      <c r="FS64" s="16">
        <f t="shared" si="33"/>
        <v>0</v>
      </c>
      <c r="FT64" s="90"/>
      <c r="FU64" s="90"/>
      <c r="FV64" s="90"/>
      <c r="FW64" s="116"/>
      <c r="FX64" s="16">
        <f t="shared" si="34"/>
        <v>0</v>
      </c>
      <c r="FY64" s="90"/>
      <c r="FZ64" s="90"/>
      <c r="GA64" s="90"/>
      <c r="GB64" s="116"/>
      <c r="GC64" s="16">
        <f t="shared" si="35"/>
        <v>0</v>
      </c>
      <c r="GD64" s="90"/>
      <c r="GE64" s="90"/>
      <c r="GF64" s="90"/>
      <c r="GG64" s="116"/>
      <c r="GH64" s="16">
        <f t="shared" si="36"/>
        <v>0</v>
      </c>
      <c r="GI64" s="90"/>
      <c r="GJ64" s="90"/>
      <c r="GK64" s="90"/>
      <c r="GL64" s="116"/>
      <c r="GM64" s="16">
        <f t="shared" si="37"/>
        <v>0</v>
      </c>
      <c r="GN64" s="90"/>
      <c r="GO64" s="90"/>
      <c r="GP64" s="90"/>
      <c r="GQ64" s="116"/>
      <c r="GR64" s="16">
        <f t="shared" si="38"/>
        <v>0</v>
      </c>
      <c r="GS64" s="90"/>
      <c r="GT64" s="90"/>
      <c r="GU64" s="90"/>
      <c r="GV64" s="116"/>
      <c r="GW64" s="16">
        <f t="shared" si="39"/>
        <v>0</v>
      </c>
      <c r="GX64" s="90"/>
      <c r="GY64" s="90"/>
      <c r="GZ64" s="90"/>
      <c r="HA64" s="116"/>
      <c r="HB64" s="16">
        <f t="shared" si="40"/>
        <v>0</v>
      </c>
      <c r="HC64" s="90"/>
      <c r="HD64" s="90"/>
      <c r="HE64" s="90"/>
      <c r="HF64" s="116"/>
      <c r="HG64" s="16">
        <f t="shared" si="41"/>
        <v>0</v>
      </c>
      <c r="HH64" s="90"/>
      <c r="HI64" s="90"/>
      <c r="HJ64" s="90"/>
      <c r="HK64" s="116"/>
      <c r="HL64" s="16">
        <f t="shared" si="42"/>
        <v>0</v>
      </c>
      <c r="HM64" s="90"/>
      <c r="HN64" s="90"/>
      <c r="HO64" s="90"/>
      <c r="HP64" s="116"/>
      <c r="HQ64" s="16">
        <f t="shared" si="43"/>
        <v>0</v>
      </c>
      <c r="HR64" s="90"/>
      <c r="HS64" s="90"/>
      <c r="HT64" s="90"/>
      <c r="HU64" s="116"/>
      <c r="HV64" s="16">
        <f t="shared" si="44"/>
        <v>0</v>
      </c>
      <c r="HW64" s="90"/>
      <c r="HX64" s="90"/>
      <c r="HY64" s="90"/>
      <c r="HZ64" s="116"/>
      <c r="IA64" s="16">
        <f t="shared" si="45"/>
        <v>0</v>
      </c>
      <c r="IB64" s="90"/>
      <c r="IC64" s="90"/>
      <c r="ID64" s="90"/>
      <c r="IE64" s="116"/>
      <c r="IF64" s="16">
        <f t="shared" si="46"/>
        <v>0</v>
      </c>
      <c r="IG64" s="90"/>
      <c r="IH64" s="90"/>
      <c r="II64" s="90"/>
      <c r="IJ64" s="116"/>
      <c r="IK64" s="16">
        <f t="shared" si="47"/>
        <v>0</v>
      </c>
      <c r="IL64" s="90"/>
      <c r="IM64" s="90"/>
      <c r="IN64" s="90"/>
      <c r="IO64" s="116"/>
      <c r="IP64" s="16">
        <f t="shared" si="48"/>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49"/>
        <v>0</v>
      </c>
      <c r="CC65" s="90"/>
      <c r="CD65" s="90"/>
      <c r="CE65" s="90"/>
      <c r="CF65" s="116"/>
      <c r="CG65" s="16">
        <f t="shared" si="16"/>
        <v>0</v>
      </c>
      <c r="CH65" s="90"/>
      <c r="CI65" s="90"/>
      <c r="CJ65" s="90"/>
      <c r="CK65" s="116"/>
      <c r="CL65" s="16">
        <f t="shared" si="17"/>
        <v>0</v>
      </c>
      <c r="CM65" s="90"/>
      <c r="CN65" s="90"/>
      <c r="CO65" s="90"/>
      <c r="CP65" s="116"/>
      <c r="CQ65" s="16">
        <f t="shared" si="18"/>
        <v>0</v>
      </c>
      <c r="CR65" s="90"/>
      <c r="CS65" s="90"/>
      <c r="CT65" s="90"/>
      <c r="CU65" s="116"/>
      <c r="CV65" s="16">
        <f t="shared" si="19"/>
        <v>0</v>
      </c>
      <c r="CW65" s="90"/>
      <c r="CX65" s="90"/>
      <c r="CY65" s="90"/>
      <c r="CZ65" s="116"/>
      <c r="DA65" s="16">
        <f t="shared" si="20"/>
        <v>0</v>
      </c>
      <c r="DB65" s="90"/>
      <c r="DC65" s="90"/>
      <c r="DD65" s="90"/>
      <c r="DE65" s="116"/>
      <c r="DF65" s="16">
        <f t="shared" si="21"/>
        <v>0</v>
      </c>
      <c r="DG65" s="90"/>
      <c r="DH65" s="90"/>
      <c r="DI65" s="90"/>
      <c r="DJ65" s="116"/>
      <c r="DK65" s="16">
        <f t="shared" si="22"/>
        <v>0</v>
      </c>
      <c r="DL65" s="90"/>
      <c r="DM65" s="90"/>
      <c r="DN65" s="90"/>
      <c r="DO65" s="116"/>
      <c r="DP65" s="16">
        <f t="shared" si="23"/>
        <v>0</v>
      </c>
      <c r="DQ65" s="90"/>
      <c r="DR65" s="90"/>
      <c r="DS65" s="90"/>
      <c r="DT65" s="116"/>
      <c r="DU65" s="16">
        <f t="shared" si="24"/>
        <v>0</v>
      </c>
      <c r="DV65" s="90"/>
      <c r="DW65" s="90"/>
      <c r="DX65" s="90"/>
      <c r="DY65" s="116"/>
      <c r="DZ65" s="16">
        <f t="shared" si="25"/>
        <v>0</v>
      </c>
      <c r="EA65" s="90"/>
      <c r="EB65" s="90"/>
      <c r="EC65" s="90"/>
      <c r="ED65" s="116"/>
      <c r="EE65" s="16">
        <f t="shared" si="26"/>
        <v>0</v>
      </c>
      <c r="EF65" s="90"/>
      <c r="EG65" s="90"/>
      <c r="EH65" s="90"/>
      <c r="EI65" s="116"/>
      <c r="EJ65" s="16">
        <f t="shared" si="27"/>
        <v>0</v>
      </c>
      <c r="EK65" s="90"/>
      <c r="EL65" s="90"/>
      <c r="EM65" s="90"/>
      <c r="EN65" s="116"/>
      <c r="EO65" s="16">
        <f t="shared" si="28"/>
        <v>0</v>
      </c>
      <c r="EP65" s="90"/>
      <c r="EQ65" s="90"/>
      <c r="ER65" s="90"/>
      <c r="ES65" s="116"/>
      <c r="ET65" s="16">
        <f t="shared" si="29"/>
        <v>0</v>
      </c>
      <c r="EU65" s="90"/>
      <c r="EV65" s="90"/>
      <c r="EW65" s="90"/>
      <c r="EX65" s="116"/>
      <c r="EY65" s="16">
        <f t="shared" si="30"/>
        <v>0</v>
      </c>
      <c r="EZ65" s="90"/>
      <c r="FA65" s="90"/>
      <c r="FB65" s="90"/>
      <c r="FC65" s="116"/>
      <c r="FD65" s="16">
        <f t="shared" si="31"/>
        <v>0</v>
      </c>
      <c r="FE65" s="90"/>
      <c r="FF65" s="90"/>
      <c r="FG65" s="90"/>
      <c r="FH65" s="116"/>
      <c r="FI65" s="16">
        <f t="shared" si="50"/>
        <v>0</v>
      </c>
      <c r="FJ65" s="90"/>
      <c r="FK65" s="90"/>
      <c r="FL65" s="90"/>
      <c r="FM65" s="116"/>
      <c r="FN65" s="16">
        <f t="shared" si="32"/>
        <v>0</v>
      </c>
      <c r="FO65" s="90"/>
      <c r="FP65" s="90"/>
      <c r="FQ65" s="90"/>
      <c r="FR65" s="116"/>
      <c r="FS65" s="16">
        <f t="shared" si="33"/>
        <v>0</v>
      </c>
      <c r="FT65" s="90"/>
      <c r="FU65" s="90"/>
      <c r="FV65" s="90"/>
      <c r="FW65" s="116"/>
      <c r="FX65" s="16">
        <f t="shared" si="34"/>
        <v>0</v>
      </c>
      <c r="FY65" s="90"/>
      <c r="FZ65" s="90"/>
      <c r="GA65" s="90"/>
      <c r="GB65" s="116"/>
      <c r="GC65" s="16">
        <f t="shared" si="35"/>
        <v>0</v>
      </c>
      <c r="GD65" s="90"/>
      <c r="GE65" s="90"/>
      <c r="GF65" s="90"/>
      <c r="GG65" s="116"/>
      <c r="GH65" s="16">
        <f t="shared" si="36"/>
        <v>0</v>
      </c>
      <c r="GI65" s="90"/>
      <c r="GJ65" s="90"/>
      <c r="GK65" s="90"/>
      <c r="GL65" s="116"/>
      <c r="GM65" s="16">
        <f t="shared" si="37"/>
        <v>0</v>
      </c>
      <c r="GN65" s="90"/>
      <c r="GO65" s="90"/>
      <c r="GP65" s="90"/>
      <c r="GQ65" s="116"/>
      <c r="GR65" s="16">
        <f t="shared" si="38"/>
        <v>0</v>
      </c>
      <c r="GS65" s="90"/>
      <c r="GT65" s="90"/>
      <c r="GU65" s="90"/>
      <c r="GV65" s="116"/>
      <c r="GW65" s="16">
        <f t="shared" si="39"/>
        <v>0</v>
      </c>
      <c r="GX65" s="90"/>
      <c r="GY65" s="90"/>
      <c r="GZ65" s="90"/>
      <c r="HA65" s="116"/>
      <c r="HB65" s="16">
        <f t="shared" si="40"/>
        <v>0</v>
      </c>
      <c r="HC65" s="90"/>
      <c r="HD65" s="90"/>
      <c r="HE65" s="90"/>
      <c r="HF65" s="116"/>
      <c r="HG65" s="16">
        <f t="shared" si="41"/>
        <v>0</v>
      </c>
      <c r="HH65" s="90"/>
      <c r="HI65" s="90"/>
      <c r="HJ65" s="90"/>
      <c r="HK65" s="116"/>
      <c r="HL65" s="16">
        <f t="shared" si="42"/>
        <v>0</v>
      </c>
      <c r="HM65" s="90"/>
      <c r="HN65" s="90"/>
      <c r="HO65" s="90"/>
      <c r="HP65" s="116"/>
      <c r="HQ65" s="16">
        <f t="shared" si="43"/>
        <v>0</v>
      </c>
      <c r="HR65" s="90"/>
      <c r="HS65" s="90"/>
      <c r="HT65" s="90"/>
      <c r="HU65" s="116"/>
      <c r="HV65" s="16">
        <f t="shared" si="44"/>
        <v>0</v>
      </c>
      <c r="HW65" s="90"/>
      <c r="HX65" s="90"/>
      <c r="HY65" s="90"/>
      <c r="HZ65" s="116"/>
      <c r="IA65" s="16">
        <f t="shared" si="45"/>
        <v>0</v>
      </c>
      <c r="IB65" s="90"/>
      <c r="IC65" s="90"/>
      <c r="ID65" s="90"/>
      <c r="IE65" s="116"/>
      <c r="IF65" s="16">
        <f t="shared" si="46"/>
        <v>0</v>
      </c>
      <c r="IG65" s="90"/>
      <c r="IH65" s="90"/>
      <c r="II65" s="90"/>
      <c r="IJ65" s="116"/>
      <c r="IK65" s="16">
        <f t="shared" si="47"/>
        <v>0</v>
      </c>
      <c r="IL65" s="90"/>
      <c r="IM65" s="90"/>
      <c r="IN65" s="90"/>
      <c r="IO65" s="116"/>
      <c r="IP65" s="16">
        <f t="shared" si="48"/>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49"/>
        <v>0</v>
      </c>
      <c r="CC66" s="90"/>
      <c r="CD66" s="90"/>
      <c r="CE66" s="90"/>
      <c r="CF66" s="116"/>
      <c r="CG66" s="16">
        <f t="shared" si="16"/>
        <v>0</v>
      </c>
      <c r="CH66" s="90"/>
      <c r="CI66" s="90"/>
      <c r="CJ66" s="90"/>
      <c r="CK66" s="116"/>
      <c r="CL66" s="16">
        <f t="shared" si="17"/>
        <v>0</v>
      </c>
      <c r="CM66" s="90"/>
      <c r="CN66" s="90"/>
      <c r="CO66" s="90"/>
      <c r="CP66" s="116"/>
      <c r="CQ66" s="16">
        <f t="shared" si="18"/>
        <v>0</v>
      </c>
      <c r="CR66" s="90"/>
      <c r="CS66" s="90"/>
      <c r="CT66" s="90"/>
      <c r="CU66" s="116"/>
      <c r="CV66" s="16">
        <f t="shared" si="19"/>
        <v>0</v>
      </c>
      <c r="CW66" s="90"/>
      <c r="CX66" s="90"/>
      <c r="CY66" s="90"/>
      <c r="CZ66" s="116"/>
      <c r="DA66" s="16">
        <f t="shared" si="20"/>
        <v>0</v>
      </c>
      <c r="DB66" s="90"/>
      <c r="DC66" s="90"/>
      <c r="DD66" s="90"/>
      <c r="DE66" s="116"/>
      <c r="DF66" s="16">
        <f t="shared" si="21"/>
        <v>0</v>
      </c>
      <c r="DG66" s="90"/>
      <c r="DH66" s="90"/>
      <c r="DI66" s="90"/>
      <c r="DJ66" s="116"/>
      <c r="DK66" s="16">
        <f t="shared" si="22"/>
        <v>0</v>
      </c>
      <c r="DL66" s="90"/>
      <c r="DM66" s="90"/>
      <c r="DN66" s="90"/>
      <c r="DO66" s="116"/>
      <c r="DP66" s="16">
        <f t="shared" si="23"/>
        <v>0</v>
      </c>
      <c r="DQ66" s="90"/>
      <c r="DR66" s="90"/>
      <c r="DS66" s="90"/>
      <c r="DT66" s="116"/>
      <c r="DU66" s="16">
        <f t="shared" si="24"/>
        <v>0</v>
      </c>
      <c r="DV66" s="90"/>
      <c r="DW66" s="90"/>
      <c r="DX66" s="90"/>
      <c r="DY66" s="116"/>
      <c r="DZ66" s="16">
        <f t="shared" si="25"/>
        <v>0</v>
      </c>
      <c r="EA66" s="90"/>
      <c r="EB66" s="90"/>
      <c r="EC66" s="90"/>
      <c r="ED66" s="116"/>
      <c r="EE66" s="16">
        <f t="shared" si="26"/>
        <v>0</v>
      </c>
      <c r="EF66" s="90"/>
      <c r="EG66" s="90"/>
      <c r="EH66" s="90"/>
      <c r="EI66" s="116"/>
      <c r="EJ66" s="16">
        <f t="shared" si="27"/>
        <v>0</v>
      </c>
      <c r="EK66" s="90"/>
      <c r="EL66" s="90"/>
      <c r="EM66" s="90"/>
      <c r="EN66" s="116"/>
      <c r="EO66" s="16">
        <f t="shared" si="28"/>
        <v>0</v>
      </c>
      <c r="EP66" s="90"/>
      <c r="EQ66" s="90"/>
      <c r="ER66" s="90"/>
      <c r="ES66" s="116"/>
      <c r="ET66" s="16">
        <f t="shared" si="29"/>
        <v>0</v>
      </c>
      <c r="EU66" s="90"/>
      <c r="EV66" s="90"/>
      <c r="EW66" s="90"/>
      <c r="EX66" s="116"/>
      <c r="EY66" s="16">
        <f t="shared" si="30"/>
        <v>0</v>
      </c>
      <c r="EZ66" s="90"/>
      <c r="FA66" s="90"/>
      <c r="FB66" s="90"/>
      <c r="FC66" s="116"/>
      <c r="FD66" s="16">
        <f t="shared" si="31"/>
        <v>0</v>
      </c>
      <c r="FE66" s="90"/>
      <c r="FF66" s="90"/>
      <c r="FG66" s="90"/>
      <c r="FH66" s="116"/>
      <c r="FI66" s="16">
        <f t="shared" si="50"/>
        <v>0</v>
      </c>
      <c r="FJ66" s="90"/>
      <c r="FK66" s="90"/>
      <c r="FL66" s="90"/>
      <c r="FM66" s="116"/>
      <c r="FN66" s="16">
        <f t="shared" si="32"/>
        <v>0</v>
      </c>
      <c r="FO66" s="90"/>
      <c r="FP66" s="90"/>
      <c r="FQ66" s="90"/>
      <c r="FR66" s="116"/>
      <c r="FS66" s="16">
        <f t="shared" si="33"/>
        <v>0</v>
      </c>
      <c r="FT66" s="90"/>
      <c r="FU66" s="90"/>
      <c r="FV66" s="90"/>
      <c r="FW66" s="116"/>
      <c r="FX66" s="16">
        <f t="shared" si="34"/>
        <v>0</v>
      </c>
      <c r="FY66" s="90"/>
      <c r="FZ66" s="90"/>
      <c r="GA66" s="90"/>
      <c r="GB66" s="116"/>
      <c r="GC66" s="16">
        <f t="shared" si="35"/>
        <v>0</v>
      </c>
      <c r="GD66" s="90"/>
      <c r="GE66" s="90"/>
      <c r="GF66" s="90"/>
      <c r="GG66" s="116"/>
      <c r="GH66" s="16">
        <f t="shared" si="36"/>
        <v>0</v>
      </c>
      <c r="GI66" s="90"/>
      <c r="GJ66" s="90"/>
      <c r="GK66" s="90"/>
      <c r="GL66" s="116"/>
      <c r="GM66" s="16">
        <f t="shared" si="37"/>
        <v>0</v>
      </c>
      <c r="GN66" s="90"/>
      <c r="GO66" s="90"/>
      <c r="GP66" s="90"/>
      <c r="GQ66" s="116"/>
      <c r="GR66" s="16">
        <f t="shared" si="38"/>
        <v>0</v>
      </c>
      <c r="GS66" s="90"/>
      <c r="GT66" s="90"/>
      <c r="GU66" s="90"/>
      <c r="GV66" s="116"/>
      <c r="GW66" s="16">
        <f t="shared" si="39"/>
        <v>0</v>
      </c>
      <c r="GX66" s="90"/>
      <c r="GY66" s="90"/>
      <c r="GZ66" s="90"/>
      <c r="HA66" s="116"/>
      <c r="HB66" s="16">
        <f t="shared" si="40"/>
        <v>0</v>
      </c>
      <c r="HC66" s="90"/>
      <c r="HD66" s="90"/>
      <c r="HE66" s="90"/>
      <c r="HF66" s="116"/>
      <c r="HG66" s="16">
        <f t="shared" si="41"/>
        <v>0</v>
      </c>
      <c r="HH66" s="90"/>
      <c r="HI66" s="90"/>
      <c r="HJ66" s="90"/>
      <c r="HK66" s="116"/>
      <c r="HL66" s="16">
        <f t="shared" si="42"/>
        <v>0</v>
      </c>
      <c r="HM66" s="90"/>
      <c r="HN66" s="90"/>
      <c r="HO66" s="90"/>
      <c r="HP66" s="116"/>
      <c r="HQ66" s="16">
        <f t="shared" si="43"/>
        <v>0</v>
      </c>
      <c r="HR66" s="90"/>
      <c r="HS66" s="90"/>
      <c r="HT66" s="90"/>
      <c r="HU66" s="116"/>
      <c r="HV66" s="16">
        <f t="shared" si="44"/>
        <v>0</v>
      </c>
      <c r="HW66" s="90"/>
      <c r="HX66" s="90"/>
      <c r="HY66" s="90"/>
      <c r="HZ66" s="116"/>
      <c r="IA66" s="16">
        <f t="shared" si="45"/>
        <v>0</v>
      </c>
      <c r="IB66" s="90"/>
      <c r="IC66" s="90"/>
      <c r="ID66" s="90"/>
      <c r="IE66" s="116"/>
      <c r="IF66" s="16">
        <f t="shared" si="46"/>
        <v>0</v>
      </c>
      <c r="IG66" s="90"/>
      <c r="IH66" s="90"/>
      <c r="II66" s="90"/>
      <c r="IJ66" s="116"/>
      <c r="IK66" s="16">
        <f t="shared" si="47"/>
        <v>0</v>
      </c>
      <c r="IL66" s="90"/>
      <c r="IM66" s="90"/>
      <c r="IN66" s="90"/>
      <c r="IO66" s="116"/>
      <c r="IP66" s="16">
        <f t="shared" si="48"/>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49"/>
        <v>0</v>
      </c>
      <c r="CC67" s="90"/>
      <c r="CD67" s="90"/>
      <c r="CE67" s="90"/>
      <c r="CF67" s="116"/>
      <c r="CG67" s="16">
        <f t="shared" si="16"/>
        <v>0</v>
      </c>
      <c r="CH67" s="90"/>
      <c r="CI67" s="90"/>
      <c r="CJ67" s="90"/>
      <c r="CK67" s="116"/>
      <c r="CL67" s="16">
        <f t="shared" si="17"/>
        <v>0</v>
      </c>
      <c r="CM67" s="90"/>
      <c r="CN67" s="90"/>
      <c r="CO67" s="90"/>
      <c r="CP67" s="116"/>
      <c r="CQ67" s="16">
        <f t="shared" si="18"/>
        <v>0</v>
      </c>
      <c r="CR67" s="90"/>
      <c r="CS67" s="90"/>
      <c r="CT67" s="90"/>
      <c r="CU67" s="116"/>
      <c r="CV67" s="16">
        <f t="shared" si="19"/>
        <v>0</v>
      </c>
      <c r="CW67" s="90"/>
      <c r="CX67" s="90"/>
      <c r="CY67" s="90"/>
      <c r="CZ67" s="116"/>
      <c r="DA67" s="16">
        <f t="shared" si="20"/>
        <v>0</v>
      </c>
      <c r="DB67" s="90"/>
      <c r="DC67" s="90"/>
      <c r="DD67" s="90"/>
      <c r="DE67" s="116"/>
      <c r="DF67" s="16">
        <f t="shared" si="21"/>
        <v>0</v>
      </c>
      <c r="DG67" s="90"/>
      <c r="DH67" s="90"/>
      <c r="DI67" s="90"/>
      <c r="DJ67" s="116"/>
      <c r="DK67" s="16">
        <f t="shared" si="22"/>
        <v>0</v>
      </c>
      <c r="DL67" s="90"/>
      <c r="DM67" s="90"/>
      <c r="DN67" s="90"/>
      <c r="DO67" s="116"/>
      <c r="DP67" s="16">
        <f t="shared" si="23"/>
        <v>0</v>
      </c>
      <c r="DQ67" s="90"/>
      <c r="DR67" s="90"/>
      <c r="DS67" s="90"/>
      <c r="DT67" s="116"/>
      <c r="DU67" s="16">
        <f t="shared" si="24"/>
        <v>0</v>
      </c>
      <c r="DV67" s="90"/>
      <c r="DW67" s="90"/>
      <c r="DX67" s="90"/>
      <c r="DY67" s="116"/>
      <c r="DZ67" s="16">
        <f t="shared" si="25"/>
        <v>0</v>
      </c>
      <c r="EA67" s="90"/>
      <c r="EB67" s="90"/>
      <c r="EC67" s="90"/>
      <c r="ED67" s="116"/>
      <c r="EE67" s="16">
        <f t="shared" si="26"/>
        <v>0</v>
      </c>
      <c r="EF67" s="90"/>
      <c r="EG67" s="90"/>
      <c r="EH67" s="90"/>
      <c r="EI67" s="116"/>
      <c r="EJ67" s="16">
        <f t="shared" si="27"/>
        <v>0</v>
      </c>
      <c r="EK67" s="90"/>
      <c r="EL67" s="90"/>
      <c r="EM67" s="90"/>
      <c r="EN67" s="116"/>
      <c r="EO67" s="16">
        <f t="shared" si="28"/>
        <v>0</v>
      </c>
      <c r="EP67" s="90"/>
      <c r="EQ67" s="90"/>
      <c r="ER67" s="90"/>
      <c r="ES67" s="116"/>
      <c r="ET67" s="16">
        <f t="shared" si="29"/>
        <v>0</v>
      </c>
      <c r="EU67" s="90"/>
      <c r="EV67" s="90"/>
      <c r="EW67" s="90"/>
      <c r="EX67" s="116"/>
      <c r="EY67" s="16">
        <f t="shared" si="30"/>
        <v>0</v>
      </c>
      <c r="EZ67" s="90"/>
      <c r="FA67" s="90"/>
      <c r="FB67" s="90"/>
      <c r="FC67" s="116"/>
      <c r="FD67" s="16">
        <f t="shared" si="31"/>
        <v>0</v>
      </c>
      <c r="FE67" s="90"/>
      <c r="FF67" s="90"/>
      <c r="FG67" s="90"/>
      <c r="FH67" s="116"/>
      <c r="FI67" s="16">
        <f t="shared" si="50"/>
        <v>0</v>
      </c>
      <c r="FJ67" s="90"/>
      <c r="FK67" s="90"/>
      <c r="FL67" s="90"/>
      <c r="FM67" s="116"/>
      <c r="FN67" s="16">
        <f t="shared" si="32"/>
        <v>0</v>
      </c>
      <c r="FO67" s="90"/>
      <c r="FP67" s="90"/>
      <c r="FQ67" s="90"/>
      <c r="FR67" s="116"/>
      <c r="FS67" s="16">
        <f t="shared" si="33"/>
        <v>0</v>
      </c>
      <c r="FT67" s="90"/>
      <c r="FU67" s="90"/>
      <c r="FV67" s="90"/>
      <c r="FW67" s="116"/>
      <c r="FX67" s="16">
        <f t="shared" si="34"/>
        <v>0</v>
      </c>
      <c r="FY67" s="90"/>
      <c r="FZ67" s="90"/>
      <c r="GA67" s="90"/>
      <c r="GB67" s="116"/>
      <c r="GC67" s="16">
        <f t="shared" si="35"/>
        <v>0</v>
      </c>
      <c r="GD67" s="90"/>
      <c r="GE67" s="90"/>
      <c r="GF67" s="90"/>
      <c r="GG67" s="116"/>
      <c r="GH67" s="16">
        <f t="shared" si="36"/>
        <v>0</v>
      </c>
      <c r="GI67" s="90"/>
      <c r="GJ67" s="90"/>
      <c r="GK67" s="90"/>
      <c r="GL67" s="116"/>
      <c r="GM67" s="16">
        <f t="shared" si="37"/>
        <v>0</v>
      </c>
      <c r="GN67" s="90"/>
      <c r="GO67" s="90"/>
      <c r="GP67" s="90"/>
      <c r="GQ67" s="116"/>
      <c r="GR67" s="16">
        <f t="shared" si="38"/>
        <v>0</v>
      </c>
      <c r="GS67" s="90"/>
      <c r="GT67" s="90"/>
      <c r="GU67" s="90"/>
      <c r="GV67" s="116"/>
      <c r="GW67" s="16">
        <f t="shared" si="39"/>
        <v>0</v>
      </c>
      <c r="GX67" s="90"/>
      <c r="GY67" s="90"/>
      <c r="GZ67" s="90"/>
      <c r="HA67" s="116"/>
      <c r="HB67" s="16">
        <f t="shared" si="40"/>
        <v>0</v>
      </c>
      <c r="HC67" s="90"/>
      <c r="HD67" s="90"/>
      <c r="HE67" s="90"/>
      <c r="HF67" s="116"/>
      <c r="HG67" s="16">
        <f t="shared" si="41"/>
        <v>0</v>
      </c>
      <c r="HH67" s="90"/>
      <c r="HI67" s="90"/>
      <c r="HJ67" s="90"/>
      <c r="HK67" s="116"/>
      <c r="HL67" s="16">
        <f t="shared" si="42"/>
        <v>0</v>
      </c>
      <c r="HM67" s="90"/>
      <c r="HN67" s="90"/>
      <c r="HO67" s="90"/>
      <c r="HP67" s="116"/>
      <c r="HQ67" s="16">
        <f t="shared" si="43"/>
        <v>0</v>
      </c>
      <c r="HR67" s="90"/>
      <c r="HS67" s="90"/>
      <c r="HT67" s="90"/>
      <c r="HU67" s="116"/>
      <c r="HV67" s="16">
        <f t="shared" si="44"/>
        <v>0</v>
      </c>
      <c r="HW67" s="90"/>
      <c r="HX67" s="90"/>
      <c r="HY67" s="90"/>
      <c r="HZ67" s="116"/>
      <c r="IA67" s="16">
        <f t="shared" si="45"/>
        <v>0</v>
      </c>
      <c r="IB67" s="90"/>
      <c r="IC67" s="90"/>
      <c r="ID67" s="90"/>
      <c r="IE67" s="116"/>
      <c r="IF67" s="16">
        <f t="shared" si="46"/>
        <v>0</v>
      </c>
      <c r="IG67" s="90"/>
      <c r="IH67" s="90"/>
      <c r="II67" s="90"/>
      <c r="IJ67" s="116"/>
      <c r="IK67" s="16">
        <f t="shared" si="47"/>
        <v>0</v>
      </c>
      <c r="IL67" s="90"/>
      <c r="IM67" s="90"/>
      <c r="IN67" s="90"/>
      <c r="IO67" s="116"/>
      <c r="IP67" s="16">
        <f t="shared" si="48"/>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49"/>
        <v>0</v>
      </c>
      <c r="CC68" s="90"/>
      <c r="CD68" s="90"/>
      <c r="CE68" s="90"/>
      <c r="CF68" s="116"/>
      <c r="CG68" s="16">
        <f t="shared" si="16"/>
        <v>0</v>
      </c>
      <c r="CH68" s="90"/>
      <c r="CI68" s="90"/>
      <c r="CJ68" s="90"/>
      <c r="CK68" s="116"/>
      <c r="CL68" s="16">
        <f t="shared" si="17"/>
        <v>0</v>
      </c>
      <c r="CM68" s="90"/>
      <c r="CN68" s="90"/>
      <c r="CO68" s="90"/>
      <c r="CP68" s="116"/>
      <c r="CQ68" s="16">
        <f t="shared" si="18"/>
        <v>0</v>
      </c>
      <c r="CR68" s="90"/>
      <c r="CS68" s="90"/>
      <c r="CT68" s="90"/>
      <c r="CU68" s="116"/>
      <c r="CV68" s="16">
        <f t="shared" si="19"/>
        <v>0</v>
      </c>
      <c r="CW68" s="90"/>
      <c r="CX68" s="90"/>
      <c r="CY68" s="90"/>
      <c r="CZ68" s="116"/>
      <c r="DA68" s="16">
        <f t="shared" si="20"/>
        <v>0</v>
      </c>
      <c r="DB68" s="90"/>
      <c r="DC68" s="90"/>
      <c r="DD68" s="90"/>
      <c r="DE68" s="116"/>
      <c r="DF68" s="16">
        <f t="shared" si="21"/>
        <v>0</v>
      </c>
      <c r="DG68" s="90"/>
      <c r="DH68" s="90"/>
      <c r="DI68" s="90"/>
      <c r="DJ68" s="116"/>
      <c r="DK68" s="16">
        <f t="shared" si="22"/>
        <v>0</v>
      </c>
      <c r="DL68" s="90"/>
      <c r="DM68" s="90"/>
      <c r="DN68" s="90"/>
      <c r="DO68" s="116"/>
      <c r="DP68" s="16">
        <f t="shared" si="23"/>
        <v>0</v>
      </c>
      <c r="DQ68" s="90"/>
      <c r="DR68" s="90"/>
      <c r="DS68" s="90"/>
      <c r="DT68" s="116"/>
      <c r="DU68" s="16">
        <f t="shared" si="24"/>
        <v>0</v>
      </c>
      <c r="DV68" s="90"/>
      <c r="DW68" s="90"/>
      <c r="DX68" s="90"/>
      <c r="DY68" s="116"/>
      <c r="DZ68" s="16">
        <f t="shared" si="25"/>
        <v>0</v>
      </c>
      <c r="EA68" s="90"/>
      <c r="EB68" s="90"/>
      <c r="EC68" s="90"/>
      <c r="ED68" s="116"/>
      <c r="EE68" s="16">
        <f t="shared" si="26"/>
        <v>0</v>
      </c>
      <c r="EF68" s="90"/>
      <c r="EG68" s="90"/>
      <c r="EH68" s="90"/>
      <c r="EI68" s="116"/>
      <c r="EJ68" s="16">
        <f t="shared" si="27"/>
        <v>0</v>
      </c>
      <c r="EK68" s="90"/>
      <c r="EL68" s="90"/>
      <c r="EM68" s="90"/>
      <c r="EN68" s="116"/>
      <c r="EO68" s="16">
        <f t="shared" si="28"/>
        <v>0</v>
      </c>
      <c r="EP68" s="90"/>
      <c r="EQ68" s="90"/>
      <c r="ER68" s="90"/>
      <c r="ES68" s="116"/>
      <c r="ET68" s="16">
        <f t="shared" si="29"/>
        <v>0</v>
      </c>
      <c r="EU68" s="90"/>
      <c r="EV68" s="90"/>
      <c r="EW68" s="90"/>
      <c r="EX68" s="116"/>
      <c r="EY68" s="16">
        <f t="shared" si="30"/>
        <v>0</v>
      </c>
      <c r="EZ68" s="90"/>
      <c r="FA68" s="90"/>
      <c r="FB68" s="90"/>
      <c r="FC68" s="116"/>
      <c r="FD68" s="16">
        <f t="shared" si="31"/>
        <v>0</v>
      </c>
      <c r="FE68" s="90"/>
      <c r="FF68" s="90"/>
      <c r="FG68" s="90"/>
      <c r="FH68" s="116"/>
      <c r="FI68" s="16">
        <f t="shared" si="50"/>
        <v>0</v>
      </c>
      <c r="FJ68" s="90"/>
      <c r="FK68" s="90"/>
      <c r="FL68" s="90"/>
      <c r="FM68" s="116"/>
      <c r="FN68" s="16">
        <f t="shared" si="32"/>
        <v>0</v>
      </c>
      <c r="FO68" s="90"/>
      <c r="FP68" s="90"/>
      <c r="FQ68" s="90"/>
      <c r="FR68" s="116"/>
      <c r="FS68" s="16">
        <f t="shared" si="33"/>
        <v>0</v>
      </c>
      <c r="FT68" s="90"/>
      <c r="FU68" s="90"/>
      <c r="FV68" s="90"/>
      <c r="FW68" s="116"/>
      <c r="FX68" s="16">
        <f t="shared" si="34"/>
        <v>0</v>
      </c>
      <c r="FY68" s="90"/>
      <c r="FZ68" s="90"/>
      <c r="GA68" s="90"/>
      <c r="GB68" s="116"/>
      <c r="GC68" s="16">
        <f t="shared" si="35"/>
        <v>0</v>
      </c>
      <c r="GD68" s="90"/>
      <c r="GE68" s="90"/>
      <c r="GF68" s="90"/>
      <c r="GG68" s="116"/>
      <c r="GH68" s="16">
        <f t="shared" si="36"/>
        <v>0</v>
      </c>
      <c r="GI68" s="90"/>
      <c r="GJ68" s="90"/>
      <c r="GK68" s="90"/>
      <c r="GL68" s="116"/>
      <c r="GM68" s="16">
        <f t="shared" si="37"/>
        <v>0</v>
      </c>
      <c r="GN68" s="90"/>
      <c r="GO68" s="90"/>
      <c r="GP68" s="90"/>
      <c r="GQ68" s="116"/>
      <c r="GR68" s="16">
        <f t="shared" si="38"/>
        <v>0</v>
      </c>
      <c r="GS68" s="90"/>
      <c r="GT68" s="90"/>
      <c r="GU68" s="90"/>
      <c r="GV68" s="116"/>
      <c r="GW68" s="16">
        <f t="shared" si="39"/>
        <v>0</v>
      </c>
      <c r="GX68" s="90"/>
      <c r="GY68" s="90"/>
      <c r="GZ68" s="90"/>
      <c r="HA68" s="116"/>
      <c r="HB68" s="16">
        <f t="shared" si="40"/>
        <v>0</v>
      </c>
      <c r="HC68" s="90"/>
      <c r="HD68" s="90"/>
      <c r="HE68" s="90"/>
      <c r="HF68" s="116"/>
      <c r="HG68" s="16">
        <f t="shared" si="41"/>
        <v>0</v>
      </c>
      <c r="HH68" s="90"/>
      <c r="HI68" s="90"/>
      <c r="HJ68" s="90"/>
      <c r="HK68" s="116"/>
      <c r="HL68" s="16">
        <f t="shared" si="42"/>
        <v>0</v>
      </c>
      <c r="HM68" s="90"/>
      <c r="HN68" s="90"/>
      <c r="HO68" s="90"/>
      <c r="HP68" s="116"/>
      <c r="HQ68" s="16">
        <f t="shared" si="43"/>
        <v>0</v>
      </c>
      <c r="HR68" s="90"/>
      <c r="HS68" s="90"/>
      <c r="HT68" s="90"/>
      <c r="HU68" s="116"/>
      <c r="HV68" s="16">
        <f t="shared" si="44"/>
        <v>0</v>
      </c>
      <c r="HW68" s="90"/>
      <c r="HX68" s="90"/>
      <c r="HY68" s="90"/>
      <c r="HZ68" s="116"/>
      <c r="IA68" s="16">
        <f t="shared" si="45"/>
        <v>0</v>
      </c>
      <c r="IB68" s="90"/>
      <c r="IC68" s="90"/>
      <c r="ID68" s="90"/>
      <c r="IE68" s="116"/>
      <c r="IF68" s="16">
        <f t="shared" si="46"/>
        <v>0</v>
      </c>
      <c r="IG68" s="90"/>
      <c r="IH68" s="90"/>
      <c r="II68" s="90"/>
      <c r="IJ68" s="116"/>
      <c r="IK68" s="16">
        <f t="shared" si="47"/>
        <v>0</v>
      </c>
      <c r="IL68" s="90"/>
      <c r="IM68" s="90"/>
      <c r="IN68" s="90"/>
      <c r="IO68" s="116"/>
      <c r="IP68" s="16">
        <f t="shared" si="48"/>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49"/>
        <v>0</v>
      </c>
      <c r="CC69" s="90"/>
      <c r="CD69" s="90"/>
      <c r="CE69" s="90"/>
      <c r="CF69" s="116"/>
      <c r="CG69" s="16">
        <f t="shared" si="16"/>
        <v>0</v>
      </c>
      <c r="CH69" s="90"/>
      <c r="CI69" s="90"/>
      <c r="CJ69" s="90"/>
      <c r="CK69" s="116"/>
      <c r="CL69" s="16">
        <f t="shared" si="17"/>
        <v>0</v>
      </c>
      <c r="CM69" s="90"/>
      <c r="CN69" s="90"/>
      <c r="CO69" s="90"/>
      <c r="CP69" s="116"/>
      <c r="CQ69" s="16">
        <f t="shared" si="18"/>
        <v>0</v>
      </c>
      <c r="CR69" s="90"/>
      <c r="CS69" s="90"/>
      <c r="CT69" s="90"/>
      <c r="CU69" s="116"/>
      <c r="CV69" s="16">
        <f t="shared" si="19"/>
        <v>0</v>
      </c>
      <c r="CW69" s="90"/>
      <c r="CX69" s="90"/>
      <c r="CY69" s="90"/>
      <c r="CZ69" s="116"/>
      <c r="DA69" s="16">
        <f t="shared" si="20"/>
        <v>0</v>
      </c>
      <c r="DB69" s="90"/>
      <c r="DC69" s="90"/>
      <c r="DD69" s="90"/>
      <c r="DE69" s="116"/>
      <c r="DF69" s="16">
        <f t="shared" si="21"/>
        <v>0</v>
      </c>
      <c r="DG69" s="90"/>
      <c r="DH69" s="90"/>
      <c r="DI69" s="90"/>
      <c r="DJ69" s="116"/>
      <c r="DK69" s="16">
        <f t="shared" si="22"/>
        <v>0</v>
      </c>
      <c r="DL69" s="90"/>
      <c r="DM69" s="90"/>
      <c r="DN69" s="90"/>
      <c r="DO69" s="116"/>
      <c r="DP69" s="16">
        <f t="shared" si="23"/>
        <v>0</v>
      </c>
      <c r="DQ69" s="90"/>
      <c r="DR69" s="90"/>
      <c r="DS69" s="90"/>
      <c r="DT69" s="116"/>
      <c r="DU69" s="16">
        <f t="shared" si="24"/>
        <v>0</v>
      </c>
      <c r="DV69" s="90"/>
      <c r="DW69" s="90"/>
      <c r="DX69" s="90"/>
      <c r="DY69" s="116"/>
      <c r="DZ69" s="16">
        <f t="shared" si="25"/>
        <v>0</v>
      </c>
      <c r="EA69" s="90"/>
      <c r="EB69" s="90"/>
      <c r="EC69" s="90"/>
      <c r="ED69" s="116"/>
      <c r="EE69" s="16">
        <f t="shared" si="26"/>
        <v>0</v>
      </c>
      <c r="EF69" s="90"/>
      <c r="EG69" s="90"/>
      <c r="EH69" s="90"/>
      <c r="EI69" s="116"/>
      <c r="EJ69" s="16">
        <f t="shared" si="27"/>
        <v>0</v>
      </c>
      <c r="EK69" s="90"/>
      <c r="EL69" s="90"/>
      <c r="EM69" s="90"/>
      <c r="EN69" s="116"/>
      <c r="EO69" s="16">
        <f t="shared" si="28"/>
        <v>0</v>
      </c>
      <c r="EP69" s="90"/>
      <c r="EQ69" s="90"/>
      <c r="ER69" s="90"/>
      <c r="ES69" s="116"/>
      <c r="ET69" s="16">
        <f t="shared" si="29"/>
        <v>0</v>
      </c>
      <c r="EU69" s="90"/>
      <c r="EV69" s="90"/>
      <c r="EW69" s="90"/>
      <c r="EX69" s="116"/>
      <c r="EY69" s="16">
        <f t="shared" si="30"/>
        <v>0</v>
      </c>
      <c r="EZ69" s="90"/>
      <c r="FA69" s="90"/>
      <c r="FB69" s="90"/>
      <c r="FC69" s="116"/>
      <c r="FD69" s="16">
        <f t="shared" si="31"/>
        <v>0</v>
      </c>
      <c r="FE69" s="90"/>
      <c r="FF69" s="90"/>
      <c r="FG69" s="90"/>
      <c r="FH69" s="116"/>
      <c r="FI69" s="16">
        <f t="shared" si="50"/>
        <v>0</v>
      </c>
      <c r="FJ69" s="90"/>
      <c r="FK69" s="90"/>
      <c r="FL69" s="90"/>
      <c r="FM69" s="116"/>
      <c r="FN69" s="16">
        <f t="shared" si="32"/>
        <v>0</v>
      </c>
      <c r="FO69" s="90"/>
      <c r="FP69" s="90"/>
      <c r="FQ69" s="90"/>
      <c r="FR69" s="116"/>
      <c r="FS69" s="16">
        <f t="shared" si="33"/>
        <v>0</v>
      </c>
      <c r="FT69" s="90"/>
      <c r="FU69" s="90"/>
      <c r="FV69" s="90"/>
      <c r="FW69" s="116"/>
      <c r="FX69" s="16">
        <f t="shared" si="34"/>
        <v>0</v>
      </c>
      <c r="FY69" s="90"/>
      <c r="FZ69" s="90"/>
      <c r="GA69" s="90"/>
      <c r="GB69" s="116"/>
      <c r="GC69" s="16">
        <f t="shared" si="35"/>
        <v>0</v>
      </c>
      <c r="GD69" s="90"/>
      <c r="GE69" s="90"/>
      <c r="GF69" s="90"/>
      <c r="GG69" s="116"/>
      <c r="GH69" s="16">
        <f t="shared" si="36"/>
        <v>0</v>
      </c>
      <c r="GI69" s="90"/>
      <c r="GJ69" s="90"/>
      <c r="GK69" s="90"/>
      <c r="GL69" s="116"/>
      <c r="GM69" s="16">
        <f t="shared" si="37"/>
        <v>0</v>
      </c>
      <c r="GN69" s="90"/>
      <c r="GO69" s="90"/>
      <c r="GP69" s="90"/>
      <c r="GQ69" s="116"/>
      <c r="GR69" s="16">
        <f t="shared" si="38"/>
        <v>0</v>
      </c>
      <c r="GS69" s="90"/>
      <c r="GT69" s="90"/>
      <c r="GU69" s="90"/>
      <c r="GV69" s="116"/>
      <c r="GW69" s="16">
        <f t="shared" si="39"/>
        <v>0</v>
      </c>
      <c r="GX69" s="90"/>
      <c r="GY69" s="90"/>
      <c r="GZ69" s="90"/>
      <c r="HA69" s="116"/>
      <c r="HB69" s="16">
        <f t="shared" si="40"/>
        <v>0</v>
      </c>
      <c r="HC69" s="90"/>
      <c r="HD69" s="90"/>
      <c r="HE69" s="90"/>
      <c r="HF69" s="116"/>
      <c r="HG69" s="16">
        <f t="shared" si="41"/>
        <v>0</v>
      </c>
      <c r="HH69" s="90"/>
      <c r="HI69" s="90"/>
      <c r="HJ69" s="90"/>
      <c r="HK69" s="116"/>
      <c r="HL69" s="16">
        <f t="shared" si="42"/>
        <v>0</v>
      </c>
      <c r="HM69" s="90"/>
      <c r="HN69" s="90"/>
      <c r="HO69" s="90"/>
      <c r="HP69" s="116"/>
      <c r="HQ69" s="16">
        <f t="shared" si="43"/>
        <v>0</v>
      </c>
      <c r="HR69" s="90"/>
      <c r="HS69" s="90"/>
      <c r="HT69" s="90"/>
      <c r="HU69" s="116"/>
      <c r="HV69" s="16">
        <f t="shared" si="44"/>
        <v>0</v>
      </c>
      <c r="HW69" s="90"/>
      <c r="HX69" s="90"/>
      <c r="HY69" s="90"/>
      <c r="HZ69" s="116"/>
      <c r="IA69" s="16">
        <f t="shared" si="45"/>
        <v>0</v>
      </c>
      <c r="IB69" s="90"/>
      <c r="IC69" s="90"/>
      <c r="ID69" s="90"/>
      <c r="IE69" s="116"/>
      <c r="IF69" s="16">
        <f t="shared" si="46"/>
        <v>0</v>
      </c>
      <c r="IG69" s="90"/>
      <c r="IH69" s="90"/>
      <c r="II69" s="90"/>
      <c r="IJ69" s="116"/>
      <c r="IK69" s="16">
        <f t="shared" si="47"/>
        <v>0</v>
      </c>
      <c r="IL69" s="90"/>
      <c r="IM69" s="90"/>
      <c r="IN69" s="90"/>
      <c r="IO69" s="116"/>
      <c r="IP69" s="16">
        <f t="shared" si="48"/>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49"/>
        <v>0</v>
      </c>
      <c r="CC70" s="90"/>
      <c r="CD70" s="90"/>
      <c r="CE70" s="90"/>
      <c r="CF70" s="116"/>
      <c r="CG70" s="16">
        <f t="shared" si="16"/>
        <v>0</v>
      </c>
      <c r="CH70" s="90"/>
      <c r="CI70" s="90"/>
      <c r="CJ70" s="90"/>
      <c r="CK70" s="116"/>
      <c r="CL70" s="16">
        <f t="shared" si="17"/>
        <v>0</v>
      </c>
      <c r="CM70" s="90"/>
      <c r="CN70" s="90"/>
      <c r="CO70" s="90"/>
      <c r="CP70" s="116"/>
      <c r="CQ70" s="16">
        <f t="shared" si="18"/>
        <v>0</v>
      </c>
      <c r="CR70" s="90"/>
      <c r="CS70" s="90"/>
      <c r="CT70" s="90"/>
      <c r="CU70" s="116"/>
      <c r="CV70" s="16">
        <f t="shared" si="19"/>
        <v>0</v>
      </c>
      <c r="CW70" s="90"/>
      <c r="CX70" s="90"/>
      <c r="CY70" s="90"/>
      <c r="CZ70" s="116"/>
      <c r="DA70" s="16">
        <f t="shared" si="20"/>
        <v>0</v>
      </c>
      <c r="DB70" s="90"/>
      <c r="DC70" s="90"/>
      <c r="DD70" s="90"/>
      <c r="DE70" s="116"/>
      <c r="DF70" s="16">
        <f t="shared" si="21"/>
        <v>0</v>
      </c>
      <c r="DG70" s="90"/>
      <c r="DH70" s="90"/>
      <c r="DI70" s="90"/>
      <c r="DJ70" s="116"/>
      <c r="DK70" s="16">
        <f t="shared" si="22"/>
        <v>0</v>
      </c>
      <c r="DL70" s="90"/>
      <c r="DM70" s="90"/>
      <c r="DN70" s="90"/>
      <c r="DO70" s="116"/>
      <c r="DP70" s="16">
        <f t="shared" si="23"/>
        <v>0</v>
      </c>
      <c r="DQ70" s="90"/>
      <c r="DR70" s="90"/>
      <c r="DS70" s="90"/>
      <c r="DT70" s="116"/>
      <c r="DU70" s="16">
        <f t="shared" si="24"/>
        <v>0</v>
      </c>
      <c r="DV70" s="90"/>
      <c r="DW70" s="90"/>
      <c r="DX70" s="90"/>
      <c r="DY70" s="116"/>
      <c r="DZ70" s="16">
        <f t="shared" si="25"/>
        <v>0</v>
      </c>
      <c r="EA70" s="90"/>
      <c r="EB70" s="90"/>
      <c r="EC70" s="90"/>
      <c r="ED70" s="116"/>
      <c r="EE70" s="16">
        <f t="shared" si="26"/>
        <v>0</v>
      </c>
      <c r="EF70" s="90"/>
      <c r="EG70" s="90"/>
      <c r="EH70" s="90"/>
      <c r="EI70" s="116"/>
      <c r="EJ70" s="16">
        <f t="shared" si="27"/>
        <v>0</v>
      </c>
      <c r="EK70" s="90"/>
      <c r="EL70" s="90"/>
      <c r="EM70" s="90"/>
      <c r="EN70" s="116"/>
      <c r="EO70" s="16">
        <f t="shared" si="28"/>
        <v>0</v>
      </c>
      <c r="EP70" s="90"/>
      <c r="EQ70" s="90"/>
      <c r="ER70" s="90"/>
      <c r="ES70" s="116"/>
      <c r="ET70" s="16">
        <f t="shared" si="29"/>
        <v>0</v>
      </c>
      <c r="EU70" s="90"/>
      <c r="EV70" s="90"/>
      <c r="EW70" s="90"/>
      <c r="EX70" s="116"/>
      <c r="EY70" s="16">
        <f t="shared" si="30"/>
        <v>0</v>
      </c>
      <c r="EZ70" s="90"/>
      <c r="FA70" s="90"/>
      <c r="FB70" s="90"/>
      <c r="FC70" s="116"/>
      <c r="FD70" s="16">
        <f t="shared" si="31"/>
        <v>0</v>
      </c>
      <c r="FE70" s="90"/>
      <c r="FF70" s="90"/>
      <c r="FG70" s="90"/>
      <c r="FH70" s="116"/>
      <c r="FI70" s="16">
        <f t="shared" si="50"/>
        <v>0</v>
      </c>
      <c r="FJ70" s="90"/>
      <c r="FK70" s="90"/>
      <c r="FL70" s="90"/>
      <c r="FM70" s="116"/>
      <c r="FN70" s="16">
        <f t="shared" si="32"/>
        <v>0</v>
      </c>
      <c r="FO70" s="90"/>
      <c r="FP70" s="90"/>
      <c r="FQ70" s="90"/>
      <c r="FR70" s="116"/>
      <c r="FS70" s="16">
        <f t="shared" si="33"/>
        <v>0</v>
      </c>
      <c r="FT70" s="90"/>
      <c r="FU70" s="90"/>
      <c r="FV70" s="90"/>
      <c r="FW70" s="116"/>
      <c r="FX70" s="16">
        <f t="shared" si="34"/>
        <v>0</v>
      </c>
      <c r="FY70" s="90"/>
      <c r="FZ70" s="90"/>
      <c r="GA70" s="90"/>
      <c r="GB70" s="116"/>
      <c r="GC70" s="16">
        <f t="shared" si="35"/>
        <v>0</v>
      </c>
      <c r="GD70" s="90"/>
      <c r="GE70" s="90"/>
      <c r="GF70" s="90"/>
      <c r="GG70" s="116"/>
      <c r="GH70" s="16">
        <f t="shared" si="36"/>
        <v>0</v>
      </c>
      <c r="GI70" s="90"/>
      <c r="GJ70" s="90"/>
      <c r="GK70" s="90"/>
      <c r="GL70" s="116"/>
      <c r="GM70" s="16">
        <f t="shared" si="37"/>
        <v>0</v>
      </c>
      <c r="GN70" s="90"/>
      <c r="GO70" s="90"/>
      <c r="GP70" s="90"/>
      <c r="GQ70" s="116"/>
      <c r="GR70" s="16">
        <f t="shared" si="38"/>
        <v>0</v>
      </c>
      <c r="GS70" s="90"/>
      <c r="GT70" s="90"/>
      <c r="GU70" s="90"/>
      <c r="GV70" s="116"/>
      <c r="GW70" s="16">
        <f t="shared" si="39"/>
        <v>0</v>
      </c>
      <c r="GX70" s="90"/>
      <c r="GY70" s="90"/>
      <c r="GZ70" s="90"/>
      <c r="HA70" s="116"/>
      <c r="HB70" s="16">
        <f t="shared" si="40"/>
        <v>0</v>
      </c>
      <c r="HC70" s="90"/>
      <c r="HD70" s="90"/>
      <c r="HE70" s="90"/>
      <c r="HF70" s="116"/>
      <c r="HG70" s="16">
        <f t="shared" si="41"/>
        <v>0</v>
      </c>
      <c r="HH70" s="90"/>
      <c r="HI70" s="90"/>
      <c r="HJ70" s="90"/>
      <c r="HK70" s="116"/>
      <c r="HL70" s="16">
        <f t="shared" si="42"/>
        <v>0</v>
      </c>
      <c r="HM70" s="90"/>
      <c r="HN70" s="90"/>
      <c r="HO70" s="90"/>
      <c r="HP70" s="116"/>
      <c r="HQ70" s="16">
        <f t="shared" si="43"/>
        <v>0</v>
      </c>
      <c r="HR70" s="90"/>
      <c r="HS70" s="90"/>
      <c r="HT70" s="90"/>
      <c r="HU70" s="116"/>
      <c r="HV70" s="16">
        <f t="shared" si="44"/>
        <v>0</v>
      </c>
      <c r="HW70" s="90"/>
      <c r="HX70" s="90"/>
      <c r="HY70" s="90"/>
      <c r="HZ70" s="116"/>
      <c r="IA70" s="16">
        <f t="shared" si="45"/>
        <v>0</v>
      </c>
      <c r="IB70" s="90"/>
      <c r="IC70" s="90"/>
      <c r="ID70" s="90"/>
      <c r="IE70" s="116"/>
      <c r="IF70" s="16">
        <f t="shared" si="46"/>
        <v>0</v>
      </c>
      <c r="IG70" s="90"/>
      <c r="IH70" s="90"/>
      <c r="II70" s="90"/>
      <c r="IJ70" s="116"/>
      <c r="IK70" s="16">
        <f t="shared" si="47"/>
        <v>0</v>
      </c>
      <c r="IL70" s="90"/>
      <c r="IM70" s="90"/>
      <c r="IN70" s="90"/>
      <c r="IO70" s="116"/>
      <c r="IP70" s="16">
        <f t="shared" si="48"/>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49"/>
        <v>0</v>
      </c>
      <c r="CC71" s="90"/>
      <c r="CD71" s="90"/>
      <c r="CE71" s="90"/>
      <c r="CF71" s="116"/>
      <c r="CG71" s="16">
        <f t="shared" si="16"/>
        <v>0</v>
      </c>
      <c r="CH71" s="90"/>
      <c r="CI71" s="90"/>
      <c r="CJ71" s="90"/>
      <c r="CK71" s="116"/>
      <c r="CL71" s="16">
        <f t="shared" si="17"/>
        <v>0</v>
      </c>
      <c r="CM71" s="90"/>
      <c r="CN71" s="90"/>
      <c r="CO71" s="90"/>
      <c r="CP71" s="116"/>
      <c r="CQ71" s="16">
        <f t="shared" si="18"/>
        <v>0</v>
      </c>
      <c r="CR71" s="90"/>
      <c r="CS71" s="90"/>
      <c r="CT71" s="90"/>
      <c r="CU71" s="116"/>
      <c r="CV71" s="16">
        <f t="shared" si="19"/>
        <v>0</v>
      </c>
      <c r="CW71" s="90"/>
      <c r="CX71" s="90"/>
      <c r="CY71" s="90"/>
      <c r="CZ71" s="116"/>
      <c r="DA71" s="16">
        <f t="shared" si="20"/>
        <v>0</v>
      </c>
      <c r="DB71" s="90"/>
      <c r="DC71" s="90"/>
      <c r="DD71" s="90"/>
      <c r="DE71" s="116"/>
      <c r="DF71" s="16">
        <f t="shared" si="21"/>
        <v>0</v>
      </c>
      <c r="DG71" s="90"/>
      <c r="DH71" s="90"/>
      <c r="DI71" s="90"/>
      <c r="DJ71" s="116"/>
      <c r="DK71" s="16">
        <f t="shared" si="22"/>
        <v>0</v>
      </c>
      <c r="DL71" s="90"/>
      <c r="DM71" s="90"/>
      <c r="DN71" s="90"/>
      <c r="DO71" s="116"/>
      <c r="DP71" s="16">
        <f t="shared" si="23"/>
        <v>0</v>
      </c>
      <c r="DQ71" s="90"/>
      <c r="DR71" s="90"/>
      <c r="DS71" s="90"/>
      <c r="DT71" s="116"/>
      <c r="DU71" s="16">
        <f t="shared" si="24"/>
        <v>0</v>
      </c>
      <c r="DV71" s="90"/>
      <c r="DW71" s="90"/>
      <c r="DX71" s="90"/>
      <c r="DY71" s="116"/>
      <c r="DZ71" s="16">
        <f t="shared" si="25"/>
        <v>0</v>
      </c>
      <c r="EA71" s="90"/>
      <c r="EB71" s="90"/>
      <c r="EC71" s="90"/>
      <c r="ED71" s="116"/>
      <c r="EE71" s="16">
        <f t="shared" si="26"/>
        <v>0</v>
      </c>
      <c r="EF71" s="90"/>
      <c r="EG71" s="90"/>
      <c r="EH71" s="90"/>
      <c r="EI71" s="116"/>
      <c r="EJ71" s="16">
        <f t="shared" si="27"/>
        <v>0</v>
      </c>
      <c r="EK71" s="90"/>
      <c r="EL71" s="90"/>
      <c r="EM71" s="90"/>
      <c r="EN71" s="116"/>
      <c r="EO71" s="16">
        <f t="shared" si="28"/>
        <v>0</v>
      </c>
      <c r="EP71" s="90"/>
      <c r="EQ71" s="90"/>
      <c r="ER71" s="90"/>
      <c r="ES71" s="116"/>
      <c r="ET71" s="16">
        <f t="shared" si="29"/>
        <v>0</v>
      </c>
      <c r="EU71" s="90"/>
      <c r="EV71" s="90"/>
      <c r="EW71" s="90"/>
      <c r="EX71" s="116"/>
      <c r="EY71" s="16">
        <f t="shared" si="30"/>
        <v>0</v>
      </c>
      <c r="EZ71" s="90"/>
      <c r="FA71" s="90"/>
      <c r="FB71" s="90"/>
      <c r="FC71" s="116"/>
      <c r="FD71" s="16">
        <f t="shared" si="31"/>
        <v>0</v>
      </c>
      <c r="FE71" s="90"/>
      <c r="FF71" s="90"/>
      <c r="FG71" s="90"/>
      <c r="FH71" s="116"/>
      <c r="FI71" s="16">
        <f t="shared" si="50"/>
        <v>0</v>
      </c>
      <c r="FJ71" s="90"/>
      <c r="FK71" s="90"/>
      <c r="FL71" s="90"/>
      <c r="FM71" s="116"/>
      <c r="FN71" s="16">
        <f t="shared" si="32"/>
        <v>0</v>
      </c>
      <c r="FO71" s="90"/>
      <c r="FP71" s="90"/>
      <c r="FQ71" s="90"/>
      <c r="FR71" s="116"/>
      <c r="FS71" s="16">
        <f t="shared" si="33"/>
        <v>0</v>
      </c>
      <c r="FT71" s="90"/>
      <c r="FU71" s="90"/>
      <c r="FV71" s="90"/>
      <c r="FW71" s="116"/>
      <c r="FX71" s="16">
        <f t="shared" si="34"/>
        <v>0</v>
      </c>
      <c r="FY71" s="90"/>
      <c r="FZ71" s="90"/>
      <c r="GA71" s="90"/>
      <c r="GB71" s="116"/>
      <c r="GC71" s="16">
        <f t="shared" si="35"/>
        <v>0</v>
      </c>
      <c r="GD71" s="90"/>
      <c r="GE71" s="90"/>
      <c r="GF71" s="90"/>
      <c r="GG71" s="116"/>
      <c r="GH71" s="16">
        <f t="shared" si="36"/>
        <v>0</v>
      </c>
      <c r="GI71" s="90"/>
      <c r="GJ71" s="90"/>
      <c r="GK71" s="90"/>
      <c r="GL71" s="116"/>
      <c r="GM71" s="16">
        <f t="shared" si="37"/>
        <v>0</v>
      </c>
      <c r="GN71" s="90"/>
      <c r="GO71" s="90"/>
      <c r="GP71" s="90"/>
      <c r="GQ71" s="116"/>
      <c r="GR71" s="16">
        <f t="shared" si="38"/>
        <v>0</v>
      </c>
      <c r="GS71" s="90"/>
      <c r="GT71" s="90"/>
      <c r="GU71" s="90"/>
      <c r="GV71" s="116"/>
      <c r="GW71" s="16">
        <f t="shared" si="39"/>
        <v>0</v>
      </c>
      <c r="GX71" s="90"/>
      <c r="GY71" s="90"/>
      <c r="GZ71" s="90"/>
      <c r="HA71" s="116"/>
      <c r="HB71" s="16">
        <f t="shared" si="40"/>
        <v>0</v>
      </c>
      <c r="HC71" s="90"/>
      <c r="HD71" s="90"/>
      <c r="HE71" s="90"/>
      <c r="HF71" s="116"/>
      <c r="HG71" s="16">
        <f t="shared" si="41"/>
        <v>0</v>
      </c>
      <c r="HH71" s="90"/>
      <c r="HI71" s="90"/>
      <c r="HJ71" s="90"/>
      <c r="HK71" s="116"/>
      <c r="HL71" s="16">
        <f t="shared" si="42"/>
        <v>0</v>
      </c>
      <c r="HM71" s="90"/>
      <c r="HN71" s="90"/>
      <c r="HO71" s="90"/>
      <c r="HP71" s="116"/>
      <c r="HQ71" s="16">
        <f t="shared" si="43"/>
        <v>0</v>
      </c>
      <c r="HR71" s="90"/>
      <c r="HS71" s="90"/>
      <c r="HT71" s="90"/>
      <c r="HU71" s="116"/>
      <c r="HV71" s="16">
        <f t="shared" si="44"/>
        <v>0</v>
      </c>
      <c r="HW71" s="90"/>
      <c r="HX71" s="90"/>
      <c r="HY71" s="90"/>
      <c r="HZ71" s="116"/>
      <c r="IA71" s="16">
        <f t="shared" si="45"/>
        <v>0</v>
      </c>
      <c r="IB71" s="90"/>
      <c r="IC71" s="90"/>
      <c r="ID71" s="90"/>
      <c r="IE71" s="116"/>
      <c r="IF71" s="16">
        <f t="shared" si="46"/>
        <v>0</v>
      </c>
      <c r="IG71" s="90"/>
      <c r="IH71" s="90"/>
      <c r="II71" s="90"/>
      <c r="IJ71" s="116"/>
      <c r="IK71" s="16">
        <f t="shared" si="47"/>
        <v>0</v>
      </c>
      <c r="IL71" s="90"/>
      <c r="IM71" s="90"/>
      <c r="IN71" s="90"/>
      <c r="IO71" s="116"/>
      <c r="IP71" s="16">
        <f t="shared" si="48"/>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49"/>
        <v>0</v>
      </c>
      <c r="CC72" s="90"/>
      <c r="CD72" s="90"/>
      <c r="CE72" s="90"/>
      <c r="CF72" s="116"/>
      <c r="CG72" s="16">
        <f t="shared" si="16"/>
        <v>0</v>
      </c>
      <c r="CH72" s="90"/>
      <c r="CI72" s="90"/>
      <c r="CJ72" s="90"/>
      <c r="CK72" s="116"/>
      <c r="CL72" s="16">
        <f t="shared" si="17"/>
        <v>0</v>
      </c>
      <c r="CM72" s="90"/>
      <c r="CN72" s="90"/>
      <c r="CO72" s="90"/>
      <c r="CP72" s="116"/>
      <c r="CQ72" s="16">
        <f t="shared" si="18"/>
        <v>0</v>
      </c>
      <c r="CR72" s="90"/>
      <c r="CS72" s="90"/>
      <c r="CT72" s="90"/>
      <c r="CU72" s="116"/>
      <c r="CV72" s="16">
        <f t="shared" si="19"/>
        <v>0</v>
      </c>
      <c r="CW72" s="90"/>
      <c r="CX72" s="90"/>
      <c r="CY72" s="90"/>
      <c r="CZ72" s="116"/>
      <c r="DA72" s="16">
        <f t="shared" si="20"/>
        <v>0</v>
      </c>
      <c r="DB72" s="90"/>
      <c r="DC72" s="90"/>
      <c r="DD72" s="90"/>
      <c r="DE72" s="116"/>
      <c r="DF72" s="16">
        <f t="shared" si="21"/>
        <v>0</v>
      </c>
      <c r="DG72" s="90"/>
      <c r="DH72" s="90"/>
      <c r="DI72" s="90"/>
      <c r="DJ72" s="116"/>
      <c r="DK72" s="16">
        <f t="shared" si="22"/>
        <v>0</v>
      </c>
      <c r="DL72" s="90"/>
      <c r="DM72" s="90"/>
      <c r="DN72" s="90"/>
      <c r="DO72" s="116"/>
      <c r="DP72" s="16">
        <f t="shared" si="23"/>
        <v>0</v>
      </c>
      <c r="DQ72" s="90"/>
      <c r="DR72" s="90"/>
      <c r="DS72" s="90"/>
      <c r="DT72" s="116"/>
      <c r="DU72" s="16">
        <f t="shared" si="24"/>
        <v>0</v>
      </c>
      <c r="DV72" s="90"/>
      <c r="DW72" s="90"/>
      <c r="DX72" s="90"/>
      <c r="DY72" s="116"/>
      <c r="DZ72" s="16">
        <f t="shared" si="25"/>
        <v>0</v>
      </c>
      <c r="EA72" s="90"/>
      <c r="EB72" s="90"/>
      <c r="EC72" s="90"/>
      <c r="ED72" s="116"/>
      <c r="EE72" s="16">
        <f t="shared" si="26"/>
        <v>0</v>
      </c>
      <c r="EF72" s="90"/>
      <c r="EG72" s="90"/>
      <c r="EH72" s="90"/>
      <c r="EI72" s="116"/>
      <c r="EJ72" s="16">
        <f t="shared" si="27"/>
        <v>0</v>
      </c>
      <c r="EK72" s="90"/>
      <c r="EL72" s="90"/>
      <c r="EM72" s="90"/>
      <c r="EN72" s="116"/>
      <c r="EO72" s="16">
        <f t="shared" si="28"/>
        <v>0</v>
      </c>
      <c r="EP72" s="90"/>
      <c r="EQ72" s="90"/>
      <c r="ER72" s="90"/>
      <c r="ES72" s="116"/>
      <c r="ET72" s="16">
        <f t="shared" si="29"/>
        <v>0</v>
      </c>
      <c r="EU72" s="90"/>
      <c r="EV72" s="90"/>
      <c r="EW72" s="90"/>
      <c r="EX72" s="116"/>
      <c r="EY72" s="16">
        <f t="shared" si="30"/>
        <v>0</v>
      </c>
      <c r="EZ72" s="90"/>
      <c r="FA72" s="90"/>
      <c r="FB72" s="90"/>
      <c r="FC72" s="116"/>
      <c r="FD72" s="16">
        <f t="shared" si="31"/>
        <v>0</v>
      </c>
      <c r="FE72" s="90"/>
      <c r="FF72" s="90"/>
      <c r="FG72" s="90"/>
      <c r="FH72" s="116"/>
      <c r="FI72" s="16">
        <f t="shared" si="50"/>
        <v>0</v>
      </c>
      <c r="FJ72" s="90"/>
      <c r="FK72" s="90"/>
      <c r="FL72" s="90"/>
      <c r="FM72" s="116"/>
      <c r="FN72" s="16">
        <f t="shared" si="32"/>
        <v>0</v>
      </c>
      <c r="FO72" s="90"/>
      <c r="FP72" s="90"/>
      <c r="FQ72" s="90"/>
      <c r="FR72" s="116"/>
      <c r="FS72" s="16">
        <f t="shared" si="33"/>
        <v>0</v>
      </c>
      <c r="FT72" s="90"/>
      <c r="FU72" s="90"/>
      <c r="FV72" s="90"/>
      <c r="FW72" s="116"/>
      <c r="FX72" s="16">
        <f t="shared" si="34"/>
        <v>0</v>
      </c>
      <c r="FY72" s="90"/>
      <c r="FZ72" s="90"/>
      <c r="GA72" s="90"/>
      <c r="GB72" s="116"/>
      <c r="GC72" s="16">
        <f t="shared" si="35"/>
        <v>0</v>
      </c>
      <c r="GD72" s="90"/>
      <c r="GE72" s="90"/>
      <c r="GF72" s="90"/>
      <c r="GG72" s="116"/>
      <c r="GH72" s="16">
        <f t="shared" si="36"/>
        <v>0</v>
      </c>
      <c r="GI72" s="90"/>
      <c r="GJ72" s="90"/>
      <c r="GK72" s="90"/>
      <c r="GL72" s="116"/>
      <c r="GM72" s="16">
        <f t="shared" si="37"/>
        <v>0</v>
      </c>
      <c r="GN72" s="90"/>
      <c r="GO72" s="90"/>
      <c r="GP72" s="90"/>
      <c r="GQ72" s="116"/>
      <c r="GR72" s="16">
        <f t="shared" si="38"/>
        <v>0</v>
      </c>
      <c r="GS72" s="90"/>
      <c r="GT72" s="90"/>
      <c r="GU72" s="90"/>
      <c r="GV72" s="116"/>
      <c r="GW72" s="16">
        <f t="shared" si="39"/>
        <v>0</v>
      </c>
      <c r="GX72" s="90"/>
      <c r="GY72" s="90"/>
      <c r="GZ72" s="90"/>
      <c r="HA72" s="116"/>
      <c r="HB72" s="16">
        <f t="shared" si="40"/>
        <v>0</v>
      </c>
      <c r="HC72" s="90"/>
      <c r="HD72" s="90"/>
      <c r="HE72" s="90"/>
      <c r="HF72" s="116"/>
      <c r="HG72" s="16">
        <f t="shared" si="41"/>
        <v>0</v>
      </c>
      <c r="HH72" s="90"/>
      <c r="HI72" s="90"/>
      <c r="HJ72" s="90"/>
      <c r="HK72" s="116"/>
      <c r="HL72" s="16">
        <f t="shared" si="42"/>
        <v>0</v>
      </c>
      <c r="HM72" s="90"/>
      <c r="HN72" s="90"/>
      <c r="HO72" s="90"/>
      <c r="HP72" s="116"/>
      <c r="HQ72" s="16">
        <f t="shared" si="43"/>
        <v>0</v>
      </c>
      <c r="HR72" s="90"/>
      <c r="HS72" s="90"/>
      <c r="HT72" s="90"/>
      <c r="HU72" s="116"/>
      <c r="HV72" s="16">
        <f t="shared" si="44"/>
        <v>0</v>
      </c>
      <c r="HW72" s="90"/>
      <c r="HX72" s="90"/>
      <c r="HY72" s="90"/>
      <c r="HZ72" s="116"/>
      <c r="IA72" s="16">
        <f t="shared" si="45"/>
        <v>0</v>
      </c>
      <c r="IB72" s="90"/>
      <c r="IC72" s="90"/>
      <c r="ID72" s="90"/>
      <c r="IE72" s="116"/>
      <c r="IF72" s="16">
        <f t="shared" si="46"/>
        <v>0</v>
      </c>
      <c r="IG72" s="90"/>
      <c r="IH72" s="90"/>
      <c r="II72" s="90"/>
      <c r="IJ72" s="116"/>
      <c r="IK72" s="16">
        <f t="shared" si="47"/>
        <v>0</v>
      </c>
      <c r="IL72" s="90"/>
      <c r="IM72" s="90"/>
      <c r="IN72" s="90"/>
      <c r="IO72" s="116"/>
      <c r="IP72" s="16">
        <f t="shared" si="48"/>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49"/>
        <v>0</v>
      </c>
      <c r="CC73" s="90"/>
      <c r="CD73" s="90"/>
      <c r="CE73" s="90"/>
      <c r="CF73" s="116"/>
      <c r="CG73" s="16">
        <f t="shared" si="16"/>
        <v>0</v>
      </c>
      <c r="CH73" s="90"/>
      <c r="CI73" s="90"/>
      <c r="CJ73" s="90"/>
      <c r="CK73" s="116"/>
      <c r="CL73" s="16">
        <f t="shared" si="17"/>
        <v>0</v>
      </c>
      <c r="CM73" s="90"/>
      <c r="CN73" s="90"/>
      <c r="CO73" s="90"/>
      <c r="CP73" s="116"/>
      <c r="CQ73" s="16">
        <f t="shared" si="18"/>
        <v>0</v>
      </c>
      <c r="CR73" s="90"/>
      <c r="CS73" s="90"/>
      <c r="CT73" s="90"/>
      <c r="CU73" s="116"/>
      <c r="CV73" s="16">
        <f t="shared" si="19"/>
        <v>0</v>
      </c>
      <c r="CW73" s="90"/>
      <c r="CX73" s="90"/>
      <c r="CY73" s="90"/>
      <c r="CZ73" s="116"/>
      <c r="DA73" s="16">
        <f t="shared" si="20"/>
        <v>0</v>
      </c>
      <c r="DB73" s="90"/>
      <c r="DC73" s="90"/>
      <c r="DD73" s="90"/>
      <c r="DE73" s="116"/>
      <c r="DF73" s="16">
        <f t="shared" si="21"/>
        <v>0</v>
      </c>
      <c r="DG73" s="90"/>
      <c r="DH73" s="90"/>
      <c r="DI73" s="90"/>
      <c r="DJ73" s="116"/>
      <c r="DK73" s="16">
        <f t="shared" si="22"/>
        <v>0</v>
      </c>
      <c r="DL73" s="90"/>
      <c r="DM73" s="90"/>
      <c r="DN73" s="90"/>
      <c r="DO73" s="116"/>
      <c r="DP73" s="16">
        <f t="shared" si="23"/>
        <v>0</v>
      </c>
      <c r="DQ73" s="90"/>
      <c r="DR73" s="90"/>
      <c r="DS73" s="90"/>
      <c r="DT73" s="116"/>
      <c r="DU73" s="16">
        <f t="shared" si="24"/>
        <v>0</v>
      </c>
      <c r="DV73" s="90"/>
      <c r="DW73" s="90"/>
      <c r="DX73" s="90"/>
      <c r="DY73" s="116"/>
      <c r="DZ73" s="16">
        <f t="shared" si="25"/>
        <v>0</v>
      </c>
      <c r="EA73" s="90"/>
      <c r="EB73" s="90"/>
      <c r="EC73" s="90"/>
      <c r="ED73" s="116"/>
      <c r="EE73" s="16">
        <f t="shared" si="26"/>
        <v>0</v>
      </c>
      <c r="EF73" s="90"/>
      <c r="EG73" s="90"/>
      <c r="EH73" s="90"/>
      <c r="EI73" s="116"/>
      <c r="EJ73" s="16">
        <f t="shared" si="27"/>
        <v>0</v>
      </c>
      <c r="EK73" s="90"/>
      <c r="EL73" s="90"/>
      <c r="EM73" s="90"/>
      <c r="EN73" s="116"/>
      <c r="EO73" s="16">
        <f t="shared" si="28"/>
        <v>0</v>
      </c>
      <c r="EP73" s="90"/>
      <c r="EQ73" s="90"/>
      <c r="ER73" s="90"/>
      <c r="ES73" s="116"/>
      <c r="ET73" s="16">
        <f t="shared" si="29"/>
        <v>0</v>
      </c>
      <c r="EU73" s="90"/>
      <c r="EV73" s="90"/>
      <c r="EW73" s="90"/>
      <c r="EX73" s="116"/>
      <c r="EY73" s="16">
        <f t="shared" si="30"/>
        <v>0</v>
      </c>
      <c r="EZ73" s="90"/>
      <c r="FA73" s="90"/>
      <c r="FB73" s="90"/>
      <c r="FC73" s="116"/>
      <c r="FD73" s="16">
        <f t="shared" si="31"/>
        <v>0</v>
      </c>
      <c r="FE73" s="90"/>
      <c r="FF73" s="90"/>
      <c r="FG73" s="90"/>
      <c r="FH73" s="116"/>
      <c r="FI73" s="16">
        <f t="shared" si="50"/>
        <v>0</v>
      </c>
      <c r="FJ73" s="90"/>
      <c r="FK73" s="90"/>
      <c r="FL73" s="90"/>
      <c r="FM73" s="116"/>
      <c r="FN73" s="16">
        <f t="shared" si="32"/>
        <v>0</v>
      </c>
      <c r="FO73" s="90"/>
      <c r="FP73" s="90"/>
      <c r="FQ73" s="90"/>
      <c r="FR73" s="116"/>
      <c r="FS73" s="16">
        <f t="shared" si="33"/>
        <v>0</v>
      </c>
      <c r="FT73" s="90"/>
      <c r="FU73" s="90"/>
      <c r="FV73" s="90"/>
      <c r="FW73" s="116"/>
      <c r="FX73" s="16">
        <f t="shared" si="34"/>
        <v>0</v>
      </c>
      <c r="FY73" s="90"/>
      <c r="FZ73" s="90"/>
      <c r="GA73" s="90"/>
      <c r="GB73" s="116"/>
      <c r="GC73" s="16">
        <f t="shared" si="35"/>
        <v>0</v>
      </c>
      <c r="GD73" s="90"/>
      <c r="GE73" s="90"/>
      <c r="GF73" s="90"/>
      <c r="GG73" s="116"/>
      <c r="GH73" s="16">
        <f t="shared" si="36"/>
        <v>0</v>
      </c>
      <c r="GI73" s="90"/>
      <c r="GJ73" s="90"/>
      <c r="GK73" s="90"/>
      <c r="GL73" s="116"/>
      <c r="GM73" s="16">
        <f t="shared" si="37"/>
        <v>0</v>
      </c>
      <c r="GN73" s="90"/>
      <c r="GO73" s="90"/>
      <c r="GP73" s="90"/>
      <c r="GQ73" s="116"/>
      <c r="GR73" s="16">
        <f t="shared" si="38"/>
        <v>0</v>
      </c>
      <c r="GS73" s="90"/>
      <c r="GT73" s="90"/>
      <c r="GU73" s="90"/>
      <c r="GV73" s="116"/>
      <c r="GW73" s="16">
        <f t="shared" si="39"/>
        <v>0</v>
      </c>
      <c r="GX73" s="90"/>
      <c r="GY73" s="90"/>
      <c r="GZ73" s="90"/>
      <c r="HA73" s="116"/>
      <c r="HB73" s="16">
        <f t="shared" si="40"/>
        <v>0</v>
      </c>
      <c r="HC73" s="90"/>
      <c r="HD73" s="90"/>
      <c r="HE73" s="90"/>
      <c r="HF73" s="116"/>
      <c r="HG73" s="16">
        <f t="shared" si="41"/>
        <v>0</v>
      </c>
      <c r="HH73" s="90"/>
      <c r="HI73" s="90"/>
      <c r="HJ73" s="90"/>
      <c r="HK73" s="116"/>
      <c r="HL73" s="16">
        <f t="shared" si="42"/>
        <v>0</v>
      </c>
      <c r="HM73" s="90"/>
      <c r="HN73" s="90"/>
      <c r="HO73" s="90"/>
      <c r="HP73" s="116"/>
      <c r="HQ73" s="16">
        <f t="shared" si="43"/>
        <v>0</v>
      </c>
      <c r="HR73" s="90"/>
      <c r="HS73" s="90"/>
      <c r="HT73" s="90"/>
      <c r="HU73" s="116"/>
      <c r="HV73" s="16">
        <f t="shared" si="44"/>
        <v>0</v>
      </c>
      <c r="HW73" s="90"/>
      <c r="HX73" s="90"/>
      <c r="HY73" s="90"/>
      <c r="HZ73" s="116"/>
      <c r="IA73" s="16">
        <f t="shared" si="45"/>
        <v>0</v>
      </c>
      <c r="IB73" s="90"/>
      <c r="IC73" s="90"/>
      <c r="ID73" s="90"/>
      <c r="IE73" s="116"/>
      <c r="IF73" s="16">
        <f t="shared" si="46"/>
        <v>0</v>
      </c>
      <c r="IG73" s="90"/>
      <c r="IH73" s="90"/>
      <c r="II73" s="90"/>
      <c r="IJ73" s="116"/>
      <c r="IK73" s="16">
        <f t="shared" si="47"/>
        <v>0</v>
      </c>
      <c r="IL73" s="90"/>
      <c r="IM73" s="90"/>
      <c r="IN73" s="90"/>
      <c r="IO73" s="116"/>
      <c r="IP73" s="16">
        <f t="shared" si="48"/>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49"/>
        <v>0</v>
      </c>
      <c r="CC74" s="90"/>
      <c r="CD74" s="90"/>
      <c r="CE74" s="90"/>
      <c r="CF74" s="116"/>
      <c r="CG74" s="16">
        <f t="shared" si="16"/>
        <v>0</v>
      </c>
      <c r="CH74" s="90"/>
      <c r="CI74" s="90"/>
      <c r="CJ74" s="90"/>
      <c r="CK74" s="116"/>
      <c r="CL74" s="16">
        <f t="shared" si="17"/>
        <v>0</v>
      </c>
      <c r="CM74" s="90"/>
      <c r="CN74" s="90"/>
      <c r="CO74" s="90"/>
      <c r="CP74" s="116"/>
      <c r="CQ74" s="16">
        <f t="shared" si="18"/>
        <v>0</v>
      </c>
      <c r="CR74" s="90"/>
      <c r="CS74" s="90"/>
      <c r="CT74" s="90"/>
      <c r="CU74" s="116"/>
      <c r="CV74" s="16">
        <f t="shared" si="19"/>
        <v>0</v>
      </c>
      <c r="CW74" s="90"/>
      <c r="CX74" s="90"/>
      <c r="CY74" s="90"/>
      <c r="CZ74" s="116"/>
      <c r="DA74" s="16">
        <f t="shared" si="20"/>
        <v>0</v>
      </c>
      <c r="DB74" s="90"/>
      <c r="DC74" s="90"/>
      <c r="DD74" s="90"/>
      <c r="DE74" s="116"/>
      <c r="DF74" s="16">
        <f t="shared" si="21"/>
        <v>0</v>
      </c>
      <c r="DG74" s="90"/>
      <c r="DH74" s="90"/>
      <c r="DI74" s="90"/>
      <c r="DJ74" s="116"/>
      <c r="DK74" s="16">
        <f t="shared" si="22"/>
        <v>0</v>
      </c>
      <c r="DL74" s="90"/>
      <c r="DM74" s="90"/>
      <c r="DN74" s="90"/>
      <c r="DO74" s="116"/>
      <c r="DP74" s="16">
        <f t="shared" si="23"/>
        <v>0</v>
      </c>
      <c r="DQ74" s="90"/>
      <c r="DR74" s="90"/>
      <c r="DS74" s="90"/>
      <c r="DT74" s="116"/>
      <c r="DU74" s="16">
        <f t="shared" si="24"/>
        <v>0</v>
      </c>
      <c r="DV74" s="90"/>
      <c r="DW74" s="90"/>
      <c r="DX74" s="90"/>
      <c r="DY74" s="116"/>
      <c r="DZ74" s="16">
        <f t="shared" si="25"/>
        <v>0</v>
      </c>
      <c r="EA74" s="90"/>
      <c r="EB74" s="90"/>
      <c r="EC74" s="90"/>
      <c r="ED74" s="116"/>
      <c r="EE74" s="16">
        <f t="shared" si="26"/>
        <v>0</v>
      </c>
      <c r="EF74" s="90"/>
      <c r="EG74" s="90"/>
      <c r="EH74" s="90"/>
      <c r="EI74" s="116"/>
      <c r="EJ74" s="16">
        <f t="shared" si="27"/>
        <v>0</v>
      </c>
      <c r="EK74" s="90"/>
      <c r="EL74" s="90"/>
      <c r="EM74" s="90"/>
      <c r="EN74" s="116"/>
      <c r="EO74" s="16">
        <f t="shared" si="28"/>
        <v>0</v>
      </c>
      <c r="EP74" s="90"/>
      <c r="EQ74" s="90"/>
      <c r="ER74" s="90"/>
      <c r="ES74" s="116"/>
      <c r="ET74" s="16">
        <f t="shared" si="29"/>
        <v>0</v>
      </c>
      <c r="EU74" s="90"/>
      <c r="EV74" s="90"/>
      <c r="EW74" s="90"/>
      <c r="EX74" s="116"/>
      <c r="EY74" s="16">
        <f t="shared" si="30"/>
        <v>0</v>
      </c>
      <c r="EZ74" s="90"/>
      <c r="FA74" s="90"/>
      <c r="FB74" s="90"/>
      <c r="FC74" s="116"/>
      <c r="FD74" s="16">
        <f t="shared" si="31"/>
        <v>0</v>
      </c>
      <c r="FE74" s="90"/>
      <c r="FF74" s="90"/>
      <c r="FG74" s="90"/>
      <c r="FH74" s="116"/>
      <c r="FI74" s="16">
        <f t="shared" si="50"/>
        <v>0</v>
      </c>
      <c r="FJ74" s="90"/>
      <c r="FK74" s="90"/>
      <c r="FL74" s="90"/>
      <c r="FM74" s="116"/>
      <c r="FN74" s="16">
        <f t="shared" si="32"/>
        <v>0</v>
      </c>
      <c r="FO74" s="90"/>
      <c r="FP74" s="90"/>
      <c r="FQ74" s="90"/>
      <c r="FR74" s="116"/>
      <c r="FS74" s="16">
        <f t="shared" si="33"/>
        <v>0</v>
      </c>
      <c r="FT74" s="90"/>
      <c r="FU74" s="90"/>
      <c r="FV74" s="90"/>
      <c r="FW74" s="116"/>
      <c r="FX74" s="16">
        <f t="shared" si="34"/>
        <v>0</v>
      </c>
      <c r="FY74" s="90"/>
      <c r="FZ74" s="90"/>
      <c r="GA74" s="90"/>
      <c r="GB74" s="116"/>
      <c r="GC74" s="16">
        <f t="shared" si="35"/>
        <v>0</v>
      </c>
      <c r="GD74" s="90"/>
      <c r="GE74" s="90"/>
      <c r="GF74" s="90"/>
      <c r="GG74" s="116"/>
      <c r="GH74" s="16">
        <f t="shared" si="36"/>
        <v>0</v>
      </c>
      <c r="GI74" s="90"/>
      <c r="GJ74" s="90"/>
      <c r="GK74" s="90"/>
      <c r="GL74" s="116"/>
      <c r="GM74" s="16">
        <f t="shared" si="37"/>
        <v>0</v>
      </c>
      <c r="GN74" s="90"/>
      <c r="GO74" s="90"/>
      <c r="GP74" s="90"/>
      <c r="GQ74" s="116"/>
      <c r="GR74" s="16">
        <f t="shared" si="38"/>
        <v>0</v>
      </c>
      <c r="GS74" s="90"/>
      <c r="GT74" s="90"/>
      <c r="GU74" s="90"/>
      <c r="GV74" s="116"/>
      <c r="GW74" s="16">
        <f t="shared" si="39"/>
        <v>0</v>
      </c>
      <c r="GX74" s="90"/>
      <c r="GY74" s="90"/>
      <c r="GZ74" s="90"/>
      <c r="HA74" s="116"/>
      <c r="HB74" s="16">
        <f t="shared" si="40"/>
        <v>0</v>
      </c>
      <c r="HC74" s="90"/>
      <c r="HD74" s="90"/>
      <c r="HE74" s="90"/>
      <c r="HF74" s="116"/>
      <c r="HG74" s="16">
        <f t="shared" si="41"/>
        <v>0</v>
      </c>
      <c r="HH74" s="90"/>
      <c r="HI74" s="90"/>
      <c r="HJ74" s="90"/>
      <c r="HK74" s="116"/>
      <c r="HL74" s="16">
        <f t="shared" si="42"/>
        <v>0</v>
      </c>
      <c r="HM74" s="90"/>
      <c r="HN74" s="90"/>
      <c r="HO74" s="90"/>
      <c r="HP74" s="116"/>
      <c r="HQ74" s="16">
        <f t="shared" si="43"/>
        <v>0</v>
      </c>
      <c r="HR74" s="90"/>
      <c r="HS74" s="90"/>
      <c r="HT74" s="90"/>
      <c r="HU74" s="116"/>
      <c r="HV74" s="16">
        <f t="shared" si="44"/>
        <v>0</v>
      </c>
      <c r="HW74" s="90"/>
      <c r="HX74" s="90"/>
      <c r="HY74" s="90"/>
      <c r="HZ74" s="116"/>
      <c r="IA74" s="16">
        <f t="shared" si="45"/>
        <v>0</v>
      </c>
      <c r="IB74" s="90"/>
      <c r="IC74" s="90"/>
      <c r="ID74" s="90"/>
      <c r="IE74" s="116"/>
      <c r="IF74" s="16">
        <f t="shared" si="46"/>
        <v>0</v>
      </c>
      <c r="IG74" s="90"/>
      <c r="IH74" s="90"/>
      <c r="II74" s="90"/>
      <c r="IJ74" s="116"/>
      <c r="IK74" s="16">
        <f t="shared" si="47"/>
        <v>0</v>
      </c>
      <c r="IL74" s="90"/>
      <c r="IM74" s="90"/>
      <c r="IN74" s="90"/>
      <c r="IO74" s="116"/>
      <c r="IP74" s="16">
        <f t="shared" si="48"/>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2" priority="192">
      <formula>IF(A25&gt;0,A25&lt;20)</formula>
    </cfRule>
  </conditionalFormatting>
  <conditionalFormatting sqref="F20:F208">
    <cfRule type="expression" dxfId="1571" priority="73">
      <formula>IF(F20&gt;0,F20&lt;20)</formula>
    </cfRule>
  </conditionalFormatting>
  <conditionalFormatting sqref="K22:K208">
    <cfRule type="expression" dxfId="1570" priority="72">
      <formula>IF(K22&gt;0,K22&lt;20)</formula>
    </cfRule>
  </conditionalFormatting>
  <conditionalFormatting sqref="P14:P208">
    <cfRule type="expression" dxfId="1569" priority="71">
      <formula>IF(P14&gt;0,P14&lt;20)</formula>
    </cfRule>
  </conditionalFormatting>
  <conditionalFormatting sqref="U22:U208">
    <cfRule type="expression" dxfId="1568" priority="70">
      <formula>IF(U22&gt;0,U22&lt;20)</formula>
    </cfRule>
  </conditionalFormatting>
  <conditionalFormatting sqref="Z17:Z208">
    <cfRule type="expression" dxfId="1567" priority="69">
      <formula>IF(Z17&gt;0,Z17&lt;20)</formula>
    </cfRule>
  </conditionalFormatting>
  <conditionalFormatting sqref="AE15:AE208">
    <cfRule type="expression" dxfId="1566" priority="68">
      <formula>IF(AE15&gt;0,AE15&lt;20)</formula>
    </cfRule>
  </conditionalFormatting>
  <conditionalFormatting sqref="AJ25:AJ208">
    <cfRule type="expression" dxfId="1565" priority="67">
      <formula>IF(AJ25&gt;0,AJ25&lt;20)</formula>
    </cfRule>
  </conditionalFormatting>
  <conditionalFormatting sqref="AO16:AO208">
    <cfRule type="expression" dxfId="1564" priority="66">
      <formula>IF(AO16&gt;0,AO16&lt;20)</formula>
    </cfRule>
  </conditionalFormatting>
  <conditionalFormatting sqref="AT14:AT208">
    <cfRule type="expression" dxfId="1563" priority="65">
      <formula>IF(AT14&gt;0,AT14&lt;20)</formula>
    </cfRule>
  </conditionalFormatting>
  <conditionalFormatting sqref="AY9:AY208">
    <cfRule type="expression" dxfId="1562" priority="64">
      <formula>IF(AY9&gt;0,AY9&lt;20)</formula>
    </cfRule>
  </conditionalFormatting>
  <conditionalFormatting sqref="BD9:BD208">
    <cfRule type="expression" dxfId="1561" priority="63">
      <formula>IF(BD9&gt;0,BD9&lt;20)</formula>
    </cfRule>
  </conditionalFormatting>
  <conditionalFormatting sqref="BI9:BI208">
    <cfRule type="expression" dxfId="1560" priority="62">
      <formula>IF(BI9&gt;0,BI9&lt;20)</formula>
    </cfRule>
  </conditionalFormatting>
  <conditionalFormatting sqref="BN9:BN208">
    <cfRule type="expression" dxfId="1559" priority="61">
      <formula>IF(BN9&gt;0,BN9&lt;20)</formula>
    </cfRule>
  </conditionalFormatting>
  <conditionalFormatting sqref="BS9:BS208">
    <cfRule type="expression" dxfId="1558" priority="60">
      <formula>IF(BS9&gt;0,BS9&lt;20)</formula>
    </cfRule>
  </conditionalFormatting>
  <conditionalFormatting sqref="BX9:BX208">
    <cfRule type="expression" dxfId="1557" priority="59">
      <formula>IF(BX9&gt;0,BX9&lt;20)</formula>
    </cfRule>
  </conditionalFormatting>
  <conditionalFormatting sqref="CC9:CC208">
    <cfRule type="expression" dxfId="1556" priority="58">
      <formula>IF(CC9&gt;0,CC9&lt;20)</formula>
    </cfRule>
  </conditionalFormatting>
  <conditionalFormatting sqref="CH9:CH208">
    <cfRule type="expression" dxfId="1555" priority="57">
      <formula>IF(CH9&gt;0,CH9&lt;20)</formula>
    </cfRule>
  </conditionalFormatting>
  <conditionalFormatting sqref="CM9:CM208">
    <cfRule type="expression" dxfId="1554" priority="56">
      <formula>IF(CM9&gt;0,CM9&lt;20)</formula>
    </cfRule>
  </conditionalFormatting>
  <conditionalFormatting sqref="CR9:CR208">
    <cfRule type="expression" dxfId="1553" priority="55">
      <formula>IF(CR9&gt;0,CR9&lt;20)</formula>
    </cfRule>
  </conditionalFormatting>
  <conditionalFormatting sqref="CW9:CW208">
    <cfRule type="expression" dxfId="1552" priority="54">
      <formula>IF(CW9&gt;0,CW9&lt;20)</formula>
    </cfRule>
  </conditionalFormatting>
  <conditionalFormatting sqref="DB9:DB208">
    <cfRule type="expression" dxfId="1551" priority="53">
      <formula>IF(DB9&gt;0,DB9&lt;20)</formula>
    </cfRule>
  </conditionalFormatting>
  <conditionalFormatting sqref="DG9:DG208">
    <cfRule type="expression" dxfId="1550" priority="52">
      <formula>IF(DG9&gt;0,DG9&lt;20)</formula>
    </cfRule>
  </conditionalFormatting>
  <conditionalFormatting sqref="DL9:DL208">
    <cfRule type="expression" dxfId="1549" priority="51">
      <formula>IF(DL9&gt;0,DL9&lt;20)</formula>
    </cfRule>
  </conditionalFormatting>
  <conditionalFormatting sqref="DQ9:DQ208">
    <cfRule type="expression" dxfId="1548" priority="50">
      <formula>IF(DQ9&gt;0,DQ9&lt;20)</formula>
    </cfRule>
  </conditionalFormatting>
  <conditionalFormatting sqref="DV9:DV208">
    <cfRule type="expression" dxfId="1547" priority="49">
      <formula>IF(DV9&gt;0,DV9&lt;20)</formula>
    </cfRule>
  </conditionalFormatting>
  <conditionalFormatting sqref="EA9:EA208">
    <cfRule type="expression" dxfId="1546" priority="48">
      <formula>IF(EA9&gt;0,EA9&lt;20)</formula>
    </cfRule>
  </conditionalFormatting>
  <conditionalFormatting sqref="EF12:EF208">
    <cfRule type="expression" dxfId="1545" priority="47">
      <formula>IF(EF12&gt;0,EF12&lt;20)</formula>
    </cfRule>
  </conditionalFormatting>
  <conditionalFormatting sqref="EK9:EK208">
    <cfRule type="expression" dxfId="1544" priority="46">
      <formula>IF(EK9&gt;0,EK9&lt;20)</formula>
    </cfRule>
  </conditionalFormatting>
  <conditionalFormatting sqref="EP9:EP208">
    <cfRule type="expression" dxfId="1543" priority="45">
      <formula>IF(EP9&gt;0,EP9&lt;20)</formula>
    </cfRule>
  </conditionalFormatting>
  <conditionalFormatting sqref="EU9:EU208">
    <cfRule type="expression" dxfId="1542" priority="44">
      <formula>IF(EU9&gt;0,EU9&lt;20)</formula>
    </cfRule>
  </conditionalFormatting>
  <conditionalFormatting sqref="EZ9:EZ208">
    <cfRule type="expression" dxfId="1541" priority="43">
      <formula>IF(EZ9&gt;0,EZ9&lt;20)</formula>
    </cfRule>
  </conditionalFormatting>
  <conditionalFormatting sqref="FE9:FE208">
    <cfRule type="expression" dxfId="1540" priority="42">
      <formula>IF(FE9&gt;0,FE9&lt;20)</formula>
    </cfRule>
  </conditionalFormatting>
  <conditionalFormatting sqref="IL9:IL208">
    <cfRule type="expression" dxfId="1539" priority="25">
      <formula>IF(IL9&gt;0,IL9&lt;20)</formula>
    </cfRule>
  </conditionalFormatting>
  <conditionalFormatting sqref="FJ9:FJ208">
    <cfRule type="expression" dxfId="1538" priority="41">
      <formula>IF(FJ9&gt;0,FJ9&lt;20)</formula>
    </cfRule>
  </conditionalFormatting>
  <conditionalFormatting sqref="FO9:FO208">
    <cfRule type="expression" dxfId="1537" priority="40">
      <formula>IF(FO9&gt;0,FO9&lt;20)</formula>
    </cfRule>
  </conditionalFormatting>
  <conditionalFormatting sqref="FT9:FT208">
    <cfRule type="expression" dxfId="1536" priority="39">
      <formula>IF(FT9&gt;0,FT9&lt;20)</formula>
    </cfRule>
  </conditionalFormatting>
  <conditionalFormatting sqref="FY9:FY208">
    <cfRule type="expression" dxfId="1535" priority="38">
      <formula>IF(FY9&gt;0,FY9&lt;20)</formula>
    </cfRule>
  </conditionalFormatting>
  <conditionalFormatting sqref="GD9:GD208">
    <cfRule type="expression" dxfId="1534" priority="37">
      <formula>IF(GD9&gt;0,GD9&lt;20)</formula>
    </cfRule>
  </conditionalFormatting>
  <conditionalFormatting sqref="GI9:GI208">
    <cfRule type="expression" dxfId="1533" priority="36">
      <formula>IF(GI9&gt;0,GI9&lt;20)</formula>
    </cfRule>
  </conditionalFormatting>
  <conditionalFormatting sqref="GN9:GN208">
    <cfRule type="expression" dxfId="1532" priority="35">
      <formula>IF(GN9&gt;0,GN9&lt;20)</formula>
    </cfRule>
  </conditionalFormatting>
  <conditionalFormatting sqref="GS9:GS208">
    <cfRule type="expression" dxfId="1531" priority="34">
      <formula>IF(GS9&gt;0,GS9&lt;20)</formula>
    </cfRule>
  </conditionalFormatting>
  <conditionalFormatting sqref="GX9:GX208">
    <cfRule type="expression" dxfId="1530" priority="33">
      <formula>IF(GX9&gt;0,GX9&lt;20)</formula>
    </cfRule>
  </conditionalFormatting>
  <conditionalFormatting sqref="HC9:HC208">
    <cfRule type="expression" dxfId="1529" priority="32">
      <formula>IF(HC9&gt;0,HC9&lt;20)</formula>
    </cfRule>
  </conditionalFormatting>
  <conditionalFormatting sqref="HH9:HH208">
    <cfRule type="expression" dxfId="1528" priority="31">
      <formula>IF(HH9&gt;0,HH9&lt;20)</formula>
    </cfRule>
  </conditionalFormatting>
  <conditionalFormatting sqref="HM9:HM208">
    <cfRule type="expression" dxfId="1527" priority="30">
      <formula>IF(HM9&gt;0,HM9&lt;20)</formula>
    </cfRule>
  </conditionalFormatting>
  <conditionalFormatting sqref="HR9:HR208">
    <cfRule type="expression" dxfId="1526" priority="29">
      <formula>IF(HR9&gt;0,HR9&lt;20)</formula>
    </cfRule>
  </conditionalFormatting>
  <conditionalFormatting sqref="HW9:HW208">
    <cfRule type="expression" dxfId="1525" priority="28">
      <formula>IF(HW9&gt;0,HW9&lt;20)</formula>
    </cfRule>
  </conditionalFormatting>
  <conditionalFormatting sqref="IB9:IB208">
    <cfRule type="expression" dxfId="1524" priority="27">
      <formula>IF(IB9&gt;0,IB9&lt;20)</formula>
    </cfRule>
  </conditionalFormatting>
  <conditionalFormatting sqref="IG9:IG208">
    <cfRule type="expression" dxfId="1523" priority="26">
      <formula>IF(IG9&gt;0,IG9&lt;20)</formula>
    </cfRule>
  </conditionalFormatting>
  <conditionalFormatting sqref="A19:A24">
    <cfRule type="expression" dxfId="1522" priority="23">
      <formula>IF(A19&gt;0,A19&lt;20)</formula>
    </cfRule>
  </conditionalFormatting>
  <conditionalFormatting sqref="F12:F19">
    <cfRule type="expression" dxfId="1521" priority="22">
      <formula>IF(F12&gt;0,F12&lt;20)</formula>
    </cfRule>
  </conditionalFormatting>
  <conditionalFormatting sqref="K14:K21">
    <cfRule type="expression" dxfId="1520" priority="21">
      <formula>IF(K14&gt;0,K14&lt;20)</formula>
    </cfRule>
  </conditionalFormatting>
  <conditionalFormatting sqref="P12:P13">
    <cfRule type="expression" dxfId="1519" priority="19">
      <formula>IF(P12&gt;0,P12&lt;20)</formula>
    </cfRule>
  </conditionalFormatting>
  <conditionalFormatting sqref="U10:U21">
    <cfRule type="expression" dxfId="1518" priority="18">
      <formula>IF(U10&gt;0,U10&lt;20)</formula>
    </cfRule>
  </conditionalFormatting>
  <conditionalFormatting sqref="AJ11:AJ24">
    <cfRule type="expression" dxfId="1517" priority="15">
      <formula>IF(AJ11&gt;0,AJ11&lt;20)</formula>
    </cfRule>
  </conditionalFormatting>
  <conditionalFormatting sqref="F9:F11">
    <cfRule type="expression" dxfId="1516" priority="14">
      <formula>IF(F9&gt;0,F9&lt;20)</formula>
    </cfRule>
  </conditionalFormatting>
  <conditionalFormatting sqref="K13:K14">
    <cfRule type="expression" dxfId="1515" priority="13">
      <formula>IF(K13&gt;0,K13&lt;20)</formula>
    </cfRule>
  </conditionalFormatting>
  <conditionalFormatting sqref="K9:K13">
    <cfRule type="expression" dxfId="1514" priority="12">
      <formula>IF(K9&gt;0,K9&lt;20)</formula>
    </cfRule>
  </conditionalFormatting>
  <conditionalFormatting sqref="P9:P11">
    <cfRule type="expression" dxfId="1513" priority="11">
      <formula>IF(P9&gt;0,P9&lt;20)</formula>
    </cfRule>
  </conditionalFormatting>
  <conditionalFormatting sqref="U9">
    <cfRule type="expression" dxfId="1512" priority="10">
      <formula>IF(U9&gt;0,U9&lt;20)</formula>
    </cfRule>
  </conditionalFormatting>
  <conditionalFormatting sqref="Z9:Z16">
    <cfRule type="expression" dxfId="1511" priority="9">
      <formula>IF(Z9&gt;0,Z9&lt;20)</formula>
    </cfRule>
  </conditionalFormatting>
  <conditionalFormatting sqref="AE13:AE14">
    <cfRule type="expression" dxfId="1510" priority="8">
      <formula>IF(AE13&gt;0,AE13&lt;20)</formula>
    </cfRule>
  </conditionalFormatting>
  <conditionalFormatting sqref="AE9:AE12">
    <cfRule type="expression" dxfId="1509" priority="7">
      <formula>IF(AE9&gt;0,AE9&lt;20)</formula>
    </cfRule>
  </conditionalFormatting>
  <conditionalFormatting sqref="AJ9:AJ10">
    <cfRule type="expression" dxfId="1508" priority="6">
      <formula>IF(AJ9&gt;0,AJ9&lt;20)</formula>
    </cfRule>
  </conditionalFormatting>
  <conditionalFormatting sqref="AO9:AO15">
    <cfRule type="expression" dxfId="1507" priority="5">
      <formula>IF(AO9&gt;0,AO9&lt;20)</formula>
    </cfRule>
  </conditionalFormatting>
  <conditionalFormatting sqref="AT9:AT13">
    <cfRule type="expression" dxfId="1506" priority="4">
      <formula>IF(AT9&gt;0,AT9&lt;20)</formula>
    </cfRule>
  </conditionalFormatting>
  <conditionalFormatting sqref="A9">
    <cfRule type="expression" dxfId="1505" priority="3">
      <formula>AND(A$9&lt;&gt;"",A$9&lt;20)</formula>
    </cfRule>
  </conditionalFormatting>
  <conditionalFormatting sqref="A10:A18">
    <cfRule type="expression" dxfId="1504" priority="2">
      <formula>AND(A10&lt;&gt;"",A10&lt;20)</formula>
    </cfRule>
  </conditionalFormatting>
  <conditionalFormatting sqref="EF9:EF11">
    <cfRule type="expression" dxfId="1503" priority="1">
      <formula>IF(EF9&gt;0,EF9&lt;20)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1121" zoomScaleNormal="100" workbookViewId="0">
      <selection activeCell="F1134" sqref="F1134"/>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9" t="s">
        <v>731</v>
      </c>
      <c r="D1" s="330"/>
      <c r="E1" s="88"/>
      <c r="F1" s="88"/>
      <c r="G1" s="89" t="s">
        <v>186</v>
      </c>
      <c r="H1" s="327" t="s">
        <v>827</v>
      </c>
      <c r="I1" s="328"/>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9" t="s">
        <v>732</v>
      </c>
      <c r="D2" s="330"/>
      <c r="E2" s="88"/>
      <c r="F2" s="88"/>
      <c r="G2" s="89" t="s">
        <v>207</v>
      </c>
      <c r="H2" s="327" t="s">
        <v>828</v>
      </c>
      <c r="I2" s="328"/>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 xml:space="preserve">FA_IMPORT_A02SZL1 </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3" t="s">
        <v>222</v>
      </c>
      <c r="C6" s="314"/>
      <c r="D6" s="315" t="s">
        <v>223</v>
      </c>
      <c r="E6" s="306"/>
      <c r="F6" s="88"/>
      <c r="G6" s="316" t="s">
        <v>224</v>
      </c>
      <c r="H6" s="317"/>
      <c r="I6" s="28">
        <f>SUM(E17:E41)</f>
        <v>60</v>
      </c>
      <c r="J6" s="318" t="s">
        <v>225</v>
      </c>
      <c r="K6" s="319"/>
      <c r="L6" s="306"/>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6" t="s">
        <v>226</v>
      </c>
      <c r="AA6" s="297"/>
      <c r="AB6" s="298"/>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5" t="s">
        <v>230</v>
      </c>
      <c r="H7" s="306"/>
      <c r="I7" s="33">
        <f>E8-I6</f>
        <v>12</v>
      </c>
      <c r="J7" s="290" t="s">
        <v>231</v>
      </c>
      <c r="K7" s="291"/>
      <c r="L7" s="34">
        <f>I11</f>
        <v>805</v>
      </c>
      <c r="M7" s="196">
        <v>4</v>
      </c>
      <c r="N7" s="35">
        <f>SUM(AI7,AI18)</f>
        <v>0</v>
      </c>
      <c r="O7" s="35">
        <v>0</v>
      </c>
      <c r="P7" s="35">
        <f>SUM(AJ7,AJ18)</f>
        <v>0</v>
      </c>
      <c r="Q7" s="35">
        <v>0</v>
      </c>
      <c r="R7" s="35">
        <f>COUNTIFS($E17:$E41,"4",$F17:$F41,"Pole",$C17:$C41,"FST")</f>
        <v>0</v>
      </c>
      <c r="S7" s="35">
        <f>SUM(AL7,AK18)</f>
        <v>0</v>
      </c>
      <c r="T7" s="35">
        <v>0</v>
      </c>
      <c r="U7" s="35">
        <f>SUM(AK7,AL18)</f>
        <v>3</v>
      </c>
      <c r="V7" s="35">
        <v>0</v>
      </c>
      <c r="W7" s="34">
        <f>COUNTIFS($E17:$E41,"4",$F17:$F41,"HH",$C17:$C41,"FST")</f>
        <v>3</v>
      </c>
      <c r="X7" s="35">
        <f>COUNTIFS($E17:$E41,"4",$F17:$F41,"Ped",$C17:$C41,"FST")</f>
        <v>0</v>
      </c>
      <c r="Y7" s="25"/>
      <c r="Z7" s="299" t="s">
        <v>232</v>
      </c>
      <c r="AA7" s="301" t="s">
        <v>233</v>
      </c>
      <c r="AB7" s="302"/>
      <c r="AC7" s="25"/>
      <c r="AD7" s="25"/>
      <c r="AH7" s="109">
        <v>4</v>
      </c>
      <c r="AI7" s="109" t="str">
        <f>IF($E7="SS",COUNTIFS($C17:$C41,"FST",$E17:$E41,"4"),"0")</f>
        <v>0</v>
      </c>
      <c r="AJ7" s="109" t="str">
        <f>IF($E7="RPX",COUNTIFS($C17:$C41,"FST",$E17:$E41,"4"),"0")</f>
        <v>0</v>
      </c>
      <c r="AK7" s="109">
        <f>IF($E7="EUC",COUNTIFS($C17:$C41,"FST",$E17:$E41,"4"),"0")</f>
        <v>3</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72</v>
      </c>
      <c r="F8" s="88"/>
      <c r="G8" s="292" t="s">
        <v>237</v>
      </c>
      <c r="H8" s="293"/>
      <c r="I8" s="35">
        <f>IF(E8=0,0,12-(MOD(I6,12)))</f>
        <v>12</v>
      </c>
      <c r="J8" s="290" t="s">
        <v>238</v>
      </c>
      <c r="K8" s="291"/>
      <c r="L8" s="39">
        <f>I12-I6</f>
        <v>804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0"/>
      <c r="AA8" s="303"/>
      <c r="AB8" s="304"/>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12</v>
      </c>
      <c r="F9" s="88"/>
      <c r="G9" s="322" t="s">
        <v>242</v>
      </c>
      <c r="H9" s="43" t="s">
        <v>243</v>
      </c>
      <c r="I9" s="35">
        <f>IF(E9&lt;&gt;0,1,0)</f>
        <v>1</v>
      </c>
      <c r="J9" s="292" t="s">
        <v>244</v>
      </c>
      <c r="K9" s="293"/>
      <c r="L9" s="44">
        <f>'Cable Calculator'!D3</f>
        <v>1771</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805</v>
      </c>
      <c r="F10" s="88"/>
      <c r="G10" s="323"/>
      <c r="H10" s="47" t="s">
        <v>248</v>
      </c>
      <c r="I10" s="35">
        <f>IF(E9&lt;&gt;0,E9,0)</f>
        <v>12</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6</v>
      </c>
      <c r="F11" s="88"/>
      <c r="G11" s="322" t="s">
        <v>251</v>
      </c>
      <c r="H11" s="51" t="s">
        <v>252</v>
      </c>
      <c r="I11" s="112">
        <f>E10</f>
        <v>805</v>
      </c>
      <c r="J11" s="324" t="s">
        <v>253</v>
      </c>
      <c r="K11" s="325"/>
      <c r="L11" s="326"/>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3"/>
      <c r="H12" s="47" t="s">
        <v>257</v>
      </c>
      <c r="I12" s="35">
        <f>IF(E10="","0",IF(AND(E7="EUC",E8=432), I11+(203-E9),IF(E10=0,0,(E10+(E8-E9)-1))))</f>
        <v>864</v>
      </c>
      <c r="J12" s="287" t="str">
        <f>IFERROR(IF(OR(E7="EUC",E7="SS"),"---",IF(OR(P6,S6),"NO 2F Tethers for RPX!",IF(OR(P8,S8),"NO 6F Tethers for RPX!","---"))),"---")</f>
        <v>---</v>
      </c>
      <c r="K12" s="288"/>
      <c r="L12" s="289"/>
      <c r="M12" s="287" t="str">
        <f>IF(E9&gt;60,"Dead Count &gt;60: Consider Downsize","---")</f>
        <v>---</v>
      </c>
      <c r="N12" s="288"/>
      <c r="O12" s="288"/>
      <c r="P12" s="288"/>
      <c r="Q12" s="288"/>
      <c r="R12" s="288"/>
      <c r="S12" s="288"/>
      <c r="T12" s="288"/>
      <c r="U12" s="289"/>
      <c r="V12" s="100"/>
      <c r="W12" s="54">
        <f>SUM(P12:U12)</f>
        <v>0</v>
      </c>
      <c r="X12" s="54"/>
      <c r="Y12" s="25"/>
      <c r="Z12" s="45">
        <v>4</v>
      </c>
      <c r="AA12" s="46">
        <v>37</v>
      </c>
      <c r="AB12" s="46">
        <v>48</v>
      </c>
      <c r="AC12" s="25"/>
      <c r="AD12" s="25"/>
    </row>
    <row r="13" spans="1:53" ht="16.5" thickTop="1" thickBot="1" x14ac:dyDescent="0.3">
      <c r="A13" s="88"/>
      <c r="B13" s="55" t="s">
        <v>258</v>
      </c>
      <c r="C13" s="56">
        <f>SUM(C7:C12)+I6</f>
        <v>60</v>
      </c>
      <c r="D13" s="31" t="s">
        <v>259</v>
      </c>
      <c r="E13" s="101" t="str">
        <f>IF(AS7="Y","DBL",IF(AS8="Y","TRPL",IF(AS9="Y","QUAD","")))</f>
        <v/>
      </c>
      <c r="F13" s="88"/>
      <c r="G13" s="192"/>
      <c r="H13" s="57"/>
      <c r="I13" s="192"/>
      <c r="J13" s="287"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8"/>
      <c r="L13" s="289"/>
      <c r="M13" s="287" t="str">
        <f>IF(AND(OR(E7="SS",E7="RPX",E7="EUC",E7="RPX-T"),(OR(C17="",C17="Field SPL"))),"Cannot have FlexNap cables without tethers","---")</f>
        <v>---</v>
      </c>
      <c r="N13" s="288"/>
      <c r="O13" s="288"/>
      <c r="P13" s="288"/>
      <c r="Q13" s="288"/>
      <c r="R13" s="288"/>
      <c r="S13" s="288"/>
      <c r="T13" s="288"/>
      <c r="U13" s="289"/>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7" t="str">
        <f>IF(AND(OR(E7="RPX", E7="RPX-T", E7="SS"),E8=216),"NO 216 For RPX, RPX-T, OR SS CABLE","---")</f>
        <v>---</v>
      </c>
      <c r="K14" s="288"/>
      <c r="L14" s="289"/>
      <c r="M14" s="287" t="str" cm="1">
        <f t="array" ref="M14">IF(AND(E7="",OR(C17:C41="FST",C17:C41="REV T",C17:C41="DBL REV",C17:C41="TPL REV", C17:C41="QD REV")),"Non-FlexNap cables cannot have tethers","---")</f>
        <v>---</v>
      </c>
      <c r="N14" s="288"/>
      <c r="O14" s="288"/>
      <c r="P14" s="288"/>
      <c r="Q14" s="288"/>
      <c r="R14" s="288"/>
      <c r="S14" s="288"/>
      <c r="T14" s="288"/>
      <c r="U14" s="289"/>
      <c r="V14" s="25"/>
      <c r="W14" s="58"/>
      <c r="X14" s="58"/>
      <c r="Y14" s="25"/>
      <c r="Z14" s="45">
        <v>6</v>
      </c>
      <c r="AA14" s="65">
        <v>61</v>
      </c>
      <c r="AB14" s="65">
        <v>72</v>
      </c>
      <c r="AC14" s="25"/>
      <c r="AD14" s="25"/>
    </row>
    <row r="15" spans="1:53" ht="15.75" customHeight="1" thickBot="1" x14ac:dyDescent="0.3">
      <c r="A15" s="88"/>
      <c r="B15" s="322" t="s">
        <v>260</v>
      </c>
      <c r="C15" s="294" t="s">
        <v>261</v>
      </c>
      <c r="D15" s="294" t="s">
        <v>262</v>
      </c>
      <c r="E15" s="307" t="s">
        <v>263</v>
      </c>
      <c r="F15" s="294" t="s">
        <v>264</v>
      </c>
      <c r="G15" s="309" t="s">
        <v>265</v>
      </c>
      <c r="H15" s="309" t="s">
        <v>266</v>
      </c>
      <c r="I15" s="309" t="s">
        <v>267</v>
      </c>
      <c r="J15" s="311" t="s">
        <v>268</v>
      </c>
      <c r="K15" s="294" t="s">
        <v>269</v>
      </c>
      <c r="L15" s="281" t="s">
        <v>270</v>
      </c>
      <c r="M15" s="283" t="s">
        <v>271</v>
      </c>
      <c r="N15" s="283"/>
      <c r="O15" s="283"/>
      <c r="P15" s="283"/>
      <c r="Q15" s="283"/>
      <c r="R15" s="283"/>
      <c r="S15" s="283"/>
      <c r="T15" s="283"/>
      <c r="U15" s="284"/>
      <c r="V15" s="107"/>
      <c r="W15" s="72"/>
      <c r="X15" s="72"/>
      <c r="Y15" s="72"/>
      <c r="Z15" s="45">
        <v>7</v>
      </c>
      <c r="AA15" s="65">
        <v>73</v>
      </c>
      <c r="AB15" s="65">
        <v>84</v>
      </c>
      <c r="AC15" s="25"/>
      <c r="AD15" s="25"/>
    </row>
    <row r="16" spans="1:53" ht="15.75" thickBot="1" x14ac:dyDescent="0.3">
      <c r="A16" s="88"/>
      <c r="B16" s="323"/>
      <c r="C16" s="295"/>
      <c r="D16" s="295"/>
      <c r="E16" s="308"/>
      <c r="F16" s="295"/>
      <c r="G16" s="310"/>
      <c r="H16" s="310"/>
      <c r="I16" s="310"/>
      <c r="J16" s="312"/>
      <c r="K16" s="295"/>
      <c r="L16" s="282"/>
      <c r="M16" s="285"/>
      <c r="N16" s="285"/>
      <c r="O16" s="285"/>
      <c r="P16" s="285"/>
      <c r="Q16" s="285"/>
      <c r="R16" s="285"/>
      <c r="S16" s="285"/>
      <c r="T16" s="285"/>
      <c r="U16" s="286"/>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733</v>
      </c>
      <c r="E17" s="32">
        <v>4</v>
      </c>
      <c r="F17" s="32" t="s">
        <v>488</v>
      </c>
      <c r="G17" s="68" t="s">
        <v>277</v>
      </c>
      <c r="H17" s="69">
        <f>IF(I17=0,0,I17-(E17-1))</f>
        <v>861</v>
      </c>
      <c r="I17" s="70">
        <f>IF(E17=0,0,I12)</f>
        <v>864</v>
      </c>
      <c r="J17" s="71" t="s">
        <v>278</v>
      </c>
      <c r="K17" s="32"/>
      <c r="L17" s="233"/>
      <c r="M17" s="279"/>
      <c r="N17" s="279"/>
      <c r="O17" s="279"/>
      <c r="P17" s="279"/>
      <c r="Q17" s="279"/>
      <c r="R17" s="279"/>
      <c r="S17" s="279"/>
      <c r="T17" s="279"/>
      <c r="U17" s="280"/>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861-864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734</v>
      </c>
      <c r="E18" s="32">
        <v>4</v>
      </c>
      <c r="F18" s="32" t="s">
        <v>488</v>
      </c>
      <c r="G18" s="68" t="s">
        <v>277</v>
      </c>
      <c r="H18" s="69">
        <f t="shared" ref="H18:H41" si="9">IF(E18=0,0,I18-(E18-1))</f>
        <v>857</v>
      </c>
      <c r="I18" s="70">
        <f t="shared" ref="I18:I41" si="10">IF(E18=0,0,H17-1)</f>
        <v>860</v>
      </c>
      <c r="J18" s="73" t="str">
        <f>IF(C18="","--",IF(AND(C18&lt;&gt;"FST",C18&lt;&gt;"TCF",BA17&lt;&gt;0),BA17,"--"))</f>
        <v>--</v>
      </c>
      <c r="K18" s="32"/>
      <c r="L18" s="233"/>
      <c r="M18" s="279"/>
      <c r="N18" s="279"/>
      <c r="O18" s="279"/>
      <c r="P18" s="279"/>
      <c r="Q18" s="279"/>
      <c r="R18" s="279"/>
      <c r="S18" s="279"/>
      <c r="T18" s="279"/>
      <c r="U18" s="280"/>
      <c r="V18" s="103"/>
      <c r="W18" s="72"/>
      <c r="X18" s="72"/>
      <c r="Y18" s="72"/>
      <c r="Z18" s="45">
        <v>10</v>
      </c>
      <c r="AA18" s="46">
        <v>109</v>
      </c>
      <c r="AB18" s="46">
        <v>120</v>
      </c>
      <c r="AC18" s="72">
        <f t="shared" si="0"/>
        <v>1</v>
      </c>
      <c r="AD18" s="72">
        <f t="shared" si="1"/>
        <v>0</v>
      </c>
      <c r="AE18" s="109" t="str">
        <f t="shared" si="2"/>
        <v>857-860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8</v>
      </c>
    </row>
    <row r="19" spans="1:53" ht="15.75" thickBot="1" x14ac:dyDescent="0.3">
      <c r="A19" s="88"/>
      <c r="B19" s="74" t="s">
        <v>280</v>
      </c>
      <c r="C19" s="67" t="s">
        <v>484</v>
      </c>
      <c r="D19" s="102" t="s">
        <v>816</v>
      </c>
      <c r="E19" s="32">
        <v>4</v>
      </c>
      <c r="F19" s="32" t="s">
        <v>488</v>
      </c>
      <c r="G19" s="75" t="s">
        <v>277</v>
      </c>
      <c r="H19" s="69">
        <f t="shared" si="9"/>
        <v>853</v>
      </c>
      <c r="I19" s="70">
        <f t="shared" si="10"/>
        <v>856</v>
      </c>
      <c r="J19" s="73" t="str">
        <f t="shared" ref="J19:J41" si="11">IF(C19="","--",IF(AND(C19&lt;&gt;"FST",C19&lt;&gt;"TCF",BA18&lt;&gt;0),BA18,"--"))</f>
        <v>--</v>
      </c>
      <c r="K19" s="32"/>
      <c r="L19" s="233"/>
      <c r="M19" s="279"/>
      <c r="N19" s="279"/>
      <c r="O19" s="279"/>
      <c r="P19" s="279"/>
      <c r="Q19" s="279"/>
      <c r="R19" s="279"/>
      <c r="S19" s="279"/>
      <c r="T19" s="279"/>
      <c r="U19" s="280"/>
      <c r="V19" s="103"/>
      <c r="W19" s="72"/>
      <c r="X19" s="72"/>
      <c r="Y19" s="72"/>
      <c r="Z19" s="45">
        <v>11</v>
      </c>
      <c r="AA19" s="46">
        <v>121</v>
      </c>
      <c r="AB19" s="46">
        <v>132</v>
      </c>
      <c r="AC19" s="72">
        <f t="shared" si="0"/>
        <v>1</v>
      </c>
      <c r="AD19" s="72">
        <f t="shared" si="1"/>
        <v>0</v>
      </c>
      <c r="AE19" s="109" t="str">
        <f t="shared" si="2"/>
        <v>853-856</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502</v>
      </c>
      <c r="D20" s="102"/>
      <c r="E20" s="32">
        <v>48</v>
      </c>
      <c r="F20" s="32"/>
      <c r="G20" s="68" t="s">
        <v>277</v>
      </c>
      <c r="H20" s="69">
        <f t="shared" si="9"/>
        <v>805</v>
      </c>
      <c r="I20" s="70">
        <f t="shared" si="10"/>
        <v>852</v>
      </c>
      <c r="J20" s="73" t="str">
        <f t="shared" si="11"/>
        <v>--</v>
      </c>
      <c r="K20" s="32"/>
      <c r="L20" s="233"/>
      <c r="M20" s="279" t="s">
        <v>404</v>
      </c>
      <c r="N20" s="279"/>
      <c r="O20" s="279"/>
      <c r="P20" s="279"/>
      <c r="Q20" s="279"/>
      <c r="R20" s="279"/>
      <c r="S20" s="279"/>
      <c r="T20" s="279"/>
      <c r="U20" s="280"/>
      <c r="V20" s="103"/>
      <c r="W20" s="72"/>
      <c r="X20" s="72"/>
      <c r="Y20" s="72"/>
      <c r="Z20" s="45">
        <v>12</v>
      </c>
      <c r="AA20" s="76">
        <v>133</v>
      </c>
      <c r="AB20" s="76">
        <v>144</v>
      </c>
      <c r="AC20" s="72">
        <f t="shared" si="0"/>
        <v>1</v>
      </c>
      <c r="AD20" s="72">
        <f t="shared" si="1"/>
        <v>1</v>
      </c>
      <c r="AE20" s="109" t="str">
        <f t="shared" si="2"/>
        <v>805-852</v>
      </c>
      <c r="AF20" s="109" t="str">
        <f t="shared" si="3"/>
        <v>N</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79"/>
      <c r="N21" s="279"/>
      <c r="O21" s="279"/>
      <c r="P21" s="279"/>
      <c r="Q21" s="279"/>
      <c r="R21" s="279"/>
      <c r="S21" s="279"/>
      <c r="T21" s="279"/>
      <c r="U21" s="280"/>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9"/>
      <c r="N22" s="279"/>
      <c r="O22" s="279"/>
      <c r="P22" s="279"/>
      <c r="Q22" s="279"/>
      <c r="R22" s="279"/>
      <c r="S22" s="279"/>
      <c r="T22" s="279"/>
      <c r="U22" s="280"/>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9"/>
      <c r="N23" s="279"/>
      <c r="O23" s="279"/>
      <c r="P23" s="279"/>
      <c r="Q23" s="279"/>
      <c r="R23" s="279"/>
      <c r="S23" s="279"/>
      <c r="T23" s="279"/>
      <c r="U23" s="280"/>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9"/>
      <c r="N24" s="279"/>
      <c r="O24" s="279"/>
      <c r="P24" s="279"/>
      <c r="Q24" s="279"/>
      <c r="R24" s="279"/>
      <c r="S24" s="279"/>
      <c r="T24" s="279"/>
      <c r="U24" s="280"/>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9"/>
      <c r="N25" s="279"/>
      <c r="O25" s="279"/>
      <c r="P25" s="279"/>
      <c r="Q25" s="279"/>
      <c r="R25" s="279"/>
      <c r="S25" s="279"/>
      <c r="T25" s="279"/>
      <c r="U25" s="280"/>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9"/>
      <c r="N26" s="279"/>
      <c r="O26" s="279"/>
      <c r="P26" s="279"/>
      <c r="Q26" s="279"/>
      <c r="R26" s="279"/>
      <c r="S26" s="279"/>
      <c r="T26" s="279"/>
      <c r="U26" s="280"/>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9"/>
      <c r="N27" s="279"/>
      <c r="O27" s="279"/>
      <c r="P27" s="279"/>
      <c r="Q27" s="279"/>
      <c r="R27" s="279"/>
      <c r="S27" s="279"/>
      <c r="T27" s="279"/>
      <c r="U27" s="280"/>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9"/>
      <c r="N28" s="279"/>
      <c r="O28" s="279"/>
      <c r="P28" s="279"/>
      <c r="Q28" s="279"/>
      <c r="R28" s="279"/>
      <c r="S28" s="279"/>
      <c r="T28" s="279"/>
      <c r="U28" s="280"/>
      <c r="V28" s="103"/>
      <c r="W28" s="84">
        <f>Y28+1</f>
        <v>61</v>
      </c>
      <c r="X28" s="84"/>
      <c r="Y28" s="78">
        <f>SUM(E17:E28)</f>
        <v>60</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9"/>
      <c r="N29" s="279"/>
      <c r="O29" s="279"/>
      <c r="P29" s="279"/>
      <c r="Q29" s="279"/>
      <c r="R29" s="279"/>
      <c r="S29" s="279"/>
      <c r="T29" s="279"/>
      <c r="U29" s="280"/>
      <c r="V29" s="103"/>
      <c r="W29" s="84">
        <f>Y29+1</f>
        <v>61</v>
      </c>
      <c r="X29" s="84"/>
      <c r="Y29" s="78">
        <f>SUM(E17:E29)</f>
        <v>60</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9"/>
      <c r="N30" s="279"/>
      <c r="O30" s="279"/>
      <c r="P30" s="279"/>
      <c r="Q30" s="279"/>
      <c r="R30" s="279"/>
      <c r="S30" s="279"/>
      <c r="T30" s="279"/>
      <c r="U30" s="280"/>
      <c r="V30" s="103"/>
      <c r="W30" s="84">
        <f>Y30+1</f>
        <v>61</v>
      </c>
      <c r="X30" s="84"/>
      <c r="Y30" s="78">
        <f>SUM(E17:E30)</f>
        <v>60</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9"/>
      <c r="N31" s="279"/>
      <c r="O31" s="279"/>
      <c r="P31" s="279"/>
      <c r="Q31" s="279"/>
      <c r="R31" s="279"/>
      <c r="S31" s="279"/>
      <c r="T31" s="279"/>
      <c r="U31" s="280"/>
      <c r="V31" s="103"/>
      <c r="W31" s="84">
        <f>Y31+1</f>
        <v>61</v>
      </c>
      <c r="X31" s="84"/>
      <c r="Y31" s="78">
        <f>SUM(E17:E31)</f>
        <v>60</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9"/>
      <c r="N32" s="279"/>
      <c r="O32" s="279"/>
      <c r="P32" s="279"/>
      <c r="Q32" s="279"/>
      <c r="R32" s="279"/>
      <c r="S32" s="279"/>
      <c r="T32" s="279"/>
      <c r="U32" s="280"/>
      <c r="V32" s="103"/>
      <c r="W32" s="84">
        <f t="shared" ref="W32:W40" si="16">Y32+1</f>
        <v>61</v>
      </c>
      <c r="X32" s="84"/>
      <c r="Y32" s="78">
        <f>SUM(E17:E32)</f>
        <v>60</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9"/>
      <c r="N33" s="279"/>
      <c r="O33" s="279"/>
      <c r="P33" s="279"/>
      <c r="Q33" s="279"/>
      <c r="R33" s="279"/>
      <c r="S33" s="279"/>
      <c r="T33" s="279"/>
      <c r="U33" s="280"/>
      <c r="V33" s="103"/>
      <c r="W33" s="84">
        <f t="shared" si="16"/>
        <v>61</v>
      </c>
      <c r="X33" s="84"/>
      <c r="Y33" s="78">
        <f>SUM(E17:E33)</f>
        <v>60</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9"/>
      <c r="N34" s="279"/>
      <c r="O34" s="279"/>
      <c r="P34" s="279"/>
      <c r="Q34" s="279"/>
      <c r="R34" s="279"/>
      <c r="S34" s="279"/>
      <c r="T34" s="279"/>
      <c r="U34" s="280"/>
      <c r="V34" s="103"/>
      <c r="W34" s="84">
        <f t="shared" si="16"/>
        <v>61</v>
      </c>
      <c r="X34" s="84"/>
      <c r="Y34" s="78">
        <f>SUM(E17:E34)</f>
        <v>60</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9"/>
      <c r="N35" s="279"/>
      <c r="O35" s="279"/>
      <c r="P35" s="279"/>
      <c r="Q35" s="279"/>
      <c r="R35" s="279"/>
      <c r="S35" s="279"/>
      <c r="T35" s="279"/>
      <c r="U35" s="280"/>
      <c r="V35" s="103"/>
      <c r="W35" s="84">
        <f t="shared" si="16"/>
        <v>61</v>
      </c>
      <c r="X35" s="84"/>
      <c r="Y35" s="78">
        <f>SUM(E17:E35)</f>
        <v>60</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9"/>
      <c r="N36" s="279"/>
      <c r="O36" s="279"/>
      <c r="P36" s="279"/>
      <c r="Q36" s="279"/>
      <c r="R36" s="279"/>
      <c r="S36" s="279"/>
      <c r="T36" s="279"/>
      <c r="U36" s="280"/>
      <c r="V36" s="103"/>
      <c r="W36" s="84">
        <f t="shared" si="16"/>
        <v>61</v>
      </c>
      <c r="X36" s="84"/>
      <c r="Y36" s="78">
        <f>SUM(E17:E36)</f>
        <v>60</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9"/>
      <c r="N37" s="279"/>
      <c r="O37" s="279"/>
      <c r="P37" s="279"/>
      <c r="Q37" s="279"/>
      <c r="R37" s="279"/>
      <c r="S37" s="279"/>
      <c r="T37" s="279"/>
      <c r="U37" s="280"/>
      <c r="V37" s="103"/>
      <c r="W37" s="84">
        <f t="shared" si="16"/>
        <v>61</v>
      </c>
      <c r="X37" s="84"/>
      <c r="Y37" s="78">
        <f>SUM(E17:E37)</f>
        <v>60</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9"/>
      <c r="N38" s="279"/>
      <c r="O38" s="279"/>
      <c r="P38" s="279"/>
      <c r="Q38" s="279"/>
      <c r="R38" s="279"/>
      <c r="S38" s="279"/>
      <c r="T38" s="279"/>
      <c r="U38" s="280"/>
      <c r="V38" s="103"/>
      <c r="W38" s="84">
        <f t="shared" si="16"/>
        <v>61</v>
      </c>
      <c r="X38" s="84"/>
      <c r="Y38" s="78">
        <f>SUM(E17:E38)</f>
        <v>60</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9"/>
      <c r="N39" s="279"/>
      <c r="O39" s="279"/>
      <c r="P39" s="279"/>
      <c r="Q39" s="279"/>
      <c r="R39" s="279"/>
      <c r="S39" s="279"/>
      <c r="T39" s="279"/>
      <c r="U39" s="280"/>
      <c r="V39" s="103"/>
      <c r="W39" s="84">
        <f t="shared" si="16"/>
        <v>61</v>
      </c>
      <c r="X39" s="84"/>
      <c r="Y39" s="78">
        <f>SUM(E17:E39)</f>
        <v>60</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9"/>
      <c r="N40" s="279"/>
      <c r="O40" s="279"/>
      <c r="P40" s="279"/>
      <c r="Q40" s="279"/>
      <c r="R40" s="279"/>
      <c r="S40" s="279"/>
      <c r="T40" s="279"/>
      <c r="U40" s="280"/>
      <c r="V40" s="103"/>
      <c r="W40" s="84">
        <f t="shared" si="16"/>
        <v>61</v>
      </c>
      <c r="X40" s="84"/>
      <c r="Y40" s="78">
        <f>SUM(E17:E40)</f>
        <v>60</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9"/>
      <c r="N41" s="279"/>
      <c r="O41" s="279"/>
      <c r="P41" s="279"/>
      <c r="Q41" s="279"/>
      <c r="R41" s="279"/>
      <c r="S41" s="279"/>
      <c r="T41" s="279"/>
      <c r="U41" s="280"/>
      <c r="V41" s="103"/>
      <c r="W41" s="72"/>
      <c r="X41" s="72"/>
      <c r="Y41" s="78">
        <f>SUM(E17:E41)</f>
        <v>60</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20" t="s">
        <v>303</v>
      </c>
      <c r="C42" s="321"/>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22</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3" t="s">
        <v>222</v>
      </c>
      <c r="C47" s="314"/>
      <c r="D47" s="315" t="s">
        <v>223</v>
      </c>
      <c r="E47" s="306"/>
      <c r="F47" s="88"/>
      <c r="G47" s="316" t="s">
        <v>224</v>
      </c>
      <c r="H47" s="317"/>
      <c r="I47" s="28">
        <f>SUM(E58:E82)</f>
        <v>48</v>
      </c>
      <c r="J47" s="318" t="s">
        <v>225</v>
      </c>
      <c r="K47" s="319"/>
      <c r="L47" s="306"/>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6" t="s">
        <v>226</v>
      </c>
      <c r="AA47" s="297"/>
      <c r="AB47" s="298"/>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5" t="s">
        <v>230</v>
      </c>
      <c r="H48" s="306"/>
      <c r="I48" s="33">
        <f>E49-I47</f>
        <v>0</v>
      </c>
      <c r="J48" s="290" t="s">
        <v>231</v>
      </c>
      <c r="K48" s="291"/>
      <c r="L48" s="34">
        <f>I52</f>
        <v>805</v>
      </c>
      <c r="M48" s="196">
        <v>4</v>
      </c>
      <c r="N48" s="35">
        <f>SUM(AI48,AI59)</f>
        <v>0</v>
      </c>
      <c r="O48" s="35">
        <v>0</v>
      </c>
      <c r="P48" s="35">
        <f>SUM(AJ48,AJ59)</f>
        <v>0</v>
      </c>
      <c r="Q48" s="35">
        <v>0</v>
      </c>
      <c r="R48" s="35">
        <f>COUNTIFS($E58:$E82,"4",$F58:$F82,"Pole",$C58:$C82,"FST")</f>
        <v>0</v>
      </c>
      <c r="S48" s="35">
        <f>SUM(AL48,AK59)</f>
        <v>0</v>
      </c>
      <c r="T48" s="35">
        <v>0</v>
      </c>
      <c r="U48" s="35">
        <f>SUM(AK48,AL59)</f>
        <v>3</v>
      </c>
      <c r="V48" s="35">
        <v>0</v>
      </c>
      <c r="W48" s="34">
        <f>COUNTIFS($E58:$E82,"4",$F58:$F82,"HH",$C58:$C82,"FST")</f>
        <v>3</v>
      </c>
      <c r="X48" s="35">
        <f>COUNTIFS($E58:$E82,"4",$F58:$F82,"Ped",$C58:$C82,"FST")</f>
        <v>0</v>
      </c>
      <c r="Y48" s="25"/>
      <c r="Z48" s="299" t="s">
        <v>232</v>
      </c>
      <c r="AA48" s="301" t="s">
        <v>233</v>
      </c>
      <c r="AB48" s="302"/>
      <c r="AC48" s="25"/>
      <c r="AD48" s="25"/>
      <c r="AH48" s="109">
        <v>4</v>
      </c>
      <c r="AI48" s="109" t="str">
        <f>IF($E48="SS",COUNTIFS($C58:$C82,"FST",$E58:$E82,"4"),"0")</f>
        <v>0</v>
      </c>
      <c r="AJ48" s="109" t="str">
        <f>IF($E48="RPX",COUNTIFS($C58:$C82,"FST",$E58:$E82,"4"),"0")</f>
        <v>0</v>
      </c>
      <c r="AK48" s="109">
        <f>IF($E48="EUC",COUNTIFS($C58:$C82,"FST",$E58:$E82,"4"),"0")</f>
        <v>3</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48</v>
      </c>
      <c r="F49" s="88"/>
      <c r="G49" s="292" t="s">
        <v>237</v>
      </c>
      <c r="H49" s="293"/>
      <c r="I49" s="35">
        <f>IF(E49=0,0,12-(MOD(I47,12)))</f>
        <v>12</v>
      </c>
      <c r="J49" s="290" t="s">
        <v>238</v>
      </c>
      <c r="K49" s="291"/>
      <c r="L49" s="39">
        <f>I53-I47</f>
        <v>804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0"/>
      <c r="AA49" s="303"/>
      <c r="AB49" s="304"/>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322" t="s">
        <v>242</v>
      </c>
      <c r="H50" s="43" t="s">
        <v>243</v>
      </c>
      <c r="I50" s="35">
        <f>IF(E50&lt;&gt;0,1,0)</f>
        <v>0</v>
      </c>
      <c r="J50" s="292" t="s">
        <v>244</v>
      </c>
      <c r="K50" s="293"/>
      <c r="L50" s="44">
        <f>'Cable Calculator'!I3</f>
        <v>1598</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805</v>
      </c>
      <c r="F51" s="88"/>
      <c r="G51" s="323"/>
      <c r="H51" s="47" t="s">
        <v>248</v>
      </c>
      <c r="I51" s="35">
        <f>IF(E50&lt;&gt;0,E50,0)</f>
        <v>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0</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4</v>
      </c>
      <c r="F52" s="88"/>
      <c r="G52" s="322" t="s">
        <v>251</v>
      </c>
      <c r="H52" s="51" t="s">
        <v>252</v>
      </c>
      <c r="I52" s="112">
        <f>E51</f>
        <v>805</v>
      </c>
      <c r="J52" s="324" t="s">
        <v>253</v>
      </c>
      <c r="K52" s="325"/>
      <c r="L52" s="326"/>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3"/>
      <c r="H53" s="47" t="s">
        <v>257</v>
      </c>
      <c r="I53" s="35">
        <f>IF(E51="","0",IF(AND(E48="EUC",E49=432), I52+(203-E50),IF(E51=0,0,(E51+(E49-E50)-1))))</f>
        <v>852</v>
      </c>
      <c r="J53" s="287" t="str">
        <f>IFERROR(IF(OR(E48="EUC",E48="SS"),"---",IF(OR(P47,S47),"NO 2F Tethers for RPX!",IF(OR(P49,S49),"NO 6F Tethers for RPX!","---"))),"---")</f>
        <v>---</v>
      </c>
      <c r="K53" s="288"/>
      <c r="L53" s="289"/>
      <c r="M53" s="287" t="str">
        <f>IF(E50&gt;60,"Dead Count &gt;60: Consider Downsize","---")</f>
        <v>---</v>
      </c>
      <c r="N53" s="288"/>
      <c r="O53" s="288"/>
      <c r="P53" s="288"/>
      <c r="Q53" s="288"/>
      <c r="R53" s="288"/>
      <c r="S53" s="288"/>
      <c r="T53" s="288"/>
      <c r="U53" s="289"/>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48</v>
      </c>
      <c r="D54" s="31" t="s">
        <v>259</v>
      </c>
      <c r="E54" s="101" t="str">
        <f>IF(AS48="Y","DBL",IF(AS49="Y","TRPL",IF(AS50="Y","QUAD","")))</f>
        <v/>
      </c>
      <c r="F54" s="88"/>
      <c r="G54" s="192"/>
      <c r="H54" s="57"/>
      <c r="I54" s="192"/>
      <c r="J54" s="287"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8"/>
      <c r="L54" s="289"/>
      <c r="M54" s="287" t="str">
        <f>IF(AND(OR(E48="SS",E48="RPX",E48="EUC",E48="RPX-T"),(OR(C58="",C58="Field SPL"))),"Cannot have FlexNap cables without tethers","---")</f>
        <v>---</v>
      </c>
      <c r="N54" s="288"/>
      <c r="O54" s="288"/>
      <c r="P54" s="288"/>
      <c r="Q54" s="288"/>
      <c r="R54" s="288"/>
      <c r="S54" s="288"/>
      <c r="T54" s="288"/>
      <c r="U54" s="289"/>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7" t="str">
        <f>IF(AND(OR(E48="RPX", E48="RPX-T", E48="SS"),E49=216),"NO 216 For RPX, RPX-T, OR SS CABLE","---")</f>
        <v>---</v>
      </c>
      <c r="K55" s="288"/>
      <c r="L55" s="289"/>
      <c r="M55" s="287" t="str" cm="1">
        <f t="array" ref="M55">IF(AND(E48="",OR(C58:C82="FST",C58:C82="REV T",C58:C82="DBL REV",C58:C82="TPL REV", C58:C82="QD REV")),"Non-FlexNap cables cannot have tethers","---")</f>
        <v>---</v>
      </c>
      <c r="N55" s="288"/>
      <c r="O55" s="288"/>
      <c r="P55" s="288"/>
      <c r="Q55" s="288"/>
      <c r="R55" s="288"/>
      <c r="S55" s="288"/>
      <c r="T55" s="288"/>
      <c r="U55" s="289"/>
      <c r="V55" s="25"/>
      <c r="W55" s="58"/>
      <c r="X55" s="58"/>
      <c r="Y55" s="25"/>
      <c r="Z55" s="45">
        <v>6</v>
      </c>
      <c r="AA55" s="65">
        <v>61</v>
      </c>
      <c r="AB55" s="65">
        <v>72</v>
      </c>
      <c r="AC55" s="25"/>
      <c r="AD55" s="25"/>
      <c r="BA55" s="226"/>
    </row>
    <row r="56" spans="1:53" ht="15.75" customHeight="1" thickBot="1" x14ac:dyDescent="0.3">
      <c r="A56" s="88"/>
      <c r="B56" s="322" t="s">
        <v>260</v>
      </c>
      <c r="C56" s="294" t="s">
        <v>261</v>
      </c>
      <c r="D56" s="294" t="s">
        <v>262</v>
      </c>
      <c r="E56" s="307" t="s">
        <v>263</v>
      </c>
      <c r="F56" s="294" t="s">
        <v>264</v>
      </c>
      <c r="G56" s="309" t="s">
        <v>265</v>
      </c>
      <c r="H56" s="309" t="s">
        <v>266</v>
      </c>
      <c r="I56" s="309" t="s">
        <v>267</v>
      </c>
      <c r="J56" s="311" t="s">
        <v>268</v>
      </c>
      <c r="K56" s="294" t="s">
        <v>269</v>
      </c>
      <c r="L56" s="281" t="s">
        <v>270</v>
      </c>
      <c r="M56" s="283" t="s">
        <v>271</v>
      </c>
      <c r="N56" s="283"/>
      <c r="O56" s="283"/>
      <c r="P56" s="283"/>
      <c r="Q56" s="283"/>
      <c r="R56" s="283"/>
      <c r="S56" s="283"/>
      <c r="T56" s="283"/>
      <c r="U56" s="284"/>
      <c r="V56" s="107"/>
      <c r="W56" s="72"/>
      <c r="X56" s="72"/>
      <c r="Y56" s="72"/>
      <c r="Z56" s="45">
        <v>7</v>
      </c>
      <c r="AA56" s="65">
        <v>73</v>
      </c>
      <c r="AB56" s="65">
        <v>84</v>
      </c>
      <c r="AC56" s="25"/>
      <c r="AD56" s="25"/>
      <c r="BA56" s="228"/>
    </row>
    <row r="57" spans="1:53" ht="15.75" thickBot="1" x14ac:dyDescent="0.3">
      <c r="A57" s="88"/>
      <c r="B57" s="323"/>
      <c r="C57" s="295"/>
      <c r="D57" s="295"/>
      <c r="E57" s="308"/>
      <c r="F57" s="295"/>
      <c r="G57" s="310"/>
      <c r="H57" s="310"/>
      <c r="I57" s="310"/>
      <c r="J57" s="312"/>
      <c r="K57" s="295"/>
      <c r="L57" s="282"/>
      <c r="M57" s="285"/>
      <c r="N57" s="285"/>
      <c r="O57" s="285"/>
      <c r="P57" s="285"/>
      <c r="Q57" s="285"/>
      <c r="R57" s="285"/>
      <c r="S57" s="285"/>
      <c r="T57" s="285"/>
      <c r="U57" s="286"/>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735</v>
      </c>
      <c r="E58" s="32">
        <v>4</v>
      </c>
      <c r="F58" s="32" t="s">
        <v>488</v>
      </c>
      <c r="G58" s="68" t="s">
        <v>277</v>
      </c>
      <c r="H58" s="69">
        <f>IF(I58=0,0,I58-(E58-1))</f>
        <v>849</v>
      </c>
      <c r="I58" s="70">
        <f>IF(E58=0,0,I53)</f>
        <v>852</v>
      </c>
      <c r="J58" s="71" t="s">
        <v>278</v>
      </c>
      <c r="K58" s="32"/>
      <c r="L58" s="233"/>
      <c r="M58" s="279"/>
      <c r="N58" s="279"/>
      <c r="O58" s="279"/>
      <c r="P58" s="279"/>
      <c r="Q58" s="279"/>
      <c r="R58" s="279"/>
      <c r="S58" s="279"/>
      <c r="T58" s="279"/>
      <c r="U58" s="280"/>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849-852</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736</v>
      </c>
      <c r="E59" s="32">
        <v>4</v>
      </c>
      <c r="F59" s="32" t="s">
        <v>488</v>
      </c>
      <c r="G59" s="68" t="s">
        <v>277</v>
      </c>
      <c r="H59" s="69">
        <f t="shared" ref="H59:H82" si="26">IF(E59=0,0,I59-(E59-1))</f>
        <v>845</v>
      </c>
      <c r="I59" s="70">
        <f t="shared" ref="I59:I82" si="27">IF(E59=0,0,H58-1)</f>
        <v>848</v>
      </c>
      <c r="J59" s="73" t="str">
        <f>IF(C59="","--",IF(AND(C59&lt;&gt;"FST",C59&lt;&gt;"TCF",BA58&lt;&gt;0),BA58,"--"))</f>
        <v>--</v>
      </c>
      <c r="K59" s="32"/>
      <c r="L59" s="233"/>
      <c r="M59" s="279"/>
      <c r="N59" s="279"/>
      <c r="O59" s="279"/>
      <c r="P59" s="279"/>
      <c r="Q59" s="279"/>
      <c r="R59" s="279"/>
      <c r="S59" s="279"/>
      <c r="T59" s="279"/>
      <c r="U59" s="280"/>
      <c r="V59" s="103"/>
      <c r="W59" s="72"/>
      <c r="X59" s="72"/>
      <c r="Y59" s="72"/>
      <c r="Z59" s="45">
        <v>10</v>
      </c>
      <c r="AA59" s="46">
        <v>109</v>
      </c>
      <c r="AB59" s="46">
        <v>120</v>
      </c>
      <c r="AC59" s="72">
        <f t="shared" si="17"/>
        <v>1</v>
      </c>
      <c r="AD59" s="72">
        <f t="shared" si="18"/>
        <v>0</v>
      </c>
      <c r="AE59" s="109" t="str">
        <f t="shared" si="19"/>
        <v>845-848</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737</v>
      </c>
      <c r="E60" s="32">
        <v>4</v>
      </c>
      <c r="F60" s="32" t="s">
        <v>488</v>
      </c>
      <c r="G60" s="75" t="s">
        <v>277</v>
      </c>
      <c r="H60" s="69">
        <f t="shared" si="26"/>
        <v>841</v>
      </c>
      <c r="I60" s="70">
        <f t="shared" si="27"/>
        <v>844</v>
      </c>
      <c r="J60" s="73" t="str">
        <f t="shared" ref="J60:J82" si="28">IF(C60="","--",IF(AND(C60&lt;&gt;"FST",C60&lt;&gt;"TCF",BA59&lt;&gt;0),BA59,"--"))</f>
        <v>--</v>
      </c>
      <c r="K60" s="32"/>
      <c r="L60" s="233"/>
      <c r="M60" s="279"/>
      <c r="N60" s="279"/>
      <c r="O60" s="279"/>
      <c r="P60" s="279"/>
      <c r="Q60" s="279"/>
      <c r="R60" s="279"/>
      <c r="S60" s="279"/>
      <c r="T60" s="279"/>
      <c r="U60" s="280"/>
      <c r="V60" s="103"/>
      <c r="W60" s="72"/>
      <c r="X60" s="72"/>
      <c r="Y60" s="72"/>
      <c r="Z60" s="45">
        <v>11</v>
      </c>
      <c r="AA60" s="46">
        <v>121</v>
      </c>
      <c r="AB60" s="46">
        <v>132</v>
      </c>
      <c r="AC60" s="72">
        <f t="shared" si="17"/>
        <v>1</v>
      </c>
      <c r="AD60" s="72">
        <f t="shared" si="18"/>
        <v>0</v>
      </c>
      <c r="AE60" s="109" t="str">
        <f t="shared" si="19"/>
        <v>841-844</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502</v>
      </c>
      <c r="D61" s="102"/>
      <c r="E61" s="32">
        <v>36</v>
      </c>
      <c r="F61" s="32"/>
      <c r="G61" s="68" t="s">
        <v>277</v>
      </c>
      <c r="H61" s="69">
        <f t="shared" si="26"/>
        <v>805</v>
      </c>
      <c r="I61" s="70">
        <f t="shared" si="27"/>
        <v>840</v>
      </c>
      <c r="J61" s="73" t="str">
        <f t="shared" si="28"/>
        <v>--</v>
      </c>
      <c r="K61" s="32"/>
      <c r="L61" s="233"/>
      <c r="M61" s="279" t="s">
        <v>405</v>
      </c>
      <c r="N61" s="279"/>
      <c r="O61" s="279"/>
      <c r="P61" s="279"/>
      <c r="Q61" s="279"/>
      <c r="R61" s="279"/>
      <c r="S61" s="279"/>
      <c r="T61" s="279"/>
      <c r="U61" s="280"/>
      <c r="V61" s="103"/>
      <c r="W61" s="72"/>
      <c r="X61" s="72"/>
      <c r="Y61" s="72"/>
      <c r="Z61" s="45">
        <v>12</v>
      </c>
      <c r="AA61" s="76">
        <v>133</v>
      </c>
      <c r="AB61" s="76">
        <v>144</v>
      </c>
      <c r="AC61" s="72">
        <f t="shared" si="17"/>
        <v>1</v>
      </c>
      <c r="AD61" s="72">
        <f t="shared" si="18"/>
        <v>1</v>
      </c>
      <c r="AE61" s="109" t="str">
        <f t="shared" si="19"/>
        <v>805-840</v>
      </c>
      <c r="AF61" s="109" t="str">
        <f t="shared" si="20"/>
        <v>N</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3"/>
      <c r="M62" s="279"/>
      <c r="N62" s="279"/>
      <c r="O62" s="279"/>
      <c r="P62" s="279"/>
      <c r="Q62" s="279"/>
      <c r="R62" s="279"/>
      <c r="S62" s="279"/>
      <c r="T62" s="279"/>
      <c r="U62" s="280"/>
      <c r="V62" s="103"/>
      <c r="W62" s="72"/>
      <c r="X62" s="72"/>
      <c r="Y62" s="72"/>
      <c r="Z62" s="45">
        <v>13</v>
      </c>
      <c r="AA62" s="77">
        <f t="shared" ref="AA62:AA67" si="29">AB61+1</f>
        <v>145</v>
      </c>
      <c r="AB62" s="77">
        <f t="shared" ref="AB62:AB67" si="30">AB61+12</f>
        <v>156</v>
      </c>
      <c r="AC62" s="72">
        <f t="shared" si="17"/>
        <v>1</v>
      </c>
      <c r="AD62" s="72">
        <f t="shared" si="18"/>
        <v>1</v>
      </c>
      <c r="AE62" s="109" t="str">
        <f t="shared" si="19"/>
        <v>0-0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79"/>
      <c r="N63" s="279"/>
      <c r="O63" s="279"/>
      <c r="P63" s="279"/>
      <c r="Q63" s="279"/>
      <c r="R63" s="279"/>
      <c r="S63" s="279"/>
      <c r="T63" s="279"/>
      <c r="U63" s="280"/>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254"/>
      <c r="E64" s="32"/>
      <c r="F64" s="32"/>
      <c r="G64" s="68" t="s">
        <v>277</v>
      </c>
      <c r="H64" s="69">
        <f t="shared" si="26"/>
        <v>0</v>
      </c>
      <c r="I64" s="70">
        <f t="shared" si="27"/>
        <v>0</v>
      </c>
      <c r="J64" s="73" t="str">
        <f t="shared" si="28"/>
        <v>--</v>
      </c>
      <c r="K64" s="32"/>
      <c r="L64" s="233"/>
      <c r="M64" s="279"/>
      <c r="N64" s="279"/>
      <c r="O64" s="279"/>
      <c r="P64" s="279"/>
      <c r="Q64" s="279"/>
      <c r="R64" s="279"/>
      <c r="S64" s="279"/>
      <c r="T64" s="279"/>
      <c r="U64" s="280"/>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79"/>
      <c r="N65" s="279"/>
      <c r="O65" s="279"/>
      <c r="P65" s="279"/>
      <c r="Q65" s="279"/>
      <c r="R65" s="279"/>
      <c r="S65" s="279"/>
      <c r="T65" s="279"/>
      <c r="U65" s="280"/>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79"/>
      <c r="N66" s="279"/>
      <c r="O66" s="279"/>
      <c r="P66" s="279"/>
      <c r="Q66" s="279"/>
      <c r="R66" s="279"/>
      <c r="S66" s="279"/>
      <c r="T66" s="279"/>
      <c r="U66" s="280"/>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79"/>
      <c r="N67" s="279"/>
      <c r="O67" s="279"/>
      <c r="P67" s="279"/>
      <c r="Q67" s="279"/>
      <c r="R67" s="279"/>
      <c r="S67" s="279"/>
      <c r="T67" s="279"/>
      <c r="U67" s="280"/>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79"/>
      <c r="N68" s="279"/>
      <c r="O68" s="279"/>
      <c r="P68" s="279"/>
      <c r="Q68" s="279"/>
      <c r="R68" s="279"/>
      <c r="S68" s="279"/>
      <c r="T68" s="279"/>
      <c r="U68" s="280"/>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79"/>
      <c r="N69" s="279"/>
      <c r="O69" s="279"/>
      <c r="P69" s="279"/>
      <c r="Q69" s="279"/>
      <c r="R69" s="279"/>
      <c r="S69" s="279"/>
      <c r="T69" s="279"/>
      <c r="U69" s="280"/>
      <c r="V69" s="103"/>
      <c r="W69" s="84">
        <f>Y69+1</f>
        <v>49</v>
      </c>
      <c r="X69" s="84"/>
      <c r="Y69" s="78">
        <f>SUM(E58:E69)</f>
        <v>48</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79"/>
      <c r="N70" s="279"/>
      <c r="O70" s="279"/>
      <c r="P70" s="279"/>
      <c r="Q70" s="279"/>
      <c r="R70" s="279"/>
      <c r="S70" s="279"/>
      <c r="T70" s="279"/>
      <c r="U70" s="280"/>
      <c r="V70" s="103"/>
      <c r="W70" s="84">
        <f>Y70+1</f>
        <v>49</v>
      </c>
      <c r="X70" s="84"/>
      <c r="Y70" s="78">
        <f>SUM(E58:E70)</f>
        <v>48</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79"/>
      <c r="N71" s="279"/>
      <c r="O71" s="279"/>
      <c r="P71" s="279"/>
      <c r="Q71" s="279"/>
      <c r="R71" s="279"/>
      <c r="S71" s="279"/>
      <c r="T71" s="279"/>
      <c r="U71" s="280"/>
      <c r="V71" s="103"/>
      <c r="W71" s="84">
        <f>Y71+1</f>
        <v>49</v>
      </c>
      <c r="X71" s="84"/>
      <c r="Y71" s="78">
        <f>SUM(E58:E71)</f>
        <v>48</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79"/>
      <c r="N72" s="279"/>
      <c r="O72" s="279"/>
      <c r="P72" s="279"/>
      <c r="Q72" s="279"/>
      <c r="R72" s="279"/>
      <c r="S72" s="279"/>
      <c r="T72" s="279"/>
      <c r="U72" s="280"/>
      <c r="V72" s="103"/>
      <c r="W72" s="84">
        <f>Y72+1</f>
        <v>49</v>
      </c>
      <c r="X72" s="84"/>
      <c r="Y72" s="78">
        <f>SUM(E58:E72)</f>
        <v>48</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79"/>
      <c r="N73" s="279"/>
      <c r="O73" s="279"/>
      <c r="P73" s="279"/>
      <c r="Q73" s="279"/>
      <c r="R73" s="279"/>
      <c r="S73" s="279"/>
      <c r="T73" s="279"/>
      <c r="U73" s="280"/>
      <c r="V73" s="103"/>
      <c r="W73" s="84">
        <f t="shared" ref="W73:W81" si="33">Y73+1</f>
        <v>49</v>
      </c>
      <c r="X73" s="84"/>
      <c r="Y73" s="78">
        <f>SUM(E58:E73)</f>
        <v>48</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79"/>
      <c r="N74" s="279"/>
      <c r="O74" s="279"/>
      <c r="P74" s="279"/>
      <c r="Q74" s="279"/>
      <c r="R74" s="279"/>
      <c r="S74" s="279"/>
      <c r="T74" s="279"/>
      <c r="U74" s="280"/>
      <c r="V74" s="103"/>
      <c r="W74" s="84">
        <f t="shared" si="33"/>
        <v>49</v>
      </c>
      <c r="X74" s="84"/>
      <c r="Y74" s="78">
        <f>SUM(E58:E74)</f>
        <v>48</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79"/>
      <c r="N75" s="279"/>
      <c r="O75" s="279"/>
      <c r="P75" s="279"/>
      <c r="Q75" s="279"/>
      <c r="R75" s="279"/>
      <c r="S75" s="279"/>
      <c r="T75" s="279"/>
      <c r="U75" s="280"/>
      <c r="V75" s="103"/>
      <c r="W75" s="84">
        <f t="shared" si="33"/>
        <v>49</v>
      </c>
      <c r="X75" s="84"/>
      <c r="Y75" s="78">
        <f>SUM(E58:E75)</f>
        <v>48</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79"/>
      <c r="N76" s="279"/>
      <c r="O76" s="279"/>
      <c r="P76" s="279"/>
      <c r="Q76" s="279"/>
      <c r="R76" s="279"/>
      <c r="S76" s="279"/>
      <c r="T76" s="279"/>
      <c r="U76" s="280"/>
      <c r="V76" s="103"/>
      <c r="W76" s="84">
        <f t="shared" si="33"/>
        <v>49</v>
      </c>
      <c r="X76" s="84"/>
      <c r="Y76" s="78">
        <f>SUM(E58:E76)</f>
        <v>48</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79"/>
      <c r="N77" s="279"/>
      <c r="O77" s="279"/>
      <c r="P77" s="279"/>
      <c r="Q77" s="279"/>
      <c r="R77" s="279"/>
      <c r="S77" s="279"/>
      <c r="T77" s="279"/>
      <c r="U77" s="280"/>
      <c r="V77" s="103"/>
      <c r="W77" s="84">
        <f t="shared" si="33"/>
        <v>49</v>
      </c>
      <c r="X77" s="84"/>
      <c r="Y77" s="78">
        <f>SUM(E58:E77)</f>
        <v>48</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79"/>
      <c r="N78" s="279"/>
      <c r="O78" s="279"/>
      <c r="P78" s="279"/>
      <c r="Q78" s="279"/>
      <c r="R78" s="279"/>
      <c r="S78" s="279"/>
      <c r="T78" s="279"/>
      <c r="U78" s="280"/>
      <c r="V78" s="103"/>
      <c r="W78" s="84">
        <f t="shared" si="33"/>
        <v>49</v>
      </c>
      <c r="X78" s="84"/>
      <c r="Y78" s="78">
        <f>SUM(E58:E78)</f>
        <v>48</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79"/>
      <c r="N79" s="279"/>
      <c r="O79" s="279"/>
      <c r="P79" s="279"/>
      <c r="Q79" s="279"/>
      <c r="R79" s="279"/>
      <c r="S79" s="279"/>
      <c r="T79" s="279"/>
      <c r="U79" s="280"/>
      <c r="V79" s="103"/>
      <c r="W79" s="84">
        <f t="shared" si="33"/>
        <v>49</v>
      </c>
      <c r="X79" s="84"/>
      <c r="Y79" s="78">
        <f>SUM(E58:E79)</f>
        <v>48</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79"/>
      <c r="N80" s="279"/>
      <c r="O80" s="279"/>
      <c r="P80" s="279"/>
      <c r="Q80" s="279"/>
      <c r="R80" s="279"/>
      <c r="S80" s="279"/>
      <c r="T80" s="279"/>
      <c r="U80" s="280"/>
      <c r="V80" s="103"/>
      <c r="W80" s="84">
        <f t="shared" si="33"/>
        <v>49</v>
      </c>
      <c r="X80" s="84"/>
      <c r="Y80" s="78">
        <f>SUM(E58:E80)</f>
        <v>48</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79"/>
      <c r="N81" s="279"/>
      <c r="O81" s="279"/>
      <c r="P81" s="279"/>
      <c r="Q81" s="279"/>
      <c r="R81" s="279"/>
      <c r="S81" s="279"/>
      <c r="T81" s="279"/>
      <c r="U81" s="280"/>
      <c r="V81" s="103"/>
      <c r="W81" s="84">
        <f t="shared" si="33"/>
        <v>49</v>
      </c>
      <c r="X81" s="84"/>
      <c r="Y81" s="78">
        <f>SUM(E58:E81)</f>
        <v>48</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79"/>
      <c r="N82" s="279"/>
      <c r="O82" s="279"/>
      <c r="P82" s="279"/>
      <c r="Q82" s="279"/>
      <c r="R82" s="279"/>
      <c r="S82" s="279"/>
      <c r="T82" s="279"/>
      <c r="U82" s="280"/>
      <c r="V82" s="103"/>
      <c r="W82" s="72"/>
      <c r="X82" s="72"/>
      <c r="Y82" s="78">
        <f>SUM(E58:E82)</f>
        <v>48</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20" t="s">
        <v>305</v>
      </c>
      <c r="C83" s="321"/>
      <c r="D83" s="79"/>
      <c r="E83" s="80"/>
      <c r="F83" s="80"/>
      <c r="G83" s="81"/>
      <c r="H83" s="192"/>
      <c r="I83" s="192"/>
      <c r="J83" s="192"/>
      <c r="K83" s="82"/>
      <c r="L83" s="320" t="s">
        <v>306</v>
      </c>
      <c r="M83" s="331"/>
      <c r="N83" s="331"/>
      <c r="O83" s="331"/>
      <c r="P83" s="331"/>
      <c r="Q83" s="331"/>
      <c r="R83" s="331"/>
      <c r="S83" s="331"/>
      <c r="T83" s="331"/>
      <c r="U83" s="321"/>
      <c r="V83" s="104"/>
      <c r="W83" s="72"/>
      <c r="X83" s="72"/>
      <c r="Y83" s="72"/>
      <c r="Z83" s="72"/>
      <c r="AA83" s="72" t="str">
        <f t="shared" si="32"/>
        <v/>
      </c>
      <c r="AB83" s="72"/>
      <c r="AC83" s="72">
        <f>SUM(AC58:AC82)</f>
        <v>25</v>
      </c>
      <c r="AD83" s="72">
        <f>SUM(AD58:AD82)</f>
        <v>22</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20" t="s">
        <v>307</v>
      </c>
      <c r="C84" s="321"/>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3" t="s">
        <v>222</v>
      </c>
      <c r="C88" s="314"/>
      <c r="D88" s="315" t="s">
        <v>223</v>
      </c>
      <c r="E88" s="306"/>
      <c r="F88" s="88"/>
      <c r="G88" s="316" t="s">
        <v>224</v>
      </c>
      <c r="H88" s="317"/>
      <c r="I88" s="28">
        <f>SUM(E99:E123)</f>
        <v>36</v>
      </c>
      <c r="J88" s="318" t="s">
        <v>225</v>
      </c>
      <c r="K88" s="319"/>
      <c r="L88" s="306"/>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6" t="s">
        <v>226</v>
      </c>
      <c r="AA88" s="297"/>
      <c r="AB88" s="298"/>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5" t="s">
        <v>230</v>
      </c>
      <c r="H89" s="306"/>
      <c r="I89" s="33">
        <f>E90-I88</f>
        <v>12</v>
      </c>
      <c r="J89" s="290" t="s">
        <v>231</v>
      </c>
      <c r="K89" s="291"/>
      <c r="L89" s="34">
        <f>I93</f>
        <v>805</v>
      </c>
      <c r="M89" s="196">
        <v>4</v>
      </c>
      <c r="N89" s="35">
        <f>SUM(AI89,AI100)</f>
        <v>0</v>
      </c>
      <c r="O89" s="35">
        <v>0</v>
      </c>
      <c r="P89" s="35">
        <f>SUM(AJ89,AJ100)</f>
        <v>0</v>
      </c>
      <c r="Q89" s="35">
        <v>0</v>
      </c>
      <c r="R89" s="35">
        <f>COUNTIFS($E99:$E123,"4",$F99:$F123,"Pole",$C99:$C123,"FST")</f>
        <v>0</v>
      </c>
      <c r="S89" s="35">
        <f>SUM(AL89,AK100)</f>
        <v>0</v>
      </c>
      <c r="T89" s="35">
        <v>0</v>
      </c>
      <c r="U89" s="35">
        <f>SUM(AK89,AL100)</f>
        <v>1</v>
      </c>
      <c r="V89" s="35">
        <v>0</v>
      </c>
      <c r="W89" s="34">
        <f>COUNTIFS($E99:$E123,"4",$F99:$F123,"HH",$C99:$C123,"FST")</f>
        <v>1</v>
      </c>
      <c r="X89" s="35">
        <f>COUNTIFS($E99:$E123,"4",$F99:$F123,"Ped",$C99:$C123,"FST")</f>
        <v>0</v>
      </c>
      <c r="Y89" s="25"/>
      <c r="Z89" s="299" t="s">
        <v>232</v>
      </c>
      <c r="AA89" s="301" t="s">
        <v>233</v>
      </c>
      <c r="AB89" s="302"/>
      <c r="AC89" s="25"/>
      <c r="AD89" s="25"/>
      <c r="AH89" s="109">
        <v>4</v>
      </c>
      <c r="AI89" s="109" t="str">
        <f>IF($E89="SS",COUNTIFS($C99:$C123,"FST",$E99:$E123,"4"),"0")</f>
        <v>0</v>
      </c>
      <c r="AJ89" s="109" t="str">
        <f>IF($E89="RPX",COUNTIFS($C99:$C123,"FST",$E99:$E123,"4"),"0")</f>
        <v>0</v>
      </c>
      <c r="AK89" s="109">
        <f>IF($E89="EUC",COUNTIFS($C99:$C123,"FST",$E99:$E123,"4"),"0")</f>
        <v>1</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2" t="s">
        <v>237</v>
      </c>
      <c r="H90" s="293"/>
      <c r="I90" s="35">
        <f>IF(E90=0,0,12-(MOD(I88,12)))</f>
        <v>12</v>
      </c>
      <c r="J90" s="290" t="s">
        <v>238</v>
      </c>
      <c r="K90" s="291"/>
      <c r="L90" s="39">
        <f>I94-I88</f>
        <v>804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0"/>
      <c r="AA90" s="303"/>
      <c r="AB90" s="304"/>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322" t="s">
        <v>242</v>
      </c>
      <c r="H91" s="43" t="s">
        <v>243</v>
      </c>
      <c r="I91" s="35">
        <f>IF(E91&lt;&gt;0,1,0)</f>
        <v>1</v>
      </c>
      <c r="J91" s="292" t="s">
        <v>244</v>
      </c>
      <c r="K91" s="293"/>
      <c r="L91" s="44">
        <f>'Cable Calculator'!N3</f>
        <v>1536</v>
      </c>
      <c r="M91" s="196">
        <v>8</v>
      </c>
      <c r="N91" s="35">
        <f>SUM(AI91,AI102)</f>
        <v>0</v>
      </c>
      <c r="O91" s="35">
        <v>0</v>
      </c>
      <c r="P91" s="35">
        <f>SUM(AJ91,AJ102)</f>
        <v>0</v>
      </c>
      <c r="Q91" s="35">
        <v>0</v>
      </c>
      <c r="R91" s="35">
        <f>COUNTIFS($E99:$E123,"8",$F99:$F123,"Pole",$C99:$C123,"FST")</f>
        <v>1</v>
      </c>
      <c r="S91" s="35">
        <f>SUM(AL91,AK102)</f>
        <v>0</v>
      </c>
      <c r="T91" s="35">
        <v>0</v>
      </c>
      <c r="U91" s="35">
        <f>SUM(AK91,AL102)</f>
        <v>4</v>
      </c>
      <c r="V91" s="35">
        <v>0</v>
      </c>
      <c r="W91" s="34">
        <f>COUNTIFS($E99:$E123,"8",$F99:$F123,"HH",$C99:$C123,"FST")</f>
        <v>3</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4</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805</v>
      </c>
      <c r="F92" s="88"/>
      <c r="G92" s="323"/>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2" t="s">
        <v>251</v>
      </c>
      <c r="H93" s="51" t="s">
        <v>252</v>
      </c>
      <c r="I93" s="112">
        <f>E92</f>
        <v>805</v>
      </c>
      <c r="J93" s="324" t="s">
        <v>253</v>
      </c>
      <c r="K93" s="325"/>
      <c r="L93" s="326"/>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3"/>
      <c r="H94" s="47" t="s">
        <v>257</v>
      </c>
      <c r="I94" s="35">
        <f>IF(E92="","0",IF(AND(E89="EUC",E90=432), I93+(203-E91),IF(E92=0,0,(E92+(E90-E91)-1))))</f>
        <v>840</v>
      </c>
      <c r="J94" s="287" t="str">
        <f>IFERROR(IF(OR(E89="EUC",E89="SS"),"---",IF(OR(P88,S88),"NO 2F Tethers for RPX!",IF(OR(P90,S90),"NO 6F Tethers for RPX!","---"))),"---")</f>
        <v>---</v>
      </c>
      <c r="K94" s="288"/>
      <c r="L94" s="289"/>
      <c r="M94" s="287" t="str">
        <f>IF(E91&gt;60,"Dead Count &gt;60: Consider Downsize","---")</f>
        <v>---</v>
      </c>
      <c r="N94" s="288"/>
      <c r="O94" s="288"/>
      <c r="P94" s="288"/>
      <c r="Q94" s="288"/>
      <c r="R94" s="288"/>
      <c r="S94" s="288"/>
      <c r="T94" s="288"/>
      <c r="U94" s="289"/>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36</v>
      </c>
      <c r="D95" s="31" t="s">
        <v>259</v>
      </c>
      <c r="E95" s="101" t="str">
        <f>IF(AS89="Y","DBL",IF(AS90="Y","TRPL",IF(AS91="Y","QUAD","")))</f>
        <v/>
      </c>
      <c r="F95" s="88"/>
      <c r="G95" s="192"/>
      <c r="H95" s="57"/>
      <c r="I95" s="192"/>
      <c r="J95" s="287"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8"/>
      <c r="L95" s="289"/>
      <c r="M95" s="287" t="str">
        <f>IF(AND(OR(E89="SS",E89="RPX",E89="EUC",E89="RPX-T"),(OR(C99="",C99="Field SPL"))),"Cannot have FlexNap cables without tethers","---")</f>
        <v>---</v>
      </c>
      <c r="N95" s="288"/>
      <c r="O95" s="288"/>
      <c r="P95" s="288"/>
      <c r="Q95" s="288"/>
      <c r="R95" s="288"/>
      <c r="S95" s="288"/>
      <c r="T95" s="288"/>
      <c r="U95" s="289"/>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7" t="str">
        <f>IF(AND(OR(E89="RPX", E89="RPX-T", E89="SS"),E90=216),"NO 216 For RPX, RPX-T, OR SS CABLE","---")</f>
        <v>---</v>
      </c>
      <c r="K96" s="288"/>
      <c r="L96" s="289"/>
      <c r="M96" s="287" t="str" cm="1">
        <f t="array" ref="M96">IF(AND(E89="",OR(C99:C123="FST",C99:C123="REV T",C99:C123="DBL REV",C99:C123="TPL REV", C99:C123="QD REV")),"Non-FlexNap cables cannot have tethers","---")</f>
        <v>---</v>
      </c>
      <c r="N96" s="288"/>
      <c r="O96" s="288"/>
      <c r="P96" s="288"/>
      <c r="Q96" s="288"/>
      <c r="R96" s="288"/>
      <c r="S96" s="288"/>
      <c r="T96" s="288"/>
      <c r="U96" s="289"/>
      <c r="V96" s="25"/>
      <c r="W96" s="58"/>
      <c r="X96" s="58"/>
      <c r="Y96" s="25"/>
      <c r="Z96" s="45">
        <v>6</v>
      </c>
      <c r="AA96" s="65">
        <v>61</v>
      </c>
      <c r="AB96" s="65">
        <v>72</v>
      </c>
      <c r="AC96" s="25"/>
      <c r="AD96" s="25"/>
      <c r="BA96" s="226"/>
    </row>
    <row r="97" spans="1:53" ht="15.75" customHeight="1" thickBot="1" x14ac:dyDescent="0.3">
      <c r="A97" s="88"/>
      <c r="B97" s="322" t="s">
        <v>260</v>
      </c>
      <c r="C97" s="294" t="s">
        <v>261</v>
      </c>
      <c r="D97" s="294" t="s">
        <v>262</v>
      </c>
      <c r="E97" s="307" t="s">
        <v>263</v>
      </c>
      <c r="F97" s="294" t="s">
        <v>264</v>
      </c>
      <c r="G97" s="309" t="s">
        <v>265</v>
      </c>
      <c r="H97" s="309" t="s">
        <v>266</v>
      </c>
      <c r="I97" s="309" t="s">
        <v>267</v>
      </c>
      <c r="J97" s="311" t="s">
        <v>268</v>
      </c>
      <c r="K97" s="294" t="s">
        <v>269</v>
      </c>
      <c r="L97" s="281" t="s">
        <v>270</v>
      </c>
      <c r="M97" s="283" t="s">
        <v>271</v>
      </c>
      <c r="N97" s="283"/>
      <c r="O97" s="283"/>
      <c r="P97" s="283"/>
      <c r="Q97" s="283"/>
      <c r="R97" s="283"/>
      <c r="S97" s="283"/>
      <c r="T97" s="283"/>
      <c r="U97" s="284"/>
      <c r="V97" s="107"/>
      <c r="W97" s="72"/>
      <c r="X97" s="72"/>
      <c r="Y97" s="72"/>
      <c r="Z97" s="45">
        <v>7</v>
      </c>
      <c r="AA97" s="65">
        <v>73</v>
      </c>
      <c r="AB97" s="65">
        <v>84</v>
      </c>
      <c r="AC97" s="25"/>
      <c r="AD97" s="25"/>
      <c r="BA97" s="228"/>
    </row>
    <row r="98" spans="1:53" ht="15.75" thickBot="1" x14ac:dyDescent="0.3">
      <c r="A98" s="88"/>
      <c r="B98" s="323"/>
      <c r="C98" s="295"/>
      <c r="D98" s="295"/>
      <c r="E98" s="308"/>
      <c r="F98" s="295"/>
      <c r="G98" s="310"/>
      <c r="H98" s="310"/>
      <c r="I98" s="310"/>
      <c r="J98" s="312"/>
      <c r="K98" s="295"/>
      <c r="L98" s="282"/>
      <c r="M98" s="285"/>
      <c r="N98" s="285"/>
      <c r="O98" s="285"/>
      <c r="P98" s="285"/>
      <c r="Q98" s="285"/>
      <c r="R98" s="285"/>
      <c r="S98" s="285"/>
      <c r="T98" s="285"/>
      <c r="U98" s="286"/>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738</v>
      </c>
      <c r="E99" s="32">
        <v>8</v>
      </c>
      <c r="F99" s="32" t="s">
        <v>488</v>
      </c>
      <c r="G99" s="68" t="s">
        <v>277</v>
      </c>
      <c r="H99" s="69">
        <f>IF(I99=0,0,I99-(E99-1))</f>
        <v>833</v>
      </c>
      <c r="I99" s="70">
        <f>IF(E99=0,0,I94)</f>
        <v>840</v>
      </c>
      <c r="J99" s="71" t="s">
        <v>278</v>
      </c>
      <c r="K99" s="32"/>
      <c r="L99" s="233"/>
      <c r="M99" s="279"/>
      <c r="N99" s="279"/>
      <c r="O99" s="279"/>
      <c r="P99" s="279"/>
      <c r="Q99" s="279"/>
      <c r="R99" s="279"/>
      <c r="S99" s="279"/>
      <c r="T99" s="279"/>
      <c r="U99" s="280"/>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833-840</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8</v>
      </c>
    </row>
    <row r="100" spans="1:53" ht="15.75" thickBot="1" x14ac:dyDescent="0.3">
      <c r="A100" s="88"/>
      <c r="B100" s="66" t="s">
        <v>279</v>
      </c>
      <c r="C100" s="67" t="s">
        <v>484</v>
      </c>
      <c r="D100" s="102" t="s">
        <v>739</v>
      </c>
      <c r="E100" s="32">
        <v>8</v>
      </c>
      <c r="F100" s="32" t="s">
        <v>488</v>
      </c>
      <c r="G100" s="68" t="s">
        <v>277</v>
      </c>
      <c r="H100" s="69">
        <f t="shared" ref="H100:H123" si="43">IF(E100=0,0,I100-(E100-1))</f>
        <v>825</v>
      </c>
      <c r="I100" s="70">
        <f t="shared" ref="I100:I123" si="44">IF(E100=0,0,H99-1)</f>
        <v>832</v>
      </c>
      <c r="J100" s="73" t="str">
        <f>IF(C100="","--",IF(AND(C100&lt;&gt;"FST",C100&lt;&gt;"TCF",BA99&lt;&gt;0),BA99,"--"))</f>
        <v>--</v>
      </c>
      <c r="K100" s="32"/>
      <c r="L100" s="233"/>
      <c r="M100" s="279"/>
      <c r="N100" s="279"/>
      <c r="O100" s="279"/>
      <c r="P100" s="279"/>
      <c r="Q100" s="279"/>
      <c r="R100" s="279"/>
      <c r="S100" s="279"/>
      <c r="T100" s="279"/>
      <c r="U100" s="280"/>
      <c r="V100" s="103"/>
      <c r="W100" s="72"/>
      <c r="X100" s="72"/>
      <c r="Y100" s="72"/>
      <c r="Z100" s="45">
        <v>10</v>
      </c>
      <c r="AA100" s="46">
        <v>109</v>
      </c>
      <c r="AB100" s="46">
        <v>120</v>
      </c>
      <c r="AC100" s="72">
        <f t="shared" si="34"/>
        <v>1</v>
      </c>
      <c r="AD100" s="72">
        <f t="shared" si="35"/>
        <v>0</v>
      </c>
      <c r="AE100" s="109" t="str">
        <f t="shared" si="36"/>
        <v>825-832</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4</v>
      </c>
    </row>
    <row r="101" spans="1:53" ht="15.75" thickBot="1" x14ac:dyDescent="0.3">
      <c r="A101" s="88"/>
      <c r="B101" s="74" t="s">
        <v>280</v>
      </c>
      <c r="C101" s="67" t="s">
        <v>484</v>
      </c>
      <c r="D101" s="102" t="s">
        <v>740</v>
      </c>
      <c r="E101" s="32">
        <v>4</v>
      </c>
      <c r="F101" s="32" t="s">
        <v>488</v>
      </c>
      <c r="G101" s="75" t="s">
        <v>277</v>
      </c>
      <c r="H101" s="69">
        <f t="shared" si="43"/>
        <v>821</v>
      </c>
      <c r="I101" s="70">
        <f t="shared" si="44"/>
        <v>824</v>
      </c>
      <c r="J101" s="73" t="str">
        <f t="shared" ref="J101:J123" si="45">IF(C101="","--",IF(AND(C101&lt;&gt;"FST",C101&lt;&gt;"TCF",BA100&lt;&gt;0),BA100,"--"))</f>
        <v>--</v>
      </c>
      <c r="K101" s="32"/>
      <c r="L101" s="233"/>
      <c r="M101" s="279"/>
      <c r="N101" s="279"/>
      <c r="O101" s="279"/>
      <c r="P101" s="279"/>
      <c r="Q101" s="279"/>
      <c r="R101" s="279"/>
      <c r="S101" s="279"/>
      <c r="T101" s="279"/>
      <c r="U101" s="280"/>
      <c r="V101" s="103"/>
      <c r="W101" s="72"/>
      <c r="X101" s="72"/>
      <c r="Y101" s="72"/>
      <c r="Z101" s="45">
        <v>11</v>
      </c>
      <c r="AA101" s="46">
        <v>121</v>
      </c>
      <c r="AB101" s="46">
        <v>132</v>
      </c>
      <c r="AC101" s="72">
        <f t="shared" si="34"/>
        <v>1</v>
      </c>
      <c r="AD101" s="72">
        <f t="shared" si="35"/>
        <v>0</v>
      </c>
      <c r="AE101" s="109" t="str">
        <f t="shared" si="36"/>
        <v>821-824</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4</v>
      </c>
    </row>
    <row r="102" spans="1:53" ht="15.75" thickBot="1" x14ac:dyDescent="0.3">
      <c r="A102" s="88"/>
      <c r="B102" s="66" t="s">
        <v>281</v>
      </c>
      <c r="C102" s="67" t="s">
        <v>484</v>
      </c>
      <c r="D102" s="102" t="s">
        <v>741</v>
      </c>
      <c r="E102" s="32">
        <v>8</v>
      </c>
      <c r="F102" s="32" t="s">
        <v>488</v>
      </c>
      <c r="G102" s="68" t="s">
        <v>277</v>
      </c>
      <c r="H102" s="69">
        <f t="shared" si="43"/>
        <v>813</v>
      </c>
      <c r="I102" s="70">
        <f t="shared" si="44"/>
        <v>820</v>
      </c>
      <c r="J102" s="73" t="str">
        <f t="shared" si="45"/>
        <v>--</v>
      </c>
      <c r="K102" s="32"/>
      <c r="L102" s="233"/>
      <c r="M102" s="279"/>
      <c r="N102" s="279"/>
      <c r="O102" s="279"/>
      <c r="P102" s="279"/>
      <c r="Q102" s="279"/>
      <c r="R102" s="279"/>
      <c r="S102" s="279"/>
      <c r="T102" s="279"/>
      <c r="U102" s="280"/>
      <c r="V102" s="103"/>
      <c r="W102" s="72"/>
      <c r="X102" s="72"/>
      <c r="Y102" s="72"/>
      <c r="Z102" s="45">
        <v>12</v>
      </c>
      <c r="AA102" s="76">
        <v>133</v>
      </c>
      <c r="AB102" s="76">
        <v>144</v>
      </c>
      <c r="AC102" s="72">
        <f t="shared" si="34"/>
        <v>1</v>
      </c>
      <c r="AD102" s="72">
        <f t="shared" si="35"/>
        <v>0</v>
      </c>
      <c r="AE102" s="109" t="str">
        <f t="shared" si="36"/>
        <v>813-820</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484</v>
      </c>
      <c r="D103" s="102" t="s">
        <v>742</v>
      </c>
      <c r="E103" s="32">
        <v>8</v>
      </c>
      <c r="F103" s="32" t="s">
        <v>483</v>
      </c>
      <c r="G103" s="68" t="s">
        <v>277</v>
      </c>
      <c r="H103" s="69">
        <f t="shared" si="43"/>
        <v>805</v>
      </c>
      <c r="I103" s="70">
        <f t="shared" si="44"/>
        <v>812</v>
      </c>
      <c r="J103" s="73" t="str">
        <f t="shared" si="45"/>
        <v>--</v>
      </c>
      <c r="K103" s="32"/>
      <c r="L103" s="233"/>
      <c r="M103" s="279"/>
      <c r="N103" s="279"/>
      <c r="O103" s="279"/>
      <c r="P103" s="279"/>
      <c r="Q103" s="279"/>
      <c r="R103" s="279"/>
      <c r="S103" s="279"/>
      <c r="T103" s="279"/>
      <c r="U103" s="280"/>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805-812</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0</v>
      </c>
    </row>
    <row r="104" spans="1:53" ht="15.75" thickBot="1" x14ac:dyDescent="0.3">
      <c r="A104" s="88"/>
      <c r="B104" s="66" t="s">
        <v>283</v>
      </c>
      <c r="C104" s="67"/>
      <c r="D104" s="102"/>
      <c r="E104" s="32"/>
      <c r="F104" s="32"/>
      <c r="G104" s="68" t="s">
        <v>277</v>
      </c>
      <c r="H104" s="69">
        <f t="shared" si="43"/>
        <v>0</v>
      </c>
      <c r="I104" s="70">
        <f t="shared" si="44"/>
        <v>0</v>
      </c>
      <c r="J104" s="73" t="str">
        <f t="shared" si="45"/>
        <v>--</v>
      </c>
      <c r="K104" s="32"/>
      <c r="L104" s="233"/>
      <c r="M104" s="279"/>
      <c r="N104" s="279"/>
      <c r="O104" s="279"/>
      <c r="P104" s="279"/>
      <c r="Q104" s="279"/>
      <c r="R104" s="279"/>
      <c r="S104" s="279"/>
      <c r="T104" s="279"/>
      <c r="U104" s="280"/>
      <c r="V104" s="103"/>
      <c r="W104" s="72"/>
      <c r="X104" s="72"/>
      <c r="Y104" s="72"/>
      <c r="Z104" s="45">
        <v>14</v>
      </c>
      <c r="AA104" s="77">
        <f t="shared" si="46"/>
        <v>157</v>
      </c>
      <c r="AB104" s="77">
        <f t="shared" si="47"/>
        <v>168</v>
      </c>
      <c r="AC104" s="72">
        <f t="shared" si="34"/>
        <v>1</v>
      </c>
      <c r="AD104" s="72">
        <f t="shared" si="35"/>
        <v>1</v>
      </c>
      <c r="AE104" s="109" t="str">
        <f t="shared" si="36"/>
        <v>0-0</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79"/>
      <c r="N105" s="279"/>
      <c r="O105" s="279"/>
      <c r="P105" s="279"/>
      <c r="Q105" s="279"/>
      <c r="R105" s="279"/>
      <c r="S105" s="279"/>
      <c r="T105" s="279"/>
      <c r="U105" s="280"/>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79"/>
      <c r="N106" s="279"/>
      <c r="O106" s="279"/>
      <c r="P106" s="279"/>
      <c r="Q106" s="279"/>
      <c r="R106" s="279"/>
      <c r="S106" s="279"/>
      <c r="T106" s="279"/>
      <c r="U106" s="280"/>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79"/>
      <c r="N107" s="279"/>
      <c r="O107" s="279"/>
      <c r="P107" s="279"/>
      <c r="Q107" s="279"/>
      <c r="R107" s="279"/>
      <c r="S107" s="279"/>
      <c r="T107" s="279"/>
      <c r="U107" s="280"/>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79"/>
      <c r="N108" s="279"/>
      <c r="O108" s="279"/>
      <c r="P108" s="279"/>
      <c r="Q108" s="279"/>
      <c r="R108" s="279"/>
      <c r="S108" s="279"/>
      <c r="T108" s="279"/>
      <c r="U108" s="280"/>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79"/>
      <c r="N109" s="279"/>
      <c r="O109" s="279"/>
      <c r="P109" s="279"/>
      <c r="Q109" s="279"/>
      <c r="R109" s="279"/>
      <c r="S109" s="279"/>
      <c r="T109" s="279"/>
      <c r="U109" s="280"/>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79"/>
      <c r="N110" s="279"/>
      <c r="O110" s="279"/>
      <c r="P110" s="279"/>
      <c r="Q110" s="279"/>
      <c r="R110" s="279"/>
      <c r="S110" s="279"/>
      <c r="T110" s="279"/>
      <c r="U110" s="280"/>
      <c r="V110" s="103"/>
      <c r="W110" s="84">
        <f>Y110+1</f>
        <v>37</v>
      </c>
      <c r="X110" s="84"/>
      <c r="Y110" s="78">
        <f>SUM(E99:E110)</f>
        <v>36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79"/>
      <c r="N111" s="279"/>
      <c r="O111" s="279"/>
      <c r="P111" s="279"/>
      <c r="Q111" s="279"/>
      <c r="R111" s="279"/>
      <c r="S111" s="279"/>
      <c r="T111" s="279"/>
      <c r="U111" s="280"/>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79"/>
      <c r="N112" s="279"/>
      <c r="O112" s="279"/>
      <c r="P112" s="279"/>
      <c r="Q112" s="279"/>
      <c r="R112" s="279"/>
      <c r="S112" s="279"/>
      <c r="T112" s="279"/>
      <c r="U112" s="280"/>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79"/>
      <c r="N113" s="279"/>
      <c r="O113" s="279"/>
      <c r="P113" s="279"/>
      <c r="Q113" s="279"/>
      <c r="R113" s="279"/>
      <c r="S113" s="279"/>
      <c r="T113" s="279"/>
      <c r="U113" s="280"/>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79"/>
      <c r="N114" s="279"/>
      <c r="O114" s="279"/>
      <c r="P114" s="279"/>
      <c r="Q114" s="279"/>
      <c r="R114" s="279"/>
      <c r="S114" s="279"/>
      <c r="T114" s="279"/>
      <c r="U114" s="280"/>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79"/>
      <c r="N115" s="279"/>
      <c r="O115" s="279"/>
      <c r="P115" s="279"/>
      <c r="Q115" s="279"/>
      <c r="R115" s="279"/>
      <c r="S115" s="279"/>
      <c r="T115" s="279"/>
      <c r="U115" s="280"/>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9"/>
      <c r="N116" s="279"/>
      <c r="O116" s="279"/>
      <c r="P116" s="279"/>
      <c r="Q116" s="279"/>
      <c r="R116" s="279"/>
      <c r="S116" s="279"/>
      <c r="T116" s="279"/>
      <c r="U116" s="280"/>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9"/>
      <c r="N117" s="279"/>
      <c r="O117" s="279"/>
      <c r="P117" s="279"/>
      <c r="Q117" s="279"/>
      <c r="R117" s="279"/>
      <c r="S117" s="279"/>
      <c r="T117" s="279"/>
      <c r="U117" s="280"/>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9"/>
      <c r="N118" s="279"/>
      <c r="O118" s="279"/>
      <c r="P118" s="279"/>
      <c r="Q118" s="279"/>
      <c r="R118" s="279"/>
      <c r="S118" s="279"/>
      <c r="T118" s="279"/>
      <c r="U118" s="280"/>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9"/>
      <c r="N119" s="279"/>
      <c r="O119" s="279"/>
      <c r="P119" s="279"/>
      <c r="Q119" s="279"/>
      <c r="R119" s="279"/>
      <c r="S119" s="279"/>
      <c r="T119" s="279"/>
      <c r="U119" s="280"/>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9"/>
      <c r="N120" s="279"/>
      <c r="O120" s="279"/>
      <c r="P120" s="279"/>
      <c r="Q120" s="279"/>
      <c r="R120" s="279"/>
      <c r="S120" s="279"/>
      <c r="T120" s="279"/>
      <c r="U120" s="280"/>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9"/>
      <c r="N121" s="279"/>
      <c r="O121" s="279"/>
      <c r="P121" s="279"/>
      <c r="Q121" s="279"/>
      <c r="R121" s="279"/>
      <c r="S121" s="279"/>
      <c r="T121" s="279"/>
      <c r="U121" s="280"/>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9"/>
      <c r="N122" s="279"/>
      <c r="O122" s="279"/>
      <c r="P122" s="279"/>
      <c r="Q122" s="279"/>
      <c r="R122" s="279"/>
      <c r="S122" s="279"/>
      <c r="T122" s="279"/>
      <c r="U122" s="280"/>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9"/>
      <c r="N123" s="279"/>
      <c r="O123" s="279"/>
      <c r="P123" s="279"/>
      <c r="Q123" s="279"/>
      <c r="R123" s="279"/>
      <c r="S123" s="279"/>
      <c r="T123" s="279"/>
      <c r="U123" s="280"/>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20" t="s">
        <v>309</v>
      </c>
      <c r="C124" s="321"/>
      <c r="D124" s="79"/>
      <c r="E124" s="80"/>
      <c r="F124" s="80"/>
      <c r="G124" s="81"/>
      <c r="H124" s="192"/>
      <c r="I124" s="192"/>
      <c r="J124" s="192"/>
      <c r="K124" s="82"/>
      <c r="L124" s="320" t="s">
        <v>306</v>
      </c>
      <c r="M124" s="331"/>
      <c r="N124" s="331"/>
      <c r="O124" s="331"/>
      <c r="P124" s="331"/>
      <c r="Q124" s="331"/>
      <c r="R124" s="331"/>
      <c r="S124" s="331"/>
      <c r="T124" s="331"/>
      <c r="U124" s="321"/>
      <c r="V124" s="104"/>
      <c r="W124" s="72"/>
      <c r="X124" s="72"/>
      <c r="Y124" s="72"/>
      <c r="Z124" s="72"/>
      <c r="AA124" s="72" t="str">
        <f t="shared" si="49"/>
        <v/>
      </c>
      <c r="AB124" s="72"/>
      <c r="AC124" s="72">
        <f>SUM(AC99:AC123)</f>
        <v>25</v>
      </c>
      <c r="AD124" s="72">
        <f>SUM(AD99:AD123)</f>
        <v>20</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20" t="s">
        <v>307</v>
      </c>
      <c r="C125" s="321"/>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3" t="s">
        <v>222</v>
      </c>
      <c r="C129" s="314"/>
      <c r="D129" s="315" t="s">
        <v>223</v>
      </c>
      <c r="E129" s="306"/>
      <c r="F129" s="88"/>
      <c r="G129" s="316" t="s">
        <v>224</v>
      </c>
      <c r="H129" s="317"/>
      <c r="I129" s="28">
        <f>SUM(E140:E164)</f>
        <v>192</v>
      </c>
      <c r="J129" s="318" t="s">
        <v>225</v>
      </c>
      <c r="K129" s="319"/>
      <c r="L129" s="306"/>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6" t="s">
        <v>226</v>
      </c>
      <c r="AA129" s="297"/>
      <c r="AB129" s="298"/>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5" t="s">
        <v>230</v>
      </c>
      <c r="H130" s="306"/>
      <c r="I130" s="33">
        <f>E131-I129</f>
        <v>240</v>
      </c>
      <c r="J130" s="290" t="s">
        <v>231</v>
      </c>
      <c r="K130" s="291"/>
      <c r="L130" s="34">
        <f>I134</f>
        <v>613</v>
      </c>
      <c r="M130" s="196">
        <v>4</v>
      </c>
      <c r="N130" s="35">
        <f>SUM(AI130,AI141)</f>
        <v>0</v>
      </c>
      <c r="O130" s="35">
        <v>0</v>
      </c>
      <c r="P130" s="35">
        <f>SUM(AJ130,AJ141)</f>
        <v>0</v>
      </c>
      <c r="Q130" s="35">
        <v>0</v>
      </c>
      <c r="R130" s="35">
        <f>COUNTIFS($E140:$E164,"4",$F140:$F164,"Pole",$C140:$C164,"FST")</f>
        <v>3</v>
      </c>
      <c r="S130" s="35">
        <f>SUM(AL130,AK141)</f>
        <v>0</v>
      </c>
      <c r="T130" s="35">
        <v>0</v>
      </c>
      <c r="U130" s="35">
        <f>SUM(AK130,AL141)</f>
        <v>3</v>
      </c>
      <c r="V130" s="35">
        <v>0</v>
      </c>
      <c r="W130" s="34">
        <f>COUNTIFS($E140:$E164,"4",$F140:$F164,"HH",$C140:$C164,"FST")</f>
        <v>0</v>
      </c>
      <c r="X130" s="35">
        <f>COUNTIFS($E140:$E164,"4",$F140:$F164,"Ped",$C140:$C164,"FST")</f>
        <v>0</v>
      </c>
      <c r="Y130" s="25"/>
      <c r="Z130" s="299" t="s">
        <v>232</v>
      </c>
      <c r="AA130" s="301" t="s">
        <v>233</v>
      </c>
      <c r="AB130" s="302"/>
      <c r="AC130" s="25"/>
      <c r="AD130" s="25"/>
      <c r="AH130" s="109">
        <v>4</v>
      </c>
      <c r="AI130" s="109" t="str">
        <f>IF($E130="SS",COUNTIFS($C140:$C164,"FST",$E140:$E164,"4"),"0")</f>
        <v>0</v>
      </c>
      <c r="AJ130" s="109" t="str">
        <f>IF($E130="RPX",COUNTIFS($C140:$C164,"FST",$E140:$E164,"4"),"0")</f>
        <v>0</v>
      </c>
      <c r="AK130" s="109">
        <f>IF($E130="EUC",COUNTIFS($C140:$C164,"FST",$E140:$E164,"4"),"0")</f>
        <v>3</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432</v>
      </c>
      <c r="F131" s="88"/>
      <c r="G131" s="292" t="s">
        <v>237</v>
      </c>
      <c r="H131" s="293"/>
      <c r="I131" s="35">
        <f>IF(E131=0,0,12-(MOD(I129,12)))</f>
        <v>12</v>
      </c>
      <c r="J131" s="290" t="s">
        <v>238</v>
      </c>
      <c r="K131" s="291"/>
      <c r="L131" s="39">
        <f>I135-I129</f>
        <v>612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0"/>
      <c r="AA131" s="303"/>
      <c r="AB131" s="304"/>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322" t="s">
        <v>242</v>
      </c>
      <c r="H132" s="43" t="s">
        <v>243</v>
      </c>
      <c r="I132" s="35">
        <f>IF(E132&lt;&gt;0,1,0)</f>
        <v>1</v>
      </c>
      <c r="J132" s="292" t="s">
        <v>244</v>
      </c>
      <c r="K132" s="293"/>
      <c r="L132" s="44">
        <f>'Cable Calculator'!S3</f>
        <v>2260</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613</v>
      </c>
      <c r="F133" s="88"/>
      <c r="G133" s="323"/>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36</v>
      </c>
      <c r="F134" s="88"/>
      <c r="G134" s="322" t="s">
        <v>251</v>
      </c>
      <c r="H134" s="51" t="s">
        <v>252</v>
      </c>
      <c r="I134" s="112">
        <f>E133</f>
        <v>613</v>
      </c>
      <c r="J134" s="324" t="s">
        <v>253</v>
      </c>
      <c r="K134" s="325"/>
      <c r="L134" s="326"/>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216</v>
      </c>
      <c r="D135" s="31" t="s">
        <v>256</v>
      </c>
      <c r="E135" s="101" t="str">
        <f>IF('Cable Calculator'!S5="","",'Cable Calculator'!S5)</f>
        <v>N</v>
      </c>
      <c r="F135" s="88"/>
      <c r="G135" s="323"/>
      <c r="H135" s="47" t="s">
        <v>257</v>
      </c>
      <c r="I135" s="35">
        <f>IF(E133="","0",IF(AND(E130="EUC",E131=432), I134+(203-E132),IF(E133=0,0,(E133+(E131-E132)-1))))</f>
        <v>804</v>
      </c>
      <c r="J135" s="287" t="str">
        <f>IFERROR(IF(OR(E130="EUC",E130="SS"),"---",IF(OR(P129,S129),"NO 2F Tethers for RPX!",IF(OR(P131,S131),"NO 6F Tethers for RPX!","---"))),"---")</f>
        <v>---</v>
      </c>
      <c r="K135" s="288"/>
      <c r="L135" s="289"/>
      <c r="M135" s="287" t="str">
        <f>IF(E132&gt;60,"Dead Count &gt;60: Consider Downsize","---")</f>
        <v>---</v>
      </c>
      <c r="N135" s="288"/>
      <c r="O135" s="288"/>
      <c r="P135" s="288"/>
      <c r="Q135" s="288"/>
      <c r="R135" s="288"/>
      <c r="S135" s="288"/>
      <c r="T135" s="288"/>
      <c r="U135" s="289"/>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408</v>
      </c>
      <c r="D136" s="31" t="s">
        <v>259</v>
      </c>
      <c r="E136" s="101" t="str">
        <f>IF(AS130="Y","DBL",IF(AS131="Y","TRPL",IF(AS132="Y","QUAD","")))</f>
        <v/>
      </c>
      <c r="F136" s="88"/>
      <c r="G136" s="192"/>
      <c r="H136" s="57"/>
      <c r="I136" s="192"/>
      <c r="J136" s="287"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8"/>
      <c r="L136" s="289"/>
      <c r="M136" s="287" t="str">
        <f>IF(AND(OR(E130="SS",E130="RPX",E130="EUC",E130="RPX-T"),(OR(C140="",C140="Field SPL"))),"Cannot have FlexNap cables without tethers","---")</f>
        <v>---</v>
      </c>
      <c r="N136" s="288"/>
      <c r="O136" s="288"/>
      <c r="P136" s="288"/>
      <c r="Q136" s="288"/>
      <c r="R136" s="288"/>
      <c r="S136" s="288"/>
      <c r="T136" s="288"/>
      <c r="U136" s="289"/>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7" t="str">
        <f>IF(AND(OR(E130="RPX", E130="RPX-T", E130="SS"),E131=216),"NO 216 For RPX, RPX-T, OR SS CABLE","---")</f>
        <v>---</v>
      </c>
      <c r="K137" s="288"/>
      <c r="L137" s="289"/>
      <c r="M137" s="287" t="str" cm="1">
        <f t="array" ref="M137">IF(AND(E130="",OR(C140:C164="FST",C140:C164="REV T",C140:C164="DBL REV",C140:C164="TPL REV", C140:C164="QD REV")),"Non-FlexNap cables cannot have tethers","---")</f>
        <v>---</v>
      </c>
      <c r="N137" s="288"/>
      <c r="O137" s="288"/>
      <c r="P137" s="288"/>
      <c r="Q137" s="288"/>
      <c r="R137" s="288"/>
      <c r="S137" s="288"/>
      <c r="T137" s="288"/>
      <c r="U137" s="289"/>
      <c r="V137" s="25"/>
      <c r="W137" s="58"/>
      <c r="X137" s="58"/>
      <c r="Y137" s="25"/>
      <c r="Z137" s="45">
        <v>6</v>
      </c>
      <c r="AA137" s="65">
        <v>61</v>
      </c>
      <c r="AB137" s="65">
        <v>72</v>
      </c>
      <c r="AC137" s="25"/>
      <c r="AD137" s="25"/>
      <c r="BA137" s="226"/>
    </row>
    <row r="138" spans="1:53" ht="15.75" customHeight="1" thickBot="1" x14ac:dyDescent="0.3">
      <c r="A138" s="88"/>
      <c r="B138" s="322" t="s">
        <v>260</v>
      </c>
      <c r="C138" s="294" t="s">
        <v>261</v>
      </c>
      <c r="D138" s="294" t="s">
        <v>262</v>
      </c>
      <c r="E138" s="307" t="s">
        <v>263</v>
      </c>
      <c r="F138" s="294" t="s">
        <v>264</v>
      </c>
      <c r="G138" s="309" t="s">
        <v>265</v>
      </c>
      <c r="H138" s="309" t="s">
        <v>266</v>
      </c>
      <c r="I138" s="309" t="s">
        <v>267</v>
      </c>
      <c r="J138" s="311" t="s">
        <v>268</v>
      </c>
      <c r="K138" s="294" t="s">
        <v>269</v>
      </c>
      <c r="L138" s="281" t="s">
        <v>270</v>
      </c>
      <c r="M138" s="283" t="s">
        <v>271</v>
      </c>
      <c r="N138" s="283"/>
      <c r="O138" s="283"/>
      <c r="P138" s="283"/>
      <c r="Q138" s="283"/>
      <c r="R138" s="283"/>
      <c r="S138" s="283"/>
      <c r="T138" s="283"/>
      <c r="U138" s="284"/>
      <c r="V138" s="107"/>
      <c r="W138" s="72"/>
      <c r="X138" s="72"/>
      <c r="Y138" s="72"/>
      <c r="Z138" s="45">
        <v>7</v>
      </c>
      <c r="AA138" s="65">
        <v>73</v>
      </c>
      <c r="AB138" s="65">
        <v>84</v>
      </c>
      <c r="AC138" s="25"/>
      <c r="AD138" s="25"/>
      <c r="BA138" s="228"/>
    </row>
    <row r="139" spans="1:53" ht="15.75" thickBot="1" x14ac:dyDescent="0.3">
      <c r="A139" s="88"/>
      <c r="B139" s="323"/>
      <c r="C139" s="295"/>
      <c r="D139" s="295"/>
      <c r="E139" s="308"/>
      <c r="F139" s="295"/>
      <c r="G139" s="310"/>
      <c r="H139" s="310"/>
      <c r="I139" s="310"/>
      <c r="J139" s="312"/>
      <c r="K139" s="295"/>
      <c r="L139" s="282"/>
      <c r="M139" s="285"/>
      <c r="N139" s="285"/>
      <c r="O139" s="285"/>
      <c r="P139" s="285"/>
      <c r="Q139" s="285"/>
      <c r="R139" s="285"/>
      <c r="S139" s="285"/>
      <c r="T139" s="285"/>
      <c r="U139" s="286"/>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743</v>
      </c>
      <c r="E140" s="32">
        <v>4</v>
      </c>
      <c r="F140" s="32" t="s">
        <v>483</v>
      </c>
      <c r="G140" s="68" t="s">
        <v>277</v>
      </c>
      <c r="H140" s="69">
        <f>IF(I140=0,0,I140-(E140-1))</f>
        <v>801</v>
      </c>
      <c r="I140" s="70">
        <f>IF(E140=0,0,I135)</f>
        <v>804</v>
      </c>
      <c r="J140" s="71" t="s">
        <v>278</v>
      </c>
      <c r="K140" s="32"/>
      <c r="L140" s="233"/>
      <c r="M140" s="279"/>
      <c r="N140" s="279"/>
      <c r="O140" s="279"/>
      <c r="P140" s="279"/>
      <c r="Q140" s="279"/>
      <c r="R140" s="279"/>
      <c r="S140" s="279"/>
      <c r="T140" s="279"/>
      <c r="U140" s="280"/>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801-804</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744</v>
      </c>
      <c r="E141" s="32">
        <v>4</v>
      </c>
      <c r="F141" s="32" t="s">
        <v>483</v>
      </c>
      <c r="G141" s="68" t="s">
        <v>277</v>
      </c>
      <c r="H141" s="69">
        <f t="shared" ref="H141:H164" si="60">IF(E141=0,0,I141-(E141-1))</f>
        <v>797</v>
      </c>
      <c r="I141" s="70">
        <f t="shared" ref="I141:I164" si="61">IF(E141=0,0,H140-1)</f>
        <v>800</v>
      </c>
      <c r="J141" s="73" t="str">
        <f>IF(C141="","--",IF(AND(C141&lt;&gt;"FST",C141&lt;&gt;"TCF",BA140&lt;&gt;0),BA140,"--"))</f>
        <v>--</v>
      </c>
      <c r="K141" s="32"/>
      <c r="L141" s="233"/>
      <c r="M141" s="279"/>
      <c r="N141" s="279"/>
      <c r="O141" s="279"/>
      <c r="P141" s="279"/>
      <c r="Q141" s="279"/>
      <c r="R141" s="279"/>
      <c r="S141" s="279"/>
      <c r="T141" s="279"/>
      <c r="U141" s="280"/>
      <c r="V141" s="103"/>
      <c r="W141" s="72"/>
      <c r="X141" s="72"/>
      <c r="Y141" s="72"/>
      <c r="Z141" s="45">
        <v>10</v>
      </c>
      <c r="AA141" s="46">
        <v>109</v>
      </c>
      <c r="AB141" s="46">
        <v>120</v>
      </c>
      <c r="AC141" s="72">
        <f t="shared" si="51"/>
        <v>1</v>
      </c>
      <c r="AD141" s="72">
        <f t="shared" si="52"/>
        <v>0</v>
      </c>
      <c r="AE141" s="109" t="str">
        <f t="shared" si="53"/>
        <v>797-800</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8</v>
      </c>
    </row>
    <row r="142" spans="1:53" ht="15.75" thickBot="1" x14ac:dyDescent="0.3">
      <c r="A142" s="88"/>
      <c r="B142" s="74" t="s">
        <v>280</v>
      </c>
      <c r="C142" s="67" t="s">
        <v>484</v>
      </c>
      <c r="D142" s="102" t="s">
        <v>745</v>
      </c>
      <c r="E142" s="32">
        <v>4</v>
      </c>
      <c r="F142" s="32" t="s">
        <v>483</v>
      </c>
      <c r="G142" s="75" t="s">
        <v>277</v>
      </c>
      <c r="H142" s="69">
        <f t="shared" si="60"/>
        <v>793</v>
      </c>
      <c r="I142" s="70">
        <f t="shared" si="61"/>
        <v>796</v>
      </c>
      <c r="J142" s="73" t="str">
        <f t="shared" ref="J142:J164" si="62">IF(C142="","--",IF(AND(C142&lt;&gt;"FST",C142&lt;&gt;"TCF",BA141&lt;&gt;0),BA141,"--"))</f>
        <v>--</v>
      </c>
      <c r="K142" s="32"/>
      <c r="L142" s="233"/>
      <c r="M142" s="279"/>
      <c r="N142" s="279"/>
      <c r="O142" s="279"/>
      <c r="P142" s="279"/>
      <c r="Q142" s="279"/>
      <c r="R142" s="279"/>
      <c r="S142" s="279"/>
      <c r="T142" s="279"/>
      <c r="U142" s="280"/>
      <c r="V142" s="103"/>
      <c r="W142" s="72"/>
      <c r="X142" s="72"/>
      <c r="Y142" s="72"/>
      <c r="Z142" s="45">
        <v>11</v>
      </c>
      <c r="AA142" s="46">
        <v>121</v>
      </c>
      <c r="AB142" s="46">
        <v>132</v>
      </c>
      <c r="AC142" s="72">
        <f t="shared" si="51"/>
        <v>1</v>
      </c>
      <c r="AD142" s="72">
        <f t="shared" si="52"/>
        <v>0</v>
      </c>
      <c r="AE142" s="109" t="str">
        <f t="shared" si="53"/>
        <v>793-796</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t="s">
        <v>502</v>
      </c>
      <c r="D143" s="102"/>
      <c r="E143" s="32">
        <v>120</v>
      </c>
      <c r="F143" s="32"/>
      <c r="G143" s="68" t="s">
        <v>277</v>
      </c>
      <c r="H143" s="69">
        <f t="shared" si="60"/>
        <v>673</v>
      </c>
      <c r="I143" s="70">
        <f t="shared" si="61"/>
        <v>792</v>
      </c>
      <c r="J143" s="73" t="str">
        <f t="shared" si="62"/>
        <v>--</v>
      </c>
      <c r="K143" s="32"/>
      <c r="L143" s="233"/>
      <c r="M143" s="279" t="s">
        <v>407</v>
      </c>
      <c r="N143" s="279"/>
      <c r="O143" s="279"/>
      <c r="P143" s="279"/>
      <c r="Q143" s="279"/>
      <c r="R143" s="279"/>
      <c r="S143" s="279"/>
      <c r="T143" s="279"/>
      <c r="U143" s="280"/>
      <c r="V143" s="103"/>
      <c r="W143" s="72"/>
      <c r="X143" s="72"/>
      <c r="Y143" s="72"/>
      <c r="Z143" s="45">
        <v>12</v>
      </c>
      <c r="AA143" s="76">
        <v>133</v>
      </c>
      <c r="AB143" s="76">
        <v>144</v>
      </c>
      <c r="AC143" s="72">
        <f t="shared" si="51"/>
        <v>1</v>
      </c>
      <c r="AD143" s="72">
        <f t="shared" si="52"/>
        <v>1</v>
      </c>
      <c r="AE143" s="109" t="str">
        <f t="shared" si="53"/>
        <v>673-792</v>
      </c>
      <c r="AF143" s="109" t="str">
        <f t="shared" si="54"/>
        <v>N</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t="s">
        <v>502</v>
      </c>
      <c r="D144" s="102"/>
      <c r="E144" s="32">
        <v>60</v>
      </c>
      <c r="F144" s="32"/>
      <c r="G144" s="68" t="s">
        <v>277</v>
      </c>
      <c r="H144" s="69">
        <f t="shared" si="60"/>
        <v>613</v>
      </c>
      <c r="I144" s="70">
        <f t="shared" si="61"/>
        <v>672</v>
      </c>
      <c r="J144" s="73" t="str">
        <f t="shared" si="62"/>
        <v>--</v>
      </c>
      <c r="K144" s="32"/>
      <c r="L144" s="233"/>
      <c r="M144" s="279" t="s">
        <v>818</v>
      </c>
      <c r="N144" s="279"/>
      <c r="O144" s="279"/>
      <c r="P144" s="279"/>
      <c r="Q144" s="279"/>
      <c r="R144" s="279"/>
      <c r="S144" s="279"/>
      <c r="T144" s="279"/>
      <c r="U144" s="280"/>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613-672</v>
      </c>
      <c r="AF144" s="109" t="str">
        <f t="shared" si="54"/>
        <v>N</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79" t="s">
        <v>817</v>
      </c>
      <c r="N145" s="279"/>
      <c r="O145" s="279"/>
      <c r="P145" s="279"/>
      <c r="Q145" s="279"/>
      <c r="R145" s="279"/>
      <c r="S145" s="279"/>
      <c r="T145" s="279"/>
      <c r="U145" s="280"/>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79"/>
      <c r="N146" s="279"/>
      <c r="O146" s="279"/>
      <c r="P146" s="279"/>
      <c r="Q146" s="279"/>
      <c r="R146" s="279"/>
      <c r="S146" s="279"/>
      <c r="T146" s="279"/>
      <c r="U146" s="280"/>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79"/>
      <c r="N147" s="279"/>
      <c r="O147" s="279"/>
      <c r="P147" s="279"/>
      <c r="Q147" s="279"/>
      <c r="R147" s="279"/>
      <c r="S147" s="279"/>
      <c r="T147" s="279"/>
      <c r="U147" s="280"/>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79"/>
      <c r="N148" s="279"/>
      <c r="O148" s="279"/>
      <c r="P148" s="279"/>
      <c r="Q148" s="279"/>
      <c r="R148" s="279"/>
      <c r="S148" s="279"/>
      <c r="T148" s="279"/>
      <c r="U148" s="280"/>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79"/>
      <c r="N149" s="279"/>
      <c r="O149" s="279"/>
      <c r="P149" s="279"/>
      <c r="Q149" s="279"/>
      <c r="R149" s="279"/>
      <c r="S149" s="279"/>
      <c r="T149" s="279"/>
      <c r="U149" s="280"/>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79"/>
      <c r="N150" s="279"/>
      <c r="O150" s="279"/>
      <c r="P150" s="279"/>
      <c r="Q150" s="279"/>
      <c r="R150" s="279"/>
      <c r="S150" s="279"/>
      <c r="T150" s="279"/>
      <c r="U150" s="280"/>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79"/>
      <c r="N151" s="279"/>
      <c r="O151" s="279"/>
      <c r="P151" s="279"/>
      <c r="Q151" s="279"/>
      <c r="R151" s="279"/>
      <c r="S151" s="279"/>
      <c r="T151" s="279"/>
      <c r="U151" s="280"/>
      <c r="V151" s="103"/>
      <c r="W151" s="84">
        <f>Y151+1</f>
        <v>193</v>
      </c>
      <c r="X151" s="84"/>
      <c r="Y151" s="78">
        <f>SUM(E140:E151)</f>
        <v>192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9"/>
      <c r="N152" s="279"/>
      <c r="O152" s="279"/>
      <c r="P152" s="279"/>
      <c r="Q152" s="279"/>
      <c r="R152" s="279"/>
      <c r="S152" s="279"/>
      <c r="T152" s="279"/>
      <c r="U152" s="280"/>
      <c r="V152" s="103"/>
      <c r="W152" s="84">
        <f>Y152+1</f>
        <v>193</v>
      </c>
      <c r="X152" s="84"/>
      <c r="Y152" s="78">
        <f>SUM(E140:E152)</f>
        <v>192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9"/>
      <c r="N153" s="279"/>
      <c r="O153" s="279"/>
      <c r="P153" s="279"/>
      <c r="Q153" s="279"/>
      <c r="R153" s="279"/>
      <c r="S153" s="279"/>
      <c r="T153" s="279"/>
      <c r="U153" s="280"/>
      <c r="V153" s="103"/>
      <c r="W153" s="84">
        <f>Y153+1</f>
        <v>193</v>
      </c>
      <c r="X153" s="84"/>
      <c r="Y153" s="78">
        <f>SUM(E140:E153)</f>
        <v>192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9"/>
      <c r="N154" s="279"/>
      <c r="O154" s="279"/>
      <c r="P154" s="279"/>
      <c r="Q154" s="279"/>
      <c r="R154" s="279"/>
      <c r="S154" s="279"/>
      <c r="T154" s="279"/>
      <c r="U154" s="280"/>
      <c r="V154" s="103"/>
      <c r="W154" s="84">
        <f>Y154+1</f>
        <v>193</v>
      </c>
      <c r="X154" s="84"/>
      <c r="Y154" s="78">
        <f>SUM(E140:E154)</f>
        <v>192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9"/>
      <c r="N155" s="279"/>
      <c r="O155" s="279"/>
      <c r="P155" s="279"/>
      <c r="Q155" s="279"/>
      <c r="R155" s="279"/>
      <c r="S155" s="279"/>
      <c r="T155" s="279"/>
      <c r="U155" s="280"/>
      <c r="V155" s="103"/>
      <c r="W155" s="84">
        <f t="shared" ref="W155:W163" si="67">Y155+1</f>
        <v>193</v>
      </c>
      <c r="X155" s="84"/>
      <c r="Y155" s="78">
        <f>SUM(E140:E155)</f>
        <v>192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9"/>
      <c r="N156" s="279"/>
      <c r="O156" s="279"/>
      <c r="P156" s="279"/>
      <c r="Q156" s="279"/>
      <c r="R156" s="279"/>
      <c r="S156" s="279"/>
      <c r="T156" s="279"/>
      <c r="U156" s="280"/>
      <c r="V156" s="103"/>
      <c r="W156" s="84">
        <f t="shared" si="67"/>
        <v>193</v>
      </c>
      <c r="X156" s="84"/>
      <c r="Y156" s="78">
        <f>SUM(E140:E156)</f>
        <v>192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9"/>
      <c r="N157" s="279"/>
      <c r="O157" s="279"/>
      <c r="P157" s="279"/>
      <c r="Q157" s="279"/>
      <c r="R157" s="279"/>
      <c r="S157" s="279"/>
      <c r="T157" s="279"/>
      <c r="U157" s="280"/>
      <c r="V157" s="103"/>
      <c r="W157" s="84">
        <f t="shared" si="67"/>
        <v>193</v>
      </c>
      <c r="X157" s="84"/>
      <c r="Y157" s="78">
        <f>SUM(E140:E157)</f>
        <v>192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9"/>
      <c r="N158" s="279"/>
      <c r="O158" s="279"/>
      <c r="P158" s="279"/>
      <c r="Q158" s="279"/>
      <c r="R158" s="279"/>
      <c r="S158" s="279"/>
      <c r="T158" s="279"/>
      <c r="U158" s="280"/>
      <c r="V158" s="103"/>
      <c r="W158" s="84">
        <f t="shared" si="67"/>
        <v>193</v>
      </c>
      <c r="X158" s="84"/>
      <c r="Y158" s="78">
        <f>SUM(E140:E158)</f>
        <v>192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9"/>
      <c r="N159" s="279"/>
      <c r="O159" s="279"/>
      <c r="P159" s="279"/>
      <c r="Q159" s="279"/>
      <c r="R159" s="279"/>
      <c r="S159" s="279"/>
      <c r="T159" s="279"/>
      <c r="U159" s="280"/>
      <c r="V159" s="103"/>
      <c r="W159" s="84">
        <f t="shared" si="67"/>
        <v>193</v>
      </c>
      <c r="X159" s="84"/>
      <c r="Y159" s="78">
        <f>SUM(E140:E159)</f>
        <v>192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9"/>
      <c r="N160" s="279"/>
      <c r="O160" s="279"/>
      <c r="P160" s="279"/>
      <c r="Q160" s="279"/>
      <c r="R160" s="279"/>
      <c r="S160" s="279"/>
      <c r="T160" s="279"/>
      <c r="U160" s="280"/>
      <c r="V160" s="103"/>
      <c r="W160" s="84">
        <f t="shared" si="67"/>
        <v>193</v>
      </c>
      <c r="X160" s="84"/>
      <c r="Y160" s="78">
        <f>SUM(E140:E160)</f>
        <v>192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9"/>
      <c r="N161" s="279"/>
      <c r="O161" s="279"/>
      <c r="P161" s="279"/>
      <c r="Q161" s="279"/>
      <c r="R161" s="279"/>
      <c r="S161" s="279"/>
      <c r="T161" s="279"/>
      <c r="U161" s="280"/>
      <c r="V161" s="103"/>
      <c r="W161" s="84">
        <f t="shared" si="67"/>
        <v>193</v>
      </c>
      <c r="X161" s="84"/>
      <c r="Y161" s="78">
        <f>SUM(E140:E161)</f>
        <v>192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9"/>
      <c r="N162" s="279"/>
      <c r="O162" s="279"/>
      <c r="P162" s="279"/>
      <c r="Q162" s="279"/>
      <c r="R162" s="279"/>
      <c r="S162" s="279"/>
      <c r="T162" s="279"/>
      <c r="U162" s="280"/>
      <c r="V162" s="103"/>
      <c r="W162" s="84">
        <f t="shared" si="67"/>
        <v>193</v>
      </c>
      <c r="X162" s="84"/>
      <c r="Y162" s="78">
        <f>SUM(E140:E162)</f>
        <v>192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9"/>
      <c r="N163" s="279"/>
      <c r="O163" s="279"/>
      <c r="P163" s="279"/>
      <c r="Q163" s="279"/>
      <c r="R163" s="279"/>
      <c r="S163" s="279"/>
      <c r="T163" s="279"/>
      <c r="U163" s="280"/>
      <c r="V163" s="103"/>
      <c r="W163" s="84">
        <f t="shared" si="67"/>
        <v>193</v>
      </c>
      <c r="X163" s="84"/>
      <c r="Y163" s="78">
        <f>SUM(E140:E163)</f>
        <v>192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9"/>
      <c r="N164" s="279"/>
      <c r="O164" s="279"/>
      <c r="P164" s="279"/>
      <c r="Q164" s="279"/>
      <c r="R164" s="279"/>
      <c r="S164" s="279"/>
      <c r="T164" s="279"/>
      <c r="U164" s="280"/>
      <c r="V164" s="103"/>
      <c r="W164" s="72"/>
      <c r="X164" s="72"/>
      <c r="Y164" s="78">
        <f>SUM(E140:E164)</f>
        <v>192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20" t="s">
        <v>311</v>
      </c>
      <c r="C165" s="321"/>
      <c r="D165" s="79"/>
      <c r="E165" s="80"/>
      <c r="F165" s="80"/>
      <c r="G165" s="81"/>
      <c r="H165" s="192"/>
      <c r="I165" s="192"/>
      <c r="J165" s="192"/>
      <c r="K165" s="82"/>
      <c r="L165" s="320" t="s">
        <v>306</v>
      </c>
      <c r="M165" s="331"/>
      <c r="N165" s="331"/>
      <c r="O165" s="331"/>
      <c r="P165" s="331"/>
      <c r="Q165" s="331"/>
      <c r="R165" s="331"/>
      <c r="S165" s="331"/>
      <c r="T165" s="331"/>
      <c r="U165" s="321"/>
      <c r="V165" s="104"/>
      <c r="W165" s="72"/>
      <c r="X165" s="72"/>
      <c r="Y165" s="72"/>
      <c r="Z165" s="72"/>
      <c r="AA165" s="72" t="str">
        <f t="shared" si="66"/>
        <v/>
      </c>
      <c r="AB165" s="72"/>
      <c r="AC165" s="72">
        <f>SUM(AC140:AC164)</f>
        <v>25</v>
      </c>
      <c r="AD165" s="72">
        <f>SUM(AD140:AD164)</f>
        <v>22</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20" t="s">
        <v>307</v>
      </c>
      <c r="C166" s="321"/>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3" t="s">
        <v>222</v>
      </c>
      <c r="C170" s="314"/>
      <c r="D170" s="315" t="s">
        <v>223</v>
      </c>
      <c r="E170" s="306"/>
      <c r="F170" s="88"/>
      <c r="G170" s="316" t="s">
        <v>224</v>
      </c>
      <c r="H170" s="317"/>
      <c r="I170" s="28">
        <f>SUM(E181:E205)</f>
        <v>120</v>
      </c>
      <c r="J170" s="318" t="s">
        <v>225</v>
      </c>
      <c r="K170" s="319"/>
      <c r="L170" s="306"/>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6" t="s">
        <v>226</v>
      </c>
      <c r="AA170" s="297"/>
      <c r="AB170" s="298"/>
      <c r="AC170" s="25"/>
      <c r="AD170" s="25"/>
      <c r="AH170" s="109">
        <v>2</v>
      </c>
      <c r="AI170" s="109" t="str">
        <f>IF($E171="SS",COUNTIFS($C181:$C205,"FST",$E181:$E205,"2"),"0")</f>
        <v>0</v>
      </c>
      <c r="AJ170" s="109" t="str">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
      </c>
      <c r="F171" s="88"/>
      <c r="G171" s="305" t="s">
        <v>230</v>
      </c>
      <c r="H171" s="306"/>
      <c r="I171" s="33">
        <f>E172-I170</f>
        <v>24</v>
      </c>
      <c r="J171" s="290" t="s">
        <v>231</v>
      </c>
      <c r="K171" s="291"/>
      <c r="L171" s="34">
        <f>I175</f>
        <v>673</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299" t="s">
        <v>232</v>
      </c>
      <c r="AA171" s="301" t="s">
        <v>233</v>
      </c>
      <c r="AB171" s="302"/>
      <c r="AC171" s="25"/>
      <c r="AD171" s="25"/>
      <c r="AH171" s="109">
        <v>4</v>
      </c>
      <c r="AI171" s="109" t="str">
        <f>IF($E171="SS",COUNTIFS($C181:$C205,"FST",$E181:$E205,"4"),"0")</f>
        <v>0</v>
      </c>
      <c r="AJ171" s="109" t="str">
        <f>IF($E171="RPX",COUNTIFS($C181:$C205,"FST",$E181:$E205,"4"),"0")</f>
        <v>0</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144</v>
      </c>
      <c r="F172" s="88"/>
      <c r="G172" s="292" t="s">
        <v>237</v>
      </c>
      <c r="H172" s="293"/>
      <c r="I172" s="35">
        <f>IF(E172=0,0,12-(MOD(I170,12)))</f>
        <v>12</v>
      </c>
      <c r="J172" s="290" t="s">
        <v>238</v>
      </c>
      <c r="K172" s="291"/>
      <c r="L172" s="39">
        <f>I176-I170</f>
        <v>672</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0"/>
      <c r="AA172" s="303"/>
      <c r="AB172" s="304"/>
      <c r="AC172" s="25"/>
      <c r="AD172" s="25"/>
      <c r="AH172" s="109">
        <v>6</v>
      </c>
      <c r="AI172" s="109" t="str">
        <f>IF($E171="SS",COUNTIFS($C181:$C205,"FST",$E181:$E205,"6"),"0")</f>
        <v>0</v>
      </c>
      <c r="AJ172" s="109" t="str">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24</v>
      </c>
      <c r="F173" s="88"/>
      <c r="G173" s="322" t="s">
        <v>242</v>
      </c>
      <c r="H173" s="43" t="s">
        <v>243</v>
      </c>
      <c r="I173" s="35">
        <f>IF(E173&lt;&gt;0,1,0)</f>
        <v>1</v>
      </c>
      <c r="J173" s="292" t="s">
        <v>244</v>
      </c>
      <c r="K173" s="293"/>
      <c r="L173" s="44">
        <f>'Cable Calculator'!X3</f>
        <v>2688</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673</v>
      </c>
      <c r="F174" s="88"/>
      <c r="G174" s="323"/>
      <c r="H174" s="47" t="s">
        <v>248</v>
      </c>
      <c r="I174" s="35">
        <f>IF(E173&lt;&gt;0,E173,0)</f>
        <v>24</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12</v>
      </c>
      <c r="F175" s="88"/>
      <c r="G175" s="322" t="s">
        <v>251</v>
      </c>
      <c r="H175" s="51" t="s">
        <v>252</v>
      </c>
      <c r="I175" s="112">
        <f>E174</f>
        <v>673</v>
      </c>
      <c r="J175" s="324" t="s">
        <v>253</v>
      </c>
      <c r="K175" s="325"/>
      <c r="L175" s="326"/>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3"/>
      <c r="H176" s="47" t="s">
        <v>257</v>
      </c>
      <c r="I176" s="35">
        <f>IF(E174="","0",IF(AND(E171="EUC",E172=432), I175+(203-E173),IF(E174=0,0,(E174+(E172-E173)-1))))</f>
        <v>792</v>
      </c>
      <c r="J176" s="287" t="str">
        <f>IFERROR(IF(OR(E171="EUC",E171="SS"),"---",IF(OR(P170,S170),"NO 2F Tethers for RPX!",IF(OR(P172,S172),"NO 6F Tethers for RPX!","---"))),"---")</f>
        <v>---</v>
      </c>
      <c r="K176" s="288"/>
      <c r="L176" s="289"/>
      <c r="M176" s="287" t="str">
        <f>IF(E173&gt;60,"Dead Count &gt;60: Consider Downsize","---")</f>
        <v>---</v>
      </c>
      <c r="N176" s="288"/>
      <c r="O176" s="288"/>
      <c r="P176" s="288"/>
      <c r="Q176" s="288"/>
      <c r="R176" s="288"/>
      <c r="S176" s="288"/>
      <c r="T176" s="288"/>
      <c r="U176" s="289"/>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120</v>
      </c>
      <c r="D177" s="31" t="s">
        <v>259</v>
      </c>
      <c r="E177" s="101" t="str">
        <f>IF(AS171="Y","DBL",IF(AS172="Y","TRPL",IF(AS173="Y","QUAD","")))</f>
        <v/>
      </c>
      <c r="F177" s="88"/>
      <c r="G177" s="192"/>
      <c r="H177" s="57"/>
      <c r="I177" s="192"/>
      <c r="J177" s="287"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8"/>
      <c r="L177" s="289"/>
      <c r="M177" s="287" t="str">
        <f>IF(AND(OR(E171="SS",E171="RPX",E171="EUC",E171="RPX-T"),(OR(C181="",C181="Field SPL"))),"Cannot have FlexNap cables without tethers","---")</f>
        <v>---</v>
      </c>
      <c r="N177" s="288"/>
      <c r="O177" s="288"/>
      <c r="P177" s="288"/>
      <c r="Q177" s="288"/>
      <c r="R177" s="288"/>
      <c r="S177" s="288"/>
      <c r="T177" s="288"/>
      <c r="U177" s="289"/>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7" t="str">
        <f>IF(AND(OR(E171="RPX", E171="RPX-T", E171="SS"),E172=216),"NO 216 For RPX, RPX-T, OR SS CABLE","---")</f>
        <v>---</v>
      </c>
      <c r="K178" s="288"/>
      <c r="L178" s="289"/>
      <c r="M178" s="287" t="str" cm="1">
        <f t="array" ref="M178">IF(AND(E171="",OR(C181:C205="FST",C181:C205="REV T",C181:C205="DBL REV",C181:C205="TPL REV", C181:C205="QD REV")),"Non-FlexNap cables cannot have tethers","---")</f>
        <v>---</v>
      </c>
      <c r="N178" s="288"/>
      <c r="O178" s="288"/>
      <c r="P178" s="288"/>
      <c r="Q178" s="288"/>
      <c r="R178" s="288"/>
      <c r="S178" s="288"/>
      <c r="T178" s="288"/>
      <c r="U178" s="289"/>
      <c r="V178" s="25"/>
      <c r="W178" s="58"/>
      <c r="X178" s="58"/>
      <c r="Y178" s="25"/>
      <c r="Z178" s="45">
        <v>6</v>
      </c>
      <c r="AA178" s="65">
        <v>61</v>
      </c>
      <c r="AB178" s="65">
        <v>72</v>
      </c>
      <c r="AC178" s="25"/>
      <c r="AD178" s="25"/>
      <c r="BA178" s="226"/>
    </row>
    <row r="179" spans="1:53" ht="15.75" customHeight="1" thickBot="1" x14ac:dyDescent="0.3">
      <c r="A179" s="88"/>
      <c r="B179" s="322" t="s">
        <v>260</v>
      </c>
      <c r="C179" s="294" t="s">
        <v>261</v>
      </c>
      <c r="D179" s="294" t="s">
        <v>262</v>
      </c>
      <c r="E179" s="307" t="s">
        <v>263</v>
      </c>
      <c r="F179" s="294" t="s">
        <v>264</v>
      </c>
      <c r="G179" s="309" t="s">
        <v>265</v>
      </c>
      <c r="H179" s="309" t="s">
        <v>266</v>
      </c>
      <c r="I179" s="309" t="s">
        <v>267</v>
      </c>
      <c r="J179" s="311" t="s">
        <v>268</v>
      </c>
      <c r="K179" s="294" t="s">
        <v>269</v>
      </c>
      <c r="L179" s="281" t="s">
        <v>270</v>
      </c>
      <c r="M179" s="283" t="s">
        <v>271</v>
      </c>
      <c r="N179" s="283"/>
      <c r="O179" s="283"/>
      <c r="P179" s="283"/>
      <c r="Q179" s="283"/>
      <c r="R179" s="283"/>
      <c r="S179" s="283"/>
      <c r="T179" s="283"/>
      <c r="U179" s="284"/>
      <c r="V179" s="107"/>
      <c r="W179" s="72"/>
      <c r="X179" s="72"/>
      <c r="Y179" s="72"/>
      <c r="Z179" s="45">
        <v>7</v>
      </c>
      <c r="AA179" s="65">
        <v>73</v>
      </c>
      <c r="AB179" s="65">
        <v>84</v>
      </c>
      <c r="AC179" s="25"/>
      <c r="AD179" s="25"/>
      <c r="BA179" s="228"/>
    </row>
    <row r="180" spans="1:53" ht="15.75" thickBot="1" x14ac:dyDescent="0.3">
      <c r="A180" s="88"/>
      <c r="B180" s="323"/>
      <c r="C180" s="295"/>
      <c r="D180" s="295"/>
      <c r="E180" s="308"/>
      <c r="F180" s="295"/>
      <c r="G180" s="310"/>
      <c r="H180" s="310"/>
      <c r="I180" s="310"/>
      <c r="J180" s="312"/>
      <c r="K180" s="295"/>
      <c r="L180" s="282"/>
      <c r="M180" s="285"/>
      <c r="N180" s="285"/>
      <c r="O180" s="285"/>
      <c r="P180" s="285"/>
      <c r="Q180" s="285"/>
      <c r="R180" s="285"/>
      <c r="S180" s="285"/>
      <c r="T180" s="285"/>
      <c r="U180" s="286"/>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502</v>
      </c>
      <c r="D181" s="102"/>
      <c r="E181" s="32">
        <v>48</v>
      </c>
      <c r="F181" s="32"/>
      <c r="G181" s="68" t="s">
        <v>277</v>
      </c>
      <c r="H181" s="69">
        <f>IF(I181=0,0,I181-(E181-1))</f>
        <v>745</v>
      </c>
      <c r="I181" s="70">
        <f>IF(E181=0,0,I176)</f>
        <v>792</v>
      </c>
      <c r="J181" s="71" t="s">
        <v>278</v>
      </c>
      <c r="K181" s="32"/>
      <c r="L181" s="233"/>
      <c r="M181" s="279" t="s">
        <v>409</v>
      </c>
      <c r="N181" s="279"/>
      <c r="O181" s="279"/>
      <c r="P181" s="279"/>
      <c r="Q181" s="279"/>
      <c r="R181" s="279"/>
      <c r="S181" s="279"/>
      <c r="T181" s="279"/>
      <c r="U181" s="280"/>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745-792</v>
      </c>
      <c r="AF181" s="109" t="str">
        <f t="shared" ref="AF181:AF205" si="71">IF(C181="Field SPL","N","Y")</f>
        <v>N</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0</v>
      </c>
    </row>
    <row r="182" spans="1:53" ht="15.75" thickBot="1" x14ac:dyDescent="0.3">
      <c r="A182" s="88"/>
      <c r="B182" s="66" t="s">
        <v>279</v>
      </c>
      <c r="C182" s="67" t="s">
        <v>502</v>
      </c>
      <c r="D182" s="102"/>
      <c r="E182" s="32">
        <v>72</v>
      </c>
      <c r="F182" s="32"/>
      <c r="G182" s="68" t="s">
        <v>277</v>
      </c>
      <c r="H182" s="69">
        <f t="shared" ref="H182:H205" si="77">IF(E182=0,0,I182-(E182-1))</f>
        <v>673</v>
      </c>
      <c r="I182" s="70">
        <f t="shared" ref="I182:I205" si="78">IF(E182=0,0,H181-1)</f>
        <v>744</v>
      </c>
      <c r="J182" s="73" t="str">
        <f>IF(C182="","--",IF(AND(C182&lt;&gt;"FST",C182&lt;&gt;"TCF",BA181&lt;&gt;0),BA181,"--"))</f>
        <v>--</v>
      </c>
      <c r="K182" s="32"/>
      <c r="L182" s="233"/>
      <c r="M182" s="279" t="s">
        <v>410</v>
      </c>
      <c r="N182" s="279"/>
      <c r="O182" s="279"/>
      <c r="P182" s="279"/>
      <c r="Q182" s="279"/>
      <c r="R182" s="279"/>
      <c r="S182" s="279"/>
      <c r="T182" s="279"/>
      <c r="U182" s="280"/>
      <c r="V182" s="103"/>
      <c r="W182" s="72"/>
      <c r="X182" s="72"/>
      <c r="Y182" s="72"/>
      <c r="Z182" s="45">
        <v>10</v>
      </c>
      <c r="AA182" s="46">
        <v>109</v>
      </c>
      <c r="AB182" s="46">
        <v>120</v>
      </c>
      <c r="AC182" s="72">
        <f t="shared" si="68"/>
        <v>1</v>
      </c>
      <c r="AD182" s="72">
        <f t="shared" si="69"/>
        <v>1</v>
      </c>
      <c r="AE182" s="109" t="str">
        <f t="shared" si="70"/>
        <v>673-744</v>
      </c>
      <c r="AF182" s="109" t="str">
        <f t="shared" si="71"/>
        <v>N</v>
      </c>
      <c r="AG182" s="109" t="str">
        <f t="shared" si="72"/>
        <v>B</v>
      </c>
      <c r="AH182" s="109">
        <v>4</v>
      </c>
      <c r="AI182" s="109" t="str">
        <f>IF(E171="SS",COUNTIFS(C181:C205,"TCF",E181:E205,"4"),"")</f>
        <v/>
      </c>
      <c r="AJ182" s="109" t="str">
        <f>IF(E171="RPX",COUNTIFS(C181:C205,"TCF",E181:E205,"4"),"")</f>
        <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c r="D183" s="102"/>
      <c r="E183" s="32"/>
      <c r="F183" s="32"/>
      <c r="G183" s="75" t="s">
        <v>277</v>
      </c>
      <c r="H183" s="69">
        <f t="shared" si="77"/>
        <v>0</v>
      </c>
      <c r="I183" s="70">
        <f t="shared" si="78"/>
        <v>0</v>
      </c>
      <c r="J183" s="73" t="str">
        <f t="shared" ref="J183:J205" si="79">IF(C183="","--",IF(AND(C183&lt;&gt;"FST",C183&lt;&gt;"TCF",BA182&lt;&gt;0),BA182,"--"))</f>
        <v>--</v>
      </c>
      <c r="K183" s="32"/>
      <c r="L183" s="233"/>
      <c r="M183" s="279"/>
      <c r="N183" s="279"/>
      <c r="O183" s="279"/>
      <c r="P183" s="279"/>
      <c r="Q183" s="279"/>
      <c r="R183" s="279"/>
      <c r="S183" s="279"/>
      <c r="T183" s="279"/>
      <c r="U183" s="280"/>
      <c r="V183" s="103"/>
      <c r="W183" s="72"/>
      <c r="X183" s="72"/>
      <c r="Y183" s="72"/>
      <c r="Z183" s="45">
        <v>11</v>
      </c>
      <c r="AA183" s="46">
        <v>121</v>
      </c>
      <c r="AB183" s="46">
        <v>132</v>
      </c>
      <c r="AC183" s="72">
        <f t="shared" si="68"/>
        <v>1</v>
      </c>
      <c r="AD183" s="72">
        <f t="shared" si="69"/>
        <v>1</v>
      </c>
      <c r="AE183" s="109" t="str">
        <f t="shared" si="70"/>
        <v>0-0</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t="str">
        <f>IF(E171="EUC",COUNTIFS(C181:C205,"TCF",E181:E205,"6"),"")</f>
        <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79"/>
      <c r="N184" s="279"/>
      <c r="O184" s="279"/>
      <c r="P184" s="279"/>
      <c r="Q184" s="279"/>
      <c r="R184" s="279"/>
      <c r="S184" s="279"/>
      <c r="T184" s="279"/>
      <c r="U184" s="280"/>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t="str">
        <f>IF(E171="EUC",COUNTIFS(C181:C205,"TCF",E181:E205,"8"),"")</f>
        <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79"/>
      <c r="N185" s="279"/>
      <c r="O185" s="279"/>
      <c r="P185" s="279"/>
      <c r="Q185" s="279"/>
      <c r="R185" s="279"/>
      <c r="S185" s="279"/>
      <c r="T185" s="279"/>
      <c r="U185" s="280"/>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t="str">
        <f>IF(E171="EUC",COUNTIFS(C181:C205,"TCF",E181:E205,"12"),"")</f>
        <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79"/>
      <c r="N186" s="279"/>
      <c r="O186" s="279"/>
      <c r="P186" s="279"/>
      <c r="Q186" s="279"/>
      <c r="R186" s="279"/>
      <c r="S186" s="279"/>
      <c r="T186" s="279"/>
      <c r="U186" s="280"/>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79"/>
      <c r="N187" s="279"/>
      <c r="O187" s="279"/>
      <c r="P187" s="279"/>
      <c r="Q187" s="279"/>
      <c r="R187" s="279"/>
      <c r="S187" s="279"/>
      <c r="T187" s="279"/>
      <c r="U187" s="280"/>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79"/>
      <c r="N188" s="279"/>
      <c r="O188" s="279"/>
      <c r="P188" s="279"/>
      <c r="Q188" s="279"/>
      <c r="R188" s="279"/>
      <c r="S188" s="279"/>
      <c r="T188" s="279"/>
      <c r="U188" s="280"/>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79"/>
      <c r="N189" s="279"/>
      <c r="O189" s="279"/>
      <c r="P189" s="279"/>
      <c r="Q189" s="279"/>
      <c r="R189" s="279"/>
      <c r="S189" s="279"/>
      <c r="T189" s="279"/>
      <c r="U189" s="280"/>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79"/>
      <c r="N190" s="279"/>
      <c r="O190" s="279"/>
      <c r="P190" s="279"/>
      <c r="Q190" s="279"/>
      <c r="R190" s="279"/>
      <c r="S190" s="279"/>
      <c r="T190" s="279"/>
      <c r="U190" s="280"/>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79"/>
      <c r="N191" s="279"/>
      <c r="O191" s="279"/>
      <c r="P191" s="279"/>
      <c r="Q191" s="279"/>
      <c r="R191" s="279"/>
      <c r="S191" s="279"/>
      <c r="T191" s="279"/>
      <c r="U191" s="280"/>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9"/>
      <c r="N192" s="279"/>
      <c r="O192" s="279"/>
      <c r="P192" s="279"/>
      <c r="Q192" s="279"/>
      <c r="R192" s="279"/>
      <c r="S192" s="279"/>
      <c r="T192" s="279"/>
      <c r="U192" s="280"/>
      <c r="V192" s="103"/>
      <c r="W192" s="84">
        <f>Y192+1</f>
        <v>121</v>
      </c>
      <c r="X192" s="84"/>
      <c r="Y192" s="78">
        <f>SUM(E181:E192)</f>
        <v>120</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9"/>
      <c r="N193" s="279"/>
      <c r="O193" s="279"/>
      <c r="P193" s="279"/>
      <c r="Q193" s="279"/>
      <c r="R193" s="279"/>
      <c r="S193" s="279"/>
      <c r="T193" s="279"/>
      <c r="U193" s="280"/>
      <c r="V193" s="103"/>
      <c r="W193" s="84">
        <f>Y193+1</f>
        <v>121</v>
      </c>
      <c r="X193" s="84"/>
      <c r="Y193" s="78">
        <f>SUM(E181:E193)</f>
        <v>120</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9"/>
      <c r="N194" s="279"/>
      <c r="O194" s="279"/>
      <c r="P194" s="279"/>
      <c r="Q194" s="279"/>
      <c r="R194" s="279"/>
      <c r="S194" s="279"/>
      <c r="T194" s="279"/>
      <c r="U194" s="280"/>
      <c r="V194" s="103"/>
      <c r="W194" s="84">
        <f>Y194+1</f>
        <v>121</v>
      </c>
      <c r="X194" s="84"/>
      <c r="Y194" s="78">
        <f>SUM(E181:E194)</f>
        <v>120</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9"/>
      <c r="N195" s="279"/>
      <c r="O195" s="279"/>
      <c r="P195" s="279"/>
      <c r="Q195" s="279"/>
      <c r="R195" s="279"/>
      <c r="S195" s="279"/>
      <c r="T195" s="279"/>
      <c r="U195" s="280"/>
      <c r="V195" s="103"/>
      <c r="W195" s="84">
        <f>Y195+1</f>
        <v>121</v>
      </c>
      <c r="X195" s="84"/>
      <c r="Y195" s="78">
        <f>SUM(E181:E195)</f>
        <v>120</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9"/>
      <c r="N196" s="279"/>
      <c r="O196" s="279"/>
      <c r="P196" s="279"/>
      <c r="Q196" s="279"/>
      <c r="R196" s="279"/>
      <c r="S196" s="279"/>
      <c r="T196" s="279"/>
      <c r="U196" s="280"/>
      <c r="V196" s="103"/>
      <c r="W196" s="84">
        <f t="shared" ref="W196:W204" si="84">Y196+1</f>
        <v>121</v>
      </c>
      <c r="X196" s="84"/>
      <c r="Y196" s="78">
        <f>SUM(E181:E196)</f>
        <v>120</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9"/>
      <c r="N197" s="279"/>
      <c r="O197" s="279"/>
      <c r="P197" s="279"/>
      <c r="Q197" s="279"/>
      <c r="R197" s="279"/>
      <c r="S197" s="279"/>
      <c r="T197" s="279"/>
      <c r="U197" s="280"/>
      <c r="V197" s="103"/>
      <c r="W197" s="84">
        <f t="shared" si="84"/>
        <v>121</v>
      </c>
      <c r="X197" s="84"/>
      <c r="Y197" s="78">
        <f>SUM(E181:E197)</f>
        <v>120</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9"/>
      <c r="N198" s="279"/>
      <c r="O198" s="279"/>
      <c r="P198" s="279"/>
      <c r="Q198" s="279"/>
      <c r="R198" s="279"/>
      <c r="S198" s="279"/>
      <c r="T198" s="279"/>
      <c r="U198" s="280"/>
      <c r="V198" s="103"/>
      <c r="W198" s="84">
        <f t="shared" si="84"/>
        <v>121</v>
      </c>
      <c r="X198" s="84"/>
      <c r="Y198" s="78">
        <f>SUM(E181:E198)</f>
        <v>120</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9"/>
      <c r="N199" s="279"/>
      <c r="O199" s="279"/>
      <c r="P199" s="279"/>
      <c r="Q199" s="279"/>
      <c r="R199" s="279"/>
      <c r="S199" s="279"/>
      <c r="T199" s="279"/>
      <c r="U199" s="280"/>
      <c r="V199" s="103"/>
      <c r="W199" s="84">
        <f t="shared" si="84"/>
        <v>121</v>
      </c>
      <c r="X199" s="84"/>
      <c r="Y199" s="78">
        <f>SUM(E181:E199)</f>
        <v>120</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9"/>
      <c r="N200" s="279"/>
      <c r="O200" s="279"/>
      <c r="P200" s="279"/>
      <c r="Q200" s="279"/>
      <c r="R200" s="279"/>
      <c r="S200" s="279"/>
      <c r="T200" s="279"/>
      <c r="U200" s="280"/>
      <c r="V200" s="103"/>
      <c r="W200" s="84">
        <f t="shared" si="84"/>
        <v>121</v>
      </c>
      <c r="X200" s="84"/>
      <c r="Y200" s="78">
        <f>SUM(E181:E200)</f>
        <v>120</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9"/>
      <c r="N201" s="279"/>
      <c r="O201" s="279"/>
      <c r="P201" s="279"/>
      <c r="Q201" s="279"/>
      <c r="R201" s="279"/>
      <c r="S201" s="279"/>
      <c r="T201" s="279"/>
      <c r="U201" s="280"/>
      <c r="V201" s="103"/>
      <c r="W201" s="84">
        <f t="shared" si="84"/>
        <v>121</v>
      </c>
      <c r="X201" s="84"/>
      <c r="Y201" s="78">
        <f>SUM(E181:E201)</f>
        <v>120</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9"/>
      <c r="N202" s="279"/>
      <c r="O202" s="279"/>
      <c r="P202" s="279"/>
      <c r="Q202" s="279"/>
      <c r="R202" s="279"/>
      <c r="S202" s="279"/>
      <c r="T202" s="279"/>
      <c r="U202" s="280"/>
      <c r="V202" s="103"/>
      <c r="W202" s="84">
        <f t="shared" si="84"/>
        <v>121</v>
      </c>
      <c r="X202" s="84"/>
      <c r="Y202" s="78">
        <f>SUM(E181:E202)</f>
        <v>120</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9"/>
      <c r="N203" s="279"/>
      <c r="O203" s="279"/>
      <c r="P203" s="279"/>
      <c r="Q203" s="279"/>
      <c r="R203" s="279"/>
      <c r="S203" s="279"/>
      <c r="T203" s="279"/>
      <c r="U203" s="280"/>
      <c r="V203" s="103"/>
      <c r="W203" s="84">
        <f t="shared" si="84"/>
        <v>121</v>
      </c>
      <c r="X203" s="84"/>
      <c r="Y203" s="78">
        <f>SUM(E181:E203)</f>
        <v>120</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9"/>
      <c r="N204" s="279"/>
      <c r="O204" s="279"/>
      <c r="P204" s="279"/>
      <c r="Q204" s="279"/>
      <c r="R204" s="279"/>
      <c r="S204" s="279"/>
      <c r="T204" s="279"/>
      <c r="U204" s="280"/>
      <c r="V204" s="103"/>
      <c r="W204" s="84">
        <f t="shared" si="84"/>
        <v>121</v>
      </c>
      <c r="X204" s="84"/>
      <c r="Y204" s="78">
        <f>SUM(E181:E204)</f>
        <v>120</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9"/>
      <c r="N205" s="279"/>
      <c r="O205" s="279"/>
      <c r="P205" s="279"/>
      <c r="Q205" s="279"/>
      <c r="R205" s="279"/>
      <c r="S205" s="279"/>
      <c r="T205" s="279"/>
      <c r="U205" s="280"/>
      <c r="V205" s="103"/>
      <c r="W205" s="72"/>
      <c r="X205" s="72"/>
      <c r="Y205" s="78">
        <f>SUM(E181:E205)</f>
        <v>120</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20" t="s">
        <v>313</v>
      </c>
      <c r="C206" s="321"/>
      <c r="D206" s="79"/>
      <c r="E206" s="80"/>
      <c r="F206" s="80"/>
      <c r="G206" s="81"/>
      <c r="H206" s="192"/>
      <c r="I206" s="192"/>
      <c r="J206" s="192"/>
      <c r="K206" s="82"/>
      <c r="L206" s="320" t="s">
        <v>306</v>
      </c>
      <c r="M206" s="331"/>
      <c r="N206" s="331"/>
      <c r="O206" s="331"/>
      <c r="P206" s="331"/>
      <c r="Q206" s="331"/>
      <c r="R206" s="331"/>
      <c r="S206" s="331"/>
      <c r="T206" s="331"/>
      <c r="U206" s="321"/>
      <c r="V206" s="104"/>
      <c r="W206" s="72"/>
      <c r="X206" s="72"/>
      <c r="Y206" s="72"/>
      <c r="Z206" s="72"/>
      <c r="AA206" s="72" t="str">
        <f t="shared" si="83"/>
        <v/>
      </c>
      <c r="AB206" s="72"/>
      <c r="AC206" s="72">
        <f>SUM(AC181:AC205)</f>
        <v>25</v>
      </c>
      <c r="AD206" s="72">
        <f>SUM(AD181:AD205)</f>
        <v>25</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20" t="s">
        <v>307</v>
      </c>
      <c r="C207" s="321"/>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3" t="s">
        <v>222</v>
      </c>
      <c r="C211" s="314"/>
      <c r="D211" s="315" t="s">
        <v>223</v>
      </c>
      <c r="E211" s="306"/>
      <c r="F211" s="88"/>
      <c r="G211" s="316" t="s">
        <v>224</v>
      </c>
      <c r="H211" s="317"/>
      <c r="I211" s="28">
        <f>SUM(E222:E246)</f>
        <v>60</v>
      </c>
      <c r="J211" s="318" t="s">
        <v>225</v>
      </c>
      <c r="K211" s="319"/>
      <c r="L211" s="306"/>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6" t="s">
        <v>226</v>
      </c>
      <c r="AA211" s="297"/>
      <c r="AB211" s="298"/>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EUC</v>
      </c>
      <c r="F212" s="88"/>
      <c r="G212" s="305" t="s">
        <v>230</v>
      </c>
      <c r="H212" s="306"/>
      <c r="I212" s="33">
        <f>E213-I211</f>
        <v>372</v>
      </c>
      <c r="J212" s="290" t="s">
        <v>231</v>
      </c>
      <c r="K212" s="291"/>
      <c r="L212" s="34">
        <f>I216</f>
        <v>613</v>
      </c>
      <c r="M212" s="196">
        <v>4</v>
      </c>
      <c r="N212" s="35">
        <f>SUM(AI212,AI223)</f>
        <v>0</v>
      </c>
      <c r="O212" s="35">
        <v>0</v>
      </c>
      <c r="P212" s="35">
        <f>SUM(AJ212,AJ223)</f>
        <v>0</v>
      </c>
      <c r="Q212" s="35">
        <v>0</v>
      </c>
      <c r="R212" s="35">
        <f>COUNTIFS($E222:$E246,"4",$F222:$F246,"Pole",$C222:$C246,"FST")</f>
        <v>7</v>
      </c>
      <c r="S212" s="35">
        <f>SUM(AL212,AK223)</f>
        <v>0</v>
      </c>
      <c r="T212" s="35">
        <v>0</v>
      </c>
      <c r="U212" s="35">
        <f>SUM(AK212,AL223)</f>
        <v>7</v>
      </c>
      <c r="V212" s="35">
        <v>0</v>
      </c>
      <c r="W212" s="34">
        <f>COUNTIFS($E222:$E246,"4",$F222:$F246,"HH",$C222:$C246,"FST")</f>
        <v>0</v>
      </c>
      <c r="X212" s="35">
        <f>COUNTIFS($E222:$E246,"4",$F222:$F246,"Ped",$C222:$C246,"FST")</f>
        <v>0</v>
      </c>
      <c r="Y212" s="25"/>
      <c r="Z212" s="299" t="s">
        <v>232</v>
      </c>
      <c r="AA212" s="301" t="s">
        <v>233</v>
      </c>
      <c r="AB212" s="302"/>
      <c r="AC212" s="25"/>
      <c r="AD212" s="25"/>
      <c r="AH212" s="109">
        <v>4</v>
      </c>
      <c r="AI212" s="109" t="str">
        <f>IF($E212="SS",COUNTIFS($C222:$C246,"FST",$E222:$E246,"4"),"0")</f>
        <v>0</v>
      </c>
      <c r="AJ212" s="109" t="str">
        <f>IF($E212="RPX",COUNTIFS($C222:$C246,"FST",$E222:$E246,"4"),"0")</f>
        <v>0</v>
      </c>
      <c r="AK212" s="109">
        <f>IF($E212="EUC",COUNTIFS($C222:$C246,"FST",$E222:$E246,"4"),"0")</f>
        <v>7</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432</v>
      </c>
      <c r="F213" s="88"/>
      <c r="G213" s="292" t="s">
        <v>237</v>
      </c>
      <c r="H213" s="293"/>
      <c r="I213" s="35">
        <f>IF(E213=0,0,12-(MOD(I211,12)))</f>
        <v>12</v>
      </c>
      <c r="J213" s="290" t="s">
        <v>238</v>
      </c>
      <c r="K213" s="291"/>
      <c r="L213" s="39">
        <f>I217-I211</f>
        <v>612</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0"/>
      <c r="AA213" s="303"/>
      <c r="AB213" s="304"/>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144</v>
      </c>
      <c r="F214" s="88"/>
      <c r="G214" s="322" t="s">
        <v>242</v>
      </c>
      <c r="H214" s="43" t="s">
        <v>243</v>
      </c>
      <c r="I214" s="35">
        <f>IF(E214&lt;&gt;0,1,0)</f>
        <v>1</v>
      </c>
      <c r="J214" s="292" t="s">
        <v>244</v>
      </c>
      <c r="K214" s="293"/>
      <c r="L214" s="44">
        <f>'Cable Calculator'!AC3</f>
        <v>2881</v>
      </c>
      <c r="M214" s="196">
        <v>8</v>
      </c>
      <c r="N214" s="35">
        <f>SUM(AI214,AI225)</f>
        <v>0</v>
      </c>
      <c r="O214" s="35">
        <v>0</v>
      </c>
      <c r="P214" s="35">
        <f>SUM(AJ214,AJ225)</f>
        <v>0</v>
      </c>
      <c r="Q214" s="35">
        <v>0</v>
      </c>
      <c r="R214" s="35">
        <f>COUNTIFS($E222:$E246,"8",$F222:$F246,"Pole",$C222:$C246,"FST")</f>
        <v>1</v>
      </c>
      <c r="S214" s="35">
        <f>SUM(AL214,AK225)</f>
        <v>0</v>
      </c>
      <c r="T214" s="35">
        <v>0</v>
      </c>
      <c r="U214" s="35">
        <f>SUM(AK214,AL225)</f>
        <v>1</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1</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613</v>
      </c>
      <c r="F215" s="88"/>
      <c r="G215" s="323"/>
      <c r="H215" s="47" t="s">
        <v>248</v>
      </c>
      <c r="I215" s="35">
        <f>IF(E214&lt;&gt;0,E214,0)</f>
        <v>144</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1</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36</v>
      </c>
      <c r="F216" s="88"/>
      <c r="G216" s="322" t="s">
        <v>251</v>
      </c>
      <c r="H216" s="51" t="s">
        <v>252</v>
      </c>
      <c r="I216" s="112">
        <f>E215</f>
        <v>613</v>
      </c>
      <c r="J216" s="324" t="s">
        <v>253</v>
      </c>
      <c r="K216" s="325"/>
      <c r="L216" s="326"/>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216</v>
      </c>
      <c r="D217" s="31" t="s">
        <v>256</v>
      </c>
      <c r="E217" s="101" t="str">
        <f>IF('Cable Calculator'!AC5="","",'Cable Calculator'!AC5)</f>
        <v>N</v>
      </c>
      <c r="F217" s="88"/>
      <c r="G217" s="323"/>
      <c r="H217" s="47" t="s">
        <v>257</v>
      </c>
      <c r="I217" s="35">
        <f>IF(E215="","0",IF(AND(E212="EUC",E213=432), I216+(203-E214),IF(E215=0,0,(E215+(E213-E214)-1))))</f>
        <v>672</v>
      </c>
      <c r="J217" s="287" t="str">
        <f>IFERROR(IF(OR(E212="EUC",E212="SS"),"---",IF(OR(P211,S211),"NO 2F Tethers for RPX!",IF(OR(P213,S213),"NO 6F Tethers for RPX!","---"))),"---")</f>
        <v>---</v>
      </c>
      <c r="K217" s="288"/>
      <c r="L217" s="289"/>
      <c r="M217" s="287" t="str">
        <f>IF(E214&gt;60,"Dead Count &gt;60: Consider Downsize","---")</f>
        <v>Dead Count &gt;60: Consider Downsize</v>
      </c>
      <c r="N217" s="288"/>
      <c r="O217" s="288"/>
      <c r="P217" s="288"/>
      <c r="Q217" s="288"/>
      <c r="R217" s="288"/>
      <c r="S217" s="288"/>
      <c r="T217" s="288"/>
      <c r="U217" s="289"/>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276</v>
      </c>
      <c r="D218" s="31" t="s">
        <v>259</v>
      </c>
      <c r="E218" s="101" t="str">
        <f>IF(AS212="Y","DBL",IF(AS213="Y","TRPL",IF(AS214="Y","QUAD","")))</f>
        <v/>
      </c>
      <c r="F218" s="88"/>
      <c r="G218" s="192"/>
      <c r="H218" s="57"/>
      <c r="I218" s="192"/>
      <c r="J218" s="287"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8"/>
      <c r="L218" s="289"/>
      <c r="M218" s="287" t="str">
        <f>IF(AND(OR(E212="SS",E212="RPX",E212="EUC",E212="RPX-T"),(OR(C222="",C222="Field SPL"))),"Cannot have FlexNap cables without tethers","---")</f>
        <v>---</v>
      </c>
      <c r="N218" s="288"/>
      <c r="O218" s="288"/>
      <c r="P218" s="288"/>
      <c r="Q218" s="288"/>
      <c r="R218" s="288"/>
      <c r="S218" s="288"/>
      <c r="T218" s="288"/>
      <c r="U218" s="289"/>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7" t="str">
        <f>IF(AND(OR(E212="RPX", E212="RPX-T", E212="SS"),E213=216),"NO 216 For RPX, RPX-T, OR SS CABLE","---")</f>
        <v>---</v>
      </c>
      <c r="K219" s="288"/>
      <c r="L219" s="289"/>
      <c r="M219" s="287" t="str" cm="1">
        <f t="array" ref="M219">IF(AND(E212="",OR(C222:C246="FST",C222:C246="REV T",C222:C246="DBL REV",C222:C246="TPL REV", C222:C246="QD REV")),"Non-FlexNap cables cannot have tethers","---")</f>
        <v>---</v>
      </c>
      <c r="N219" s="288"/>
      <c r="O219" s="288"/>
      <c r="P219" s="288"/>
      <c r="Q219" s="288"/>
      <c r="R219" s="288"/>
      <c r="S219" s="288"/>
      <c r="T219" s="288"/>
      <c r="U219" s="289"/>
      <c r="V219" s="25"/>
      <c r="W219" s="58"/>
      <c r="X219" s="58"/>
      <c r="Y219" s="25"/>
      <c r="Z219" s="45">
        <v>6</v>
      </c>
      <c r="AA219" s="65">
        <v>61</v>
      </c>
      <c r="AB219" s="65">
        <v>72</v>
      </c>
      <c r="AC219" s="25"/>
      <c r="AD219" s="25"/>
      <c r="BA219" s="226"/>
    </row>
    <row r="220" spans="1:53" ht="15.75" customHeight="1" thickBot="1" x14ac:dyDescent="0.3">
      <c r="A220" s="88"/>
      <c r="B220" s="322" t="s">
        <v>260</v>
      </c>
      <c r="C220" s="294" t="s">
        <v>261</v>
      </c>
      <c r="D220" s="294" t="s">
        <v>262</v>
      </c>
      <c r="E220" s="307" t="s">
        <v>263</v>
      </c>
      <c r="F220" s="294" t="s">
        <v>264</v>
      </c>
      <c r="G220" s="309" t="s">
        <v>265</v>
      </c>
      <c r="H220" s="309" t="s">
        <v>266</v>
      </c>
      <c r="I220" s="309" t="s">
        <v>267</v>
      </c>
      <c r="J220" s="311" t="s">
        <v>268</v>
      </c>
      <c r="K220" s="294" t="s">
        <v>269</v>
      </c>
      <c r="L220" s="281" t="s">
        <v>270</v>
      </c>
      <c r="M220" s="283" t="s">
        <v>271</v>
      </c>
      <c r="N220" s="283"/>
      <c r="O220" s="283"/>
      <c r="P220" s="283"/>
      <c r="Q220" s="283"/>
      <c r="R220" s="283"/>
      <c r="S220" s="283"/>
      <c r="T220" s="283"/>
      <c r="U220" s="284"/>
      <c r="V220" s="107"/>
      <c r="W220" s="72"/>
      <c r="X220" s="72"/>
      <c r="Y220" s="72"/>
      <c r="Z220" s="45">
        <v>7</v>
      </c>
      <c r="AA220" s="65">
        <v>73</v>
      </c>
      <c r="AB220" s="65">
        <v>84</v>
      </c>
      <c r="AC220" s="25"/>
      <c r="AD220" s="25"/>
      <c r="BA220" s="228"/>
    </row>
    <row r="221" spans="1:53" ht="15.75" thickBot="1" x14ac:dyDescent="0.3">
      <c r="A221" s="88"/>
      <c r="B221" s="323"/>
      <c r="C221" s="295"/>
      <c r="D221" s="295"/>
      <c r="E221" s="308"/>
      <c r="F221" s="295"/>
      <c r="G221" s="310"/>
      <c r="H221" s="310"/>
      <c r="I221" s="310"/>
      <c r="J221" s="312"/>
      <c r="K221" s="295"/>
      <c r="L221" s="282"/>
      <c r="M221" s="285"/>
      <c r="N221" s="285"/>
      <c r="O221" s="285"/>
      <c r="P221" s="285"/>
      <c r="Q221" s="285"/>
      <c r="R221" s="285"/>
      <c r="S221" s="285"/>
      <c r="T221" s="285"/>
      <c r="U221" s="286"/>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746</v>
      </c>
      <c r="E222" s="32">
        <v>4</v>
      </c>
      <c r="F222" s="32" t="s">
        <v>483</v>
      </c>
      <c r="G222" s="68" t="s">
        <v>277</v>
      </c>
      <c r="H222" s="69">
        <f>IF(I222=0,0,I222-(E222-1))</f>
        <v>669</v>
      </c>
      <c r="I222" s="70">
        <f>IF(E222=0,0,I217)</f>
        <v>672</v>
      </c>
      <c r="J222" s="71" t="s">
        <v>278</v>
      </c>
      <c r="K222" s="32"/>
      <c r="L222" s="233"/>
      <c r="M222" s="279"/>
      <c r="N222" s="279"/>
      <c r="O222" s="279"/>
      <c r="P222" s="279"/>
      <c r="Q222" s="279"/>
      <c r="R222" s="279"/>
      <c r="S222" s="279"/>
      <c r="T222" s="279"/>
      <c r="U222" s="280"/>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669-672</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747</v>
      </c>
      <c r="E223" s="32">
        <v>4</v>
      </c>
      <c r="F223" s="32" t="s">
        <v>483</v>
      </c>
      <c r="G223" s="68" t="s">
        <v>277</v>
      </c>
      <c r="H223" s="69">
        <f t="shared" ref="H223:H246" si="94">IF(E223=0,0,I223-(E223-1))</f>
        <v>665</v>
      </c>
      <c r="I223" s="70">
        <f t="shared" ref="I223:I246" si="95">IF(E223=0,0,H222-1)</f>
        <v>668</v>
      </c>
      <c r="J223" s="73" t="str">
        <f>IF(C223="","--",IF(AND(C223&lt;&gt;"FST",C223&lt;&gt;"TCF",BA222&lt;&gt;0),BA222,"--"))</f>
        <v>--</v>
      </c>
      <c r="K223" s="32"/>
      <c r="L223" s="233"/>
      <c r="M223" s="279"/>
      <c r="N223" s="279"/>
      <c r="O223" s="279"/>
      <c r="P223" s="279"/>
      <c r="Q223" s="279"/>
      <c r="R223" s="279"/>
      <c r="S223" s="279"/>
      <c r="T223" s="279"/>
      <c r="U223" s="280"/>
      <c r="V223" s="103"/>
      <c r="W223" s="72"/>
      <c r="X223" s="72"/>
      <c r="Y223" s="72"/>
      <c r="Z223" s="45">
        <v>10</v>
      </c>
      <c r="AA223" s="46">
        <v>109</v>
      </c>
      <c r="AB223" s="46">
        <v>120</v>
      </c>
      <c r="AC223" s="72">
        <f t="shared" si="85"/>
        <v>1</v>
      </c>
      <c r="AD223" s="72">
        <f t="shared" si="86"/>
        <v>0</v>
      </c>
      <c r="AE223" s="109" t="str">
        <f t="shared" si="87"/>
        <v>665-668</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748</v>
      </c>
      <c r="E224" s="32">
        <v>4</v>
      </c>
      <c r="F224" s="32" t="s">
        <v>483</v>
      </c>
      <c r="G224" s="75" t="s">
        <v>277</v>
      </c>
      <c r="H224" s="69">
        <f t="shared" si="94"/>
        <v>661</v>
      </c>
      <c r="I224" s="70">
        <f t="shared" si="95"/>
        <v>664</v>
      </c>
      <c r="J224" s="73" t="str">
        <f t="shared" ref="J224:J246" si="96">IF(C224="","--",IF(AND(C224&lt;&gt;"FST",C224&lt;&gt;"TCF",BA223&lt;&gt;0),BA223,"--"))</f>
        <v>--</v>
      </c>
      <c r="K224" s="32"/>
      <c r="L224" s="233"/>
      <c r="M224" s="279"/>
      <c r="N224" s="279"/>
      <c r="O224" s="279"/>
      <c r="P224" s="279"/>
      <c r="Q224" s="279"/>
      <c r="R224" s="279"/>
      <c r="S224" s="279"/>
      <c r="T224" s="279"/>
      <c r="U224" s="280"/>
      <c r="V224" s="103"/>
      <c r="W224" s="72"/>
      <c r="X224" s="72"/>
      <c r="Y224" s="72"/>
      <c r="Z224" s="45">
        <v>11</v>
      </c>
      <c r="AA224" s="46">
        <v>121</v>
      </c>
      <c r="AB224" s="46">
        <v>132</v>
      </c>
      <c r="AC224" s="72">
        <f t="shared" si="85"/>
        <v>1</v>
      </c>
      <c r="AD224" s="72">
        <f t="shared" si="86"/>
        <v>0</v>
      </c>
      <c r="AE224" s="109" t="str">
        <f t="shared" si="87"/>
        <v>661-664</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t="s">
        <v>494</v>
      </c>
      <c r="D225" s="102"/>
      <c r="E225" s="32">
        <v>12</v>
      </c>
      <c r="F225" s="32"/>
      <c r="G225" s="68" t="s">
        <v>277</v>
      </c>
      <c r="H225" s="69">
        <f t="shared" si="94"/>
        <v>649</v>
      </c>
      <c r="I225" s="70">
        <f t="shared" si="95"/>
        <v>660</v>
      </c>
      <c r="J225" s="73" t="str">
        <f t="shared" si="96"/>
        <v>--</v>
      </c>
      <c r="K225" s="32"/>
      <c r="L225" s="233"/>
      <c r="M225" s="279" t="s">
        <v>411</v>
      </c>
      <c r="N225" s="279"/>
      <c r="O225" s="279"/>
      <c r="P225" s="279"/>
      <c r="Q225" s="279"/>
      <c r="R225" s="279"/>
      <c r="S225" s="279"/>
      <c r="T225" s="279"/>
      <c r="U225" s="280"/>
      <c r="V225" s="103"/>
      <c r="W225" s="72"/>
      <c r="X225" s="72"/>
      <c r="Y225" s="72"/>
      <c r="Z225" s="45">
        <v>12</v>
      </c>
      <c r="AA225" s="76">
        <v>133</v>
      </c>
      <c r="AB225" s="76">
        <v>144</v>
      </c>
      <c r="AC225" s="72">
        <f t="shared" si="85"/>
        <v>1</v>
      </c>
      <c r="AD225" s="72">
        <f t="shared" si="86"/>
        <v>1</v>
      </c>
      <c r="AE225" s="109" t="str">
        <f t="shared" si="87"/>
        <v>649-660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1</v>
      </c>
      <c r="AN225" s="109">
        <f t="shared" si="91"/>
        <v>0</v>
      </c>
      <c r="AO225" s="109" t="str">
        <f t="shared" si="92"/>
        <v/>
      </c>
      <c r="AQ225" s="109" t="str">
        <f t="shared" si="93"/>
        <v/>
      </c>
      <c r="BA225" s="229">
        <f>MOD(SUM(E222:E226),12)</f>
        <v>8</v>
      </c>
    </row>
    <row r="226" spans="1:53" ht="15.75" thickBot="1" x14ac:dyDescent="0.3">
      <c r="A226" s="88"/>
      <c r="B226" s="66" t="s">
        <v>282</v>
      </c>
      <c r="C226" s="67" t="s">
        <v>484</v>
      </c>
      <c r="D226" s="102" t="s">
        <v>749</v>
      </c>
      <c r="E226" s="32">
        <v>8</v>
      </c>
      <c r="F226" s="32" t="s">
        <v>483</v>
      </c>
      <c r="G226" s="68" t="s">
        <v>277</v>
      </c>
      <c r="H226" s="69">
        <f t="shared" si="94"/>
        <v>641</v>
      </c>
      <c r="I226" s="70">
        <f t="shared" si="95"/>
        <v>648</v>
      </c>
      <c r="J226" s="73" t="str">
        <f t="shared" si="96"/>
        <v>--</v>
      </c>
      <c r="K226" s="32"/>
      <c r="L226" s="233"/>
      <c r="M226" s="279"/>
      <c r="N226" s="279"/>
      <c r="O226" s="279"/>
      <c r="P226" s="279"/>
      <c r="Q226" s="279"/>
      <c r="R226" s="279"/>
      <c r="S226" s="279"/>
      <c r="T226" s="279"/>
      <c r="U226" s="280"/>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641-648</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t="s">
        <v>484</v>
      </c>
      <c r="D227" s="102" t="s">
        <v>750</v>
      </c>
      <c r="E227" s="32">
        <v>4</v>
      </c>
      <c r="F227" s="32" t="s">
        <v>483</v>
      </c>
      <c r="G227" s="68" t="s">
        <v>277</v>
      </c>
      <c r="H227" s="69">
        <f t="shared" si="94"/>
        <v>637</v>
      </c>
      <c r="I227" s="70">
        <f t="shared" si="95"/>
        <v>640</v>
      </c>
      <c r="J227" s="73" t="str">
        <f t="shared" si="96"/>
        <v>--</v>
      </c>
      <c r="K227" s="32"/>
      <c r="L227" s="233"/>
      <c r="M227" s="279"/>
      <c r="N227" s="279"/>
      <c r="O227" s="279"/>
      <c r="P227" s="279"/>
      <c r="Q227" s="279"/>
      <c r="R227" s="279"/>
      <c r="S227" s="279"/>
      <c r="T227" s="279"/>
      <c r="U227" s="280"/>
      <c r="V227" s="103"/>
      <c r="W227" s="72"/>
      <c r="X227" s="72"/>
      <c r="Y227" s="72"/>
      <c r="Z227" s="45">
        <v>14</v>
      </c>
      <c r="AA227" s="77">
        <f t="shared" si="97"/>
        <v>157</v>
      </c>
      <c r="AB227" s="77">
        <f t="shared" si="98"/>
        <v>168</v>
      </c>
      <c r="AC227" s="72">
        <f t="shared" si="85"/>
        <v>1</v>
      </c>
      <c r="AD227" s="72">
        <f t="shared" si="86"/>
        <v>0</v>
      </c>
      <c r="AE227" s="109" t="str">
        <f t="shared" si="87"/>
        <v>637-640</v>
      </c>
      <c r="AF227" s="109" t="str">
        <f t="shared" si="88"/>
        <v>Y</v>
      </c>
      <c r="AG227" s="109" t="str">
        <f t="shared" si="89"/>
        <v>B</v>
      </c>
      <c r="AM227" s="109">
        <f t="shared" si="90"/>
        <v>0</v>
      </c>
      <c r="AN227" s="109">
        <f t="shared" si="91"/>
        <v>0</v>
      </c>
      <c r="AO227" s="109" t="str">
        <f t="shared" si="92"/>
        <v/>
      </c>
      <c r="AQ227" s="109" t="str">
        <f t="shared" si="93"/>
        <v/>
      </c>
      <c r="BA227" s="229">
        <f>MOD(SUM(E222:E228),12)</f>
        <v>4</v>
      </c>
    </row>
    <row r="228" spans="1:53" ht="15.75" thickBot="1" x14ac:dyDescent="0.3">
      <c r="A228" s="88"/>
      <c r="B228" s="66" t="s">
        <v>284</v>
      </c>
      <c r="C228" s="67" t="s">
        <v>484</v>
      </c>
      <c r="D228" s="102" t="s">
        <v>751</v>
      </c>
      <c r="E228" s="32">
        <v>4</v>
      </c>
      <c r="F228" s="32" t="s">
        <v>483</v>
      </c>
      <c r="G228" s="68" t="s">
        <v>277</v>
      </c>
      <c r="H228" s="69">
        <f t="shared" si="94"/>
        <v>633</v>
      </c>
      <c r="I228" s="70">
        <f t="shared" si="95"/>
        <v>636</v>
      </c>
      <c r="J228" s="73" t="str">
        <f t="shared" si="96"/>
        <v>--</v>
      </c>
      <c r="K228" s="32"/>
      <c r="L228" s="233"/>
      <c r="M228" s="279"/>
      <c r="N228" s="279"/>
      <c r="O228" s="279"/>
      <c r="P228" s="279"/>
      <c r="Q228" s="279"/>
      <c r="R228" s="279"/>
      <c r="S228" s="279"/>
      <c r="T228" s="279"/>
      <c r="U228" s="280"/>
      <c r="V228" s="103"/>
      <c r="W228" s="72"/>
      <c r="X228" s="72"/>
      <c r="Y228" s="72"/>
      <c r="Z228" s="45">
        <v>15</v>
      </c>
      <c r="AA228" s="77">
        <f t="shared" si="97"/>
        <v>169</v>
      </c>
      <c r="AB228" s="77">
        <f t="shared" si="98"/>
        <v>180</v>
      </c>
      <c r="AC228" s="72">
        <f t="shared" si="85"/>
        <v>1</v>
      </c>
      <c r="AD228" s="72">
        <f t="shared" si="86"/>
        <v>0</v>
      </c>
      <c r="AE228" s="109" t="str">
        <f t="shared" si="87"/>
        <v>633-636</v>
      </c>
      <c r="AF228" s="109" t="str">
        <f t="shared" si="88"/>
        <v>Y</v>
      </c>
      <c r="AG228" s="109" t="str">
        <f t="shared" si="89"/>
        <v>B</v>
      </c>
      <c r="AM228" s="109">
        <f t="shared" si="90"/>
        <v>0</v>
      </c>
      <c r="AN228" s="109">
        <f t="shared" si="91"/>
        <v>0</v>
      </c>
      <c r="AO228" s="109" t="str">
        <f t="shared" si="92"/>
        <v/>
      </c>
      <c r="AQ228" s="109" t="str">
        <f t="shared" si="93"/>
        <v/>
      </c>
      <c r="BA228" s="229">
        <f>MOD(SUM(E222:E229),12)</f>
        <v>8</v>
      </c>
    </row>
    <row r="229" spans="1:53" ht="15.75" thickBot="1" x14ac:dyDescent="0.3">
      <c r="A229" s="88"/>
      <c r="B229" s="66" t="s">
        <v>285</v>
      </c>
      <c r="C229" s="67" t="s">
        <v>484</v>
      </c>
      <c r="D229" s="102" t="s">
        <v>752</v>
      </c>
      <c r="E229" s="32">
        <v>4</v>
      </c>
      <c r="F229" s="32" t="s">
        <v>483</v>
      </c>
      <c r="G229" s="68" t="s">
        <v>277</v>
      </c>
      <c r="H229" s="69">
        <f t="shared" si="94"/>
        <v>629</v>
      </c>
      <c r="I229" s="70">
        <f t="shared" si="95"/>
        <v>632</v>
      </c>
      <c r="J229" s="73" t="str">
        <f t="shared" si="96"/>
        <v>--</v>
      </c>
      <c r="K229" s="32"/>
      <c r="L229" s="233"/>
      <c r="M229" s="279"/>
      <c r="N229" s="279"/>
      <c r="O229" s="279"/>
      <c r="P229" s="279"/>
      <c r="Q229" s="279"/>
      <c r="R229" s="279"/>
      <c r="S229" s="279"/>
      <c r="T229" s="279"/>
      <c r="U229" s="280"/>
      <c r="V229" s="103"/>
      <c r="W229" s="72"/>
      <c r="X229" s="72"/>
      <c r="Y229" s="72"/>
      <c r="Z229" s="45">
        <f>Z228+1</f>
        <v>16</v>
      </c>
      <c r="AA229" s="77">
        <f t="shared" si="97"/>
        <v>181</v>
      </c>
      <c r="AB229" s="77">
        <f t="shared" si="98"/>
        <v>192</v>
      </c>
      <c r="AC229" s="72">
        <f t="shared" si="85"/>
        <v>1</v>
      </c>
      <c r="AD229" s="72">
        <f t="shared" si="86"/>
        <v>0</v>
      </c>
      <c r="AE229" s="109" t="str">
        <f t="shared" si="87"/>
        <v>629-632</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t="s">
        <v>484</v>
      </c>
      <c r="D230" s="102" t="s">
        <v>753</v>
      </c>
      <c r="E230" s="32">
        <v>4</v>
      </c>
      <c r="F230" s="32" t="s">
        <v>483</v>
      </c>
      <c r="G230" s="68" t="s">
        <v>277</v>
      </c>
      <c r="H230" s="69">
        <f t="shared" si="94"/>
        <v>625</v>
      </c>
      <c r="I230" s="70">
        <f t="shared" si="95"/>
        <v>628</v>
      </c>
      <c r="J230" s="73" t="str">
        <f t="shared" si="96"/>
        <v>--</v>
      </c>
      <c r="K230" s="32"/>
      <c r="L230" s="233"/>
      <c r="M230" s="279"/>
      <c r="N230" s="279"/>
      <c r="O230" s="279"/>
      <c r="P230" s="279"/>
      <c r="Q230" s="279"/>
      <c r="R230" s="279"/>
      <c r="S230" s="279"/>
      <c r="T230" s="279"/>
      <c r="U230" s="280"/>
      <c r="V230" s="103"/>
      <c r="W230" s="72"/>
      <c r="X230" s="72"/>
      <c r="Y230" s="72"/>
      <c r="Z230" s="45">
        <f>Z229+1</f>
        <v>17</v>
      </c>
      <c r="AA230" s="77">
        <f t="shared" si="97"/>
        <v>193</v>
      </c>
      <c r="AB230" s="77">
        <f t="shared" si="98"/>
        <v>204</v>
      </c>
      <c r="AC230" s="72">
        <f t="shared" si="85"/>
        <v>1</v>
      </c>
      <c r="AD230" s="72">
        <f t="shared" si="86"/>
        <v>0</v>
      </c>
      <c r="AE230" s="109" t="str">
        <f t="shared" si="87"/>
        <v>625-628</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t="s">
        <v>502</v>
      </c>
      <c r="D231" s="102"/>
      <c r="E231" s="32">
        <v>12</v>
      </c>
      <c r="F231" s="32"/>
      <c r="G231" s="68" t="s">
        <v>277</v>
      </c>
      <c r="H231" s="69">
        <f t="shared" si="94"/>
        <v>613</v>
      </c>
      <c r="I231" s="70">
        <f t="shared" si="95"/>
        <v>624</v>
      </c>
      <c r="J231" s="73" t="str">
        <f t="shared" si="96"/>
        <v>--</v>
      </c>
      <c r="K231" s="32"/>
      <c r="L231" s="233"/>
      <c r="M231" s="279" t="s">
        <v>412</v>
      </c>
      <c r="N231" s="279"/>
      <c r="O231" s="279"/>
      <c r="P231" s="279"/>
      <c r="Q231" s="279"/>
      <c r="R231" s="279"/>
      <c r="S231" s="279"/>
      <c r="T231" s="279"/>
      <c r="U231" s="280"/>
      <c r="V231" s="103"/>
      <c r="W231" s="72"/>
      <c r="X231" s="72"/>
      <c r="Y231" s="72"/>
      <c r="Z231" s="45">
        <f>Z230+1</f>
        <v>18</v>
      </c>
      <c r="AA231" s="77">
        <f t="shared" si="97"/>
        <v>205</v>
      </c>
      <c r="AB231" s="77">
        <f t="shared" si="98"/>
        <v>216</v>
      </c>
      <c r="AC231" s="72">
        <f t="shared" si="85"/>
        <v>1</v>
      </c>
      <c r="AD231" s="72">
        <f t="shared" si="86"/>
        <v>1</v>
      </c>
      <c r="AE231" s="109" t="str">
        <f t="shared" si="87"/>
        <v>613-624</v>
      </c>
      <c r="AF231" s="109" t="str">
        <f t="shared" si="88"/>
        <v>N</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79" t="s">
        <v>819</v>
      </c>
      <c r="N232" s="279"/>
      <c r="O232" s="279"/>
      <c r="P232" s="279"/>
      <c r="Q232" s="279"/>
      <c r="R232" s="279"/>
      <c r="S232" s="279"/>
      <c r="T232" s="279"/>
      <c r="U232" s="280"/>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79"/>
      <c r="N233" s="279"/>
      <c r="O233" s="279"/>
      <c r="P233" s="279"/>
      <c r="Q233" s="279"/>
      <c r="R233" s="279"/>
      <c r="S233" s="279"/>
      <c r="T233" s="279"/>
      <c r="U233" s="280"/>
      <c r="V233" s="103"/>
      <c r="W233" s="84">
        <f>Y233+1</f>
        <v>61</v>
      </c>
      <c r="X233" s="84"/>
      <c r="Y233" s="78">
        <f>SUM(E222:E233)</f>
        <v>60</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9"/>
      <c r="N234" s="279"/>
      <c r="O234" s="279"/>
      <c r="P234" s="279"/>
      <c r="Q234" s="279"/>
      <c r="R234" s="279"/>
      <c r="S234" s="279"/>
      <c r="T234" s="279"/>
      <c r="U234" s="280"/>
      <c r="V234" s="103"/>
      <c r="W234" s="84">
        <f>Y234+1</f>
        <v>61</v>
      </c>
      <c r="X234" s="84"/>
      <c r="Y234" s="78">
        <f>SUM(E222:E234)</f>
        <v>60</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9"/>
      <c r="N235" s="279"/>
      <c r="O235" s="279"/>
      <c r="P235" s="279"/>
      <c r="Q235" s="279"/>
      <c r="R235" s="279"/>
      <c r="S235" s="279"/>
      <c r="T235" s="279"/>
      <c r="U235" s="280"/>
      <c r="V235" s="103"/>
      <c r="W235" s="84">
        <f>Y235+1</f>
        <v>61</v>
      </c>
      <c r="X235" s="84"/>
      <c r="Y235" s="78">
        <f>SUM(E222:E235)</f>
        <v>60</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9"/>
      <c r="N236" s="279"/>
      <c r="O236" s="279"/>
      <c r="P236" s="279"/>
      <c r="Q236" s="279"/>
      <c r="R236" s="279"/>
      <c r="S236" s="279"/>
      <c r="T236" s="279"/>
      <c r="U236" s="280"/>
      <c r="V236" s="103"/>
      <c r="W236" s="84">
        <f>Y236+1</f>
        <v>61</v>
      </c>
      <c r="X236" s="84"/>
      <c r="Y236" s="78">
        <f>SUM(E222:E236)</f>
        <v>60</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9"/>
      <c r="N237" s="279"/>
      <c r="O237" s="279"/>
      <c r="P237" s="279"/>
      <c r="Q237" s="279"/>
      <c r="R237" s="279"/>
      <c r="S237" s="279"/>
      <c r="T237" s="279"/>
      <c r="U237" s="280"/>
      <c r="V237" s="103"/>
      <c r="W237" s="84">
        <f t="shared" ref="W237:W245" si="101">Y237+1</f>
        <v>61</v>
      </c>
      <c r="X237" s="84"/>
      <c r="Y237" s="78">
        <f>SUM(E222:E237)</f>
        <v>60</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9"/>
      <c r="N238" s="279"/>
      <c r="O238" s="279"/>
      <c r="P238" s="279"/>
      <c r="Q238" s="279"/>
      <c r="R238" s="279"/>
      <c r="S238" s="279"/>
      <c r="T238" s="279"/>
      <c r="U238" s="280"/>
      <c r="V238" s="103"/>
      <c r="W238" s="84">
        <f t="shared" si="101"/>
        <v>61</v>
      </c>
      <c r="X238" s="84"/>
      <c r="Y238" s="78">
        <f>SUM(E222:E238)</f>
        <v>60</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9"/>
      <c r="N239" s="279"/>
      <c r="O239" s="279"/>
      <c r="P239" s="279"/>
      <c r="Q239" s="279"/>
      <c r="R239" s="279"/>
      <c r="S239" s="279"/>
      <c r="T239" s="279"/>
      <c r="U239" s="280"/>
      <c r="V239" s="103"/>
      <c r="W239" s="84">
        <f t="shared" si="101"/>
        <v>61</v>
      </c>
      <c r="X239" s="84"/>
      <c r="Y239" s="78">
        <f>SUM(E222:E239)</f>
        <v>60</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9"/>
      <c r="N240" s="279"/>
      <c r="O240" s="279"/>
      <c r="P240" s="279"/>
      <c r="Q240" s="279"/>
      <c r="R240" s="279"/>
      <c r="S240" s="279"/>
      <c r="T240" s="279"/>
      <c r="U240" s="280"/>
      <c r="V240" s="103"/>
      <c r="W240" s="84">
        <f t="shared" si="101"/>
        <v>61</v>
      </c>
      <c r="X240" s="84"/>
      <c r="Y240" s="78">
        <f>SUM(E222:E240)</f>
        <v>60</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9"/>
      <c r="N241" s="279"/>
      <c r="O241" s="279"/>
      <c r="P241" s="279"/>
      <c r="Q241" s="279"/>
      <c r="R241" s="279"/>
      <c r="S241" s="279"/>
      <c r="T241" s="279"/>
      <c r="U241" s="280"/>
      <c r="V241" s="103"/>
      <c r="W241" s="84">
        <f t="shared" si="101"/>
        <v>61</v>
      </c>
      <c r="X241" s="84"/>
      <c r="Y241" s="78">
        <f>SUM(E222:E241)</f>
        <v>60</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9"/>
      <c r="N242" s="279"/>
      <c r="O242" s="279"/>
      <c r="P242" s="279"/>
      <c r="Q242" s="279"/>
      <c r="R242" s="279"/>
      <c r="S242" s="279"/>
      <c r="T242" s="279"/>
      <c r="U242" s="280"/>
      <c r="V242" s="103"/>
      <c r="W242" s="84">
        <f t="shared" si="101"/>
        <v>61</v>
      </c>
      <c r="X242" s="84"/>
      <c r="Y242" s="78">
        <f>SUM(E222:E242)</f>
        <v>60</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9"/>
      <c r="N243" s="279"/>
      <c r="O243" s="279"/>
      <c r="P243" s="279"/>
      <c r="Q243" s="279"/>
      <c r="R243" s="279"/>
      <c r="S243" s="279"/>
      <c r="T243" s="279"/>
      <c r="U243" s="280"/>
      <c r="V243" s="103"/>
      <c r="W243" s="84">
        <f t="shared" si="101"/>
        <v>61</v>
      </c>
      <c r="X243" s="84"/>
      <c r="Y243" s="78">
        <f>SUM(E222:E243)</f>
        <v>60</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9"/>
      <c r="N244" s="279"/>
      <c r="O244" s="279"/>
      <c r="P244" s="279"/>
      <c r="Q244" s="279"/>
      <c r="R244" s="279"/>
      <c r="S244" s="279"/>
      <c r="T244" s="279"/>
      <c r="U244" s="280"/>
      <c r="V244" s="103"/>
      <c r="W244" s="84">
        <f t="shared" si="101"/>
        <v>61</v>
      </c>
      <c r="X244" s="84"/>
      <c r="Y244" s="78">
        <f>SUM(E222:E244)</f>
        <v>60</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9"/>
      <c r="N245" s="279"/>
      <c r="O245" s="279"/>
      <c r="P245" s="279"/>
      <c r="Q245" s="279"/>
      <c r="R245" s="279"/>
      <c r="S245" s="279"/>
      <c r="T245" s="279"/>
      <c r="U245" s="280"/>
      <c r="V245" s="103"/>
      <c r="W245" s="84">
        <f t="shared" si="101"/>
        <v>61</v>
      </c>
      <c r="X245" s="84"/>
      <c r="Y245" s="78">
        <f>SUM(E222:E245)</f>
        <v>60</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9"/>
      <c r="N246" s="279"/>
      <c r="O246" s="279"/>
      <c r="P246" s="279"/>
      <c r="Q246" s="279"/>
      <c r="R246" s="279"/>
      <c r="S246" s="279"/>
      <c r="T246" s="279"/>
      <c r="U246" s="280"/>
      <c r="V246" s="103"/>
      <c r="W246" s="72"/>
      <c r="X246" s="72"/>
      <c r="Y246" s="78">
        <f>SUM(E222:E246)</f>
        <v>60</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20" t="s">
        <v>315</v>
      </c>
      <c r="C247" s="321"/>
      <c r="D247" s="79"/>
      <c r="E247" s="80"/>
      <c r="F247" s="80"/>
      <c r="G247" s="81"/>
      <c r="H247" s="192"/>
      <c r="I247" s="192"/>
      <c r="J247" s="192"/>
      <c r="K247" s="82"/>
      <c r="L247" s="320" t="s">
        <v>306</v>
      </c>
      <c r="M247" s="331"/>
      <c r="N247" s="331"/>
      <c r="O247" s="331"/>
      <c r="P247" s="331"/>
      <c r="Q247" s="331"/>
      <c r="R247" s="331"/>
      <c r="S247" s="331"/>
      <c r="T247" s="331"/>
      <c r="U247" s="321"/>
      <c r="V247" s="104"/>
      <c r="W247" s="72"/>
      <c r="X247" s="72"/>
      <c r="Y247" s="72"/>
      <c r="Z247" s="72"/>
      <c r="AA247" s="72" t="str">
        <f t="shared" si="100"/>
        <v/>
      </c>
      <c r="AB247" s="72"/>
      <c r="AC247" s="72">
        <f>SUM(AC222:AC246)</f>
        <v>25</v>
      </c>
      <c r="AD247" s="72">
        <f>SUM(AD222:AD246)</f>
        <v>17</v>
      </c>
      <c r="AM247" s="109">
        <f>SUM(AM222:AM246)</f>
        <v>1</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20" t="s">
        <v>307</v>
      </c>
      <c r="C248" s="321"/>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3" t="s">
        <v>222</v>
      </c>
      <c r="C252" s="314"/>
      <c r="D252" s="315" t="s">
        <v>223</v>
      </c>
      <c r="E252" s="306"/>
      <c r="F252" s="88"/>
      <c r="G252" s="316" t="s">
        <v>224</v>
      </c>
      <c r="H252" s="317"/>
      <c r="I252" s="28">
        <f>SUM(E263:E287)</f>
        <v>48</v>
      </c>
      <c r="J252" s="318" t="s">
        <v>225</v>
      </c>
      <c r="K252" s="319"/>
      <c r="L252" s="306"/>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6" t="s">
        <v>226</v>
      </c>
      <c r="AA252" s="297"/>
      <c r="AB252" s="298"/>
      <c r="AC252" s="25"/>
      <c r="AD252" s="25"/>
      <c r="AH252" s="109">
        <v>2</v>
      </c>
      <c r="AI252" s="109" t="str">
        <f>IF($E253="SS",COUNTIFS($C263:$C287,"FST",$E263:$E287,"2"),"0")</f>
        <v>0</v>
      </c>
      <c r="AJ252" s="109">
        <f>IF($E253="RPX",COUNTIFS($C263:$C287,"FST",$E263:$E287,"2"),"0")</f>
        <v>0</v>
      </c>
      <c r="AK252" s="109" t="str">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RPX</v>
      </c>
      <c r="F253" s="88"/>
      <c r="G253" s="305" t="s">
        <v>230</v>
      </c>
      <c r="H253" s="306"/>
      <c r="I253" s="33">
        <f>E254-I252</f>
        <v>0</v>
      </c>
      <c r="J253" s="290" t="s">
        <v>231</v>
      </c>
      <c r="K253" s="291"/>
      <c r="L253" s="34">
        <f>I257</f>
        <v>745</v>
      </c>
      <c r="M253" s="196">
        <v>4</v>
      </c>
      <c r="N253" s="35">
        <f>SUM(AI253,AI264)</f>
        <v>0</v>
      </c>
      <c r="O253" s="35">
        <v>0</v>
      </c>
      <c r="P253" s="35">
        <f>SUM(AJ253,AJ264)</f>
        <v>6</v>
      </c>
      <c r="Q253" s="35">
        <v>0</v>
      </c>
      <c r="R253" s="35">
        <f>COUNTIFS($E263:$E287,"4",$F263:$F287,"Pole",$C263:$C287,"FST")</f>
        <v>6</v>
      </c>
      <c r="S253" s="35">
        <f>SUM(AL253,AK264)</f>
        <v>0</v>
      </c>
      <c r="T253" s="35">
        <v>0</v>
      </c>
      <c r="U253" s="35">
        <f>SUM(AK253,AL264)</f>
        <v>0</v>
      </c>
      <c r="V253" s="35">
        <v>0</v>
      </c>
      <c r="W253" s="34">
        <f>COUNTIFS($E263:$E287,"4",$F263:$F287,"HH",$C263:$C287,"FST")</f>
        <v>0</v>
      </c>
      <c r="X253" s="35">
        <f>COUNTIFS($E263:$E287,"4",$F263:$F287,"Ped",$C263:$C287,"FST")</f>
        <v>0</v>
      </c>
      <c r="Y253" s="25"/>
      <c r="Z253" s="299" t="s">
        <v>232</v>
      </c>
      <c r="AA253" s="301" t="s">
        <v>233</v>
      </c>
      <c r="AB253" s="302"/>
      <c r="AC253" s="25"/>
      <c r="AD253" s="25"/>
      <c r="AH253" s="109">
        <v>4</v>
      </c>
      <c r="AI253" s="109" t="str">
        <f>IF($E253="SS",COUNTIFS($C263:$C287,"FST",$E263:$E287,"4"),"0")</f>
        <v>0</v>
      </c>
      <c r="AJ253" s="109">
        <f>IF($E253="RPX",COUNTIFS($C263:$C287,"FST",$E263:$E287,"4"),"0")</f>
        <v>6</v>
      </c>
      <c r="AK253" s="109" t="str">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48</v>
      </c>
      <c r="F254" s="88"/>
      <c r="G254" s="292" t="s">
        <v>237</v>
      </c>
      <c r="H254" s="293"/>
      <c r="I254" s="35">
        <f>IF(E254=0,0,12-(MOD(I252,12)))</f>
        <v>12</v>
      </c>
      <c r="J254" s="290" t="s">
        <v>238</v>
      </c>
      <c r="K254" s="291"/>
      <c r="L254" s="39">
        <f>I258-I252</f>
        <v>744</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0"/>
      <c r="AA254" s="303"/>
      <c r="AB254" s="304"/>
      <c r="AC254" s="25"/>
      <c r="AD254" s="25"/>
      <c r="AH254" s="109">
        <v>6</v>
      </c>
      <c r="AI254" s="109" t="str">
        <f>IF($E253="SS",COUNTIFS($C263:$C287,"FST",$E263:$E287,"6"),"0")</f>
        <v>0</v>
      </c>
      <c r="AJ254" s="109">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322" t="s">
        <v>242</v>
      </c>
      <c r="H255" s="43" t="s">
        <v>243</v>
      </c>
      <c r="I255" s="35">
        <f>IF(E255&lt;&gt;0,1,0)</f>
        <v>0</v>
      </c>
      <c r="J255" s="292" t="s">
        <v>244</v>
      </c>
      <c r="K255" s="293"/>
      <c r="L255" s="44">
        <f>'Cable Calculator'!AH3</f>
        <v>2661</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f>IF($E253="RPX",COUNTIFS($C263:$C287,"FST",$E263:$E287,"8"),"0")</f>
        <v>0</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745</v>
      </c>
      <c r="F256" s="88"/>
      <c r="G256" s="323"/>
      <c r="H256" s="47" t="s">
        <v>248</v>
      </c>
      <c r="I256" s="35">
        <f>IF(E255&lt;&gt;0,E255,0)</f>
        <v>0</v>
      </c>
      <c r="J256" s="194"/>
      <c r="K256" s="195"/>
      <c r="L256" s="48"/>
      <c r="M256" s="196">
        <v>12</v>
      </c>
      <c r="N256" s="35" t="str">
        <f>IF($E253="SS",SUM(AI256,AJ267,AM288,AO288,AQ288),"0")</f>
        <v>0</v>
      </c>
      <c r="O256" s="35" t="str">
        <f>IF($E253="SS",SUM(AN288,AP288,AR288),"0")</f>
        <v>0</v>
      </c>
      <c r="P256" s="35">
        <f>IF($E253="RPX",SUM(AJ256,AJ267,AM288,AO288,AQ288),"0")</f>
        <v>2</v>
      </c>
      <c r="Q256" s="35">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4</v>
      </c>
      <c r="F257" s="88"/>
      <c r="G257" s="322" t="s">
        <v>251</v>
      </c>
      <c r="H257" s="51" t="s">
        <v>252</v>
      </c>
      <c r="I257" s="112">
        <f>E256</f>
        <v>745</v>
      </c>
      <c r="J257" s="324" t="s">
        <v>253</v>
      </c>
      <c r="K257" s="325"/>
      <c r="L257" s="326"/>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323"/>
      <c r="H258" s="47" t="s">
        <v>257</v>
      </c>
      <c r="I258" s="35">
        <f>IF(E256="","0",IF(AND(E253="EUC",E254=432), I257+(203-E255),IF(E256=0,0,(E256+(E254-E255)-1))))</f>
        <v>792</v>
      </c>
      <c r="J258" s="287" t="str">
        <f>IFERROR(IF(OR(E253="EUC",E253="SS"),"---",IF(OR(P252,S252),"NO 2F Tethers for RPX!",IF(OR(P254,S254),"NO 6F Tethers for RPX!","---"))),"---")</f>
        <v>---</v>
      </c>
      <c r="K258" s="288"/>
      <c r="L258" s="289"/>
      <c r="M258" s="287" t="str">
        <f>IF(E255&gt;60,"Dead Count &gt;60: Consider Downsize","---")</f>
        <v>---</v>
      </c>
      <c r="N258" s="288"/>
      <c r="O258" s="288"/>
      <c r="P258" s="288"/>
      <c r="Q258" s="288"/>
      <c r="R258" s="288"/>
      <c r="S258" s="288"/>
      <c r="T258" s="288"/>
      <c r="U258" s="289"/>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48</v>
      </c>
      <c r="D259" s="31" t="s">
        <v>259</v>
      </c>
      <c r="E259" s="101" t="str">
        <f>IF(AS253="Y","DBL",IF(AS254="Y","TRPL",IF(AS255="Y","QUAD","")))</f>
        <v/>
      </c>
      <c r="F259" s="88"/>
      <c r="G259" s="192"/>
      <c r="H259" s="57"/>
      <c r="I259" s="192"/>
      <c r="J259" s="287"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8"/>
      <c r="L259" s="289"/>
      <c r="M259" s="287" t="str">
        <f>IF(AND(OR(E253="SS",E253="RPX",E253="EUC",E253="RPX-T"),(OR(C263="",C263="Field SPL"))),"Cannot have FlexNap cables without tethers","---")</f>
        <v>---</v>
      </c>
      <c r="N259" s="288"/>
      <c r="O259" s="288"/>
      <c r="P259" s="288"/>
      <c r="Q259" s="288"/>
      <c r="R259" s="288"/>
      <c r="S259" s="288"/>
      <c r="T259" s="288"/>
      <c r="U259" s="289"/>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7" t="str">
        <f>IF(AND(OR(E253="RPX", E253="RPX-T", E253="SS"),E254=216),"NO 216 For RPX, RPX-T, OR SS CABLE","---")</f>
        <v>---</v>
      </c>
      <c r="K260" s="288"/>
      <c r="L260" s="289"/>
      <c r="M260" s="287" t="str" cm="1">
        <f t="array" ref="M260">IF(AND(E253="",OR(C263:C287="FST",C263:C287="REV T",C263:C287="DBL REV",C263:C287="TPL REV", C263:C287="QD REV")),"Non-FlexNap cables cannot have tethers","---")</f>
        <v>---</v>
      </c>
      <c r="N260" s="288"/>
      <c r="O260" s="288"/>
      <c r="P260" s="288"/>
      <c r="Q260" s="288"/>
      <c r="R260" s="288"/>
      <c r="S260" s="288"/>
      <c r="T260" s="288"/>
      <c r="U260" s="289"/>
      <c r="V260" s="25"/>
      <c r="W260" s="58"/>
      <c r="X260" s="58"/>
      <c r="Y260" s="25"/>
      <c r="Z260" s="45">
        <v>6</v>
      </c>
      <c r="AA260" s="65">
        <v>61</v>
      </c>
      <c r="AB260" s="65">
        <v>72</v>
      </c>
      <c r="AC260" s="25"/>
      <c r="AD260" s="25"/>
      <c r="BA260" s="226"/>
    </row>
    <row r="261" spans="1:53" ht="15.75" customHeight="1" thickBot="1" x14ac:dyDescent="0.3">
      <c r="A261" s="88"/>
      <c r="B261" s="322" t="s">
        <v>260</v>
      </c>
      <c r="C261" s="294" t="s">
        <v>261</v>
      </c>
      <c r="D261" s="294" t="s">
        <v>262</v>
      </c>
      <c r="E261" s="307" t="s">
        <v>263</v>
      </c>
      <c r="F261" s="294" t="s">
        <v>264</v>
      </c>
      <c r="G261" s="309" t="s">
        <v>265</v>
      </c>
      <c r="H261" s="309" t="s">
        <v>266</v>
      </c>
      <c r="I261" s="309" t="s">
        <v>267</v>
      </c>
      <c r="J261" s="311" t="s">
        <v>268</v>
      </c>
      <c r="K261" s="294" t="s">
        <v>269</v>
      </c>
      <c r="L261" s="281" t="s">
        <v>270</v>
      </c>
      <c r="M261" s="283" t="s">
        <v>271</v>
      </c>
      <c r="N261" s="283"/>
      <c r="O261" s="283"/>
      <c r="P261" s="283"/>
      <c r="Q261" s="283"/>
      <c r="R261" s="283"/>
      <c r="S261" s="283"/>
      <c r="T261" s="283"/>
      <c r="U261" s="284"/>
      <c r="V261" s="107"/>
      <c r="W261" s="72"/>
      <c r="X261" s="72"/>
      <c r="Y261" s="72"/>
      <c r="Z261" s="45">
        <v>7</v>
      </c>
      <c r="AA261" s="65">
        <v>73</v>
      </c>
      <c r="AB261" s="65">
        <v>84</v>
      </c>
      <c r="AC261" s="25"/>
      <c r="AD261" s="25"/>
      <c r="BA261" s="228"/>
    </row>
    <row r="262" spans="1:53" ht="15.75" thickBot="1" x14ac:dyDescent="0.3">
      <c r="A262" s="88"/>
      <c r="B262" s="323"/>
      <c r="C262" s="295"/>
      <c r="D262" s="295"/>
      <c r="E262" s="308"/>
      <c r="F262" s="295"/>
      <c r="G262" s="310"/>
      <c r="H262" s="310"/>
      <c r="I262" s="310"/>
      <c r="J262" s="312"/>
      <c r="K262" s="295"/>
      <c r="L262" s="282"/>
      <c r="M262" s="285"/>
      <c r="N262" s="285"/>
      <c r="O262" s="285"/>
      <c r="P262" s="285"/>
      <c r="Q262" s="285"/>
      <c r="R262" s="285"/>
      <c r="S262" s="285"/>
      <c r="T262" s="285"/>
      <c r="U262" s="286"/>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754</v>
      </c>
      <c r="E263" s="32">
        <v>4</v>
      </c>
      <c r="F263" s="32" t="s">
        <v>483</v>
      </c>
      <c r="G263" s="68" t="s">
        <v>277</v>
      </c>
      <c r="H263" s="69">
        <f>IF(I263=0,0,I263-(E263-1))</f>
        <v>789</v>
      </c>
      <c r="I263" s="70">
        <f>IF(E263=0,0,I258)</f>
        <v>792</v>
      </c>
      <c r="J263" s="71" t="s">
        <v>278</v>
      </c>
      <c r="K263" s="32"/>
      <c r="L263" s="233"/>
      <c r="M263" s="279"/>
      <c r="N263" s="279"/>
      <c r="O263" s="279"/>
      <c r="P263" s="279"/>
      <c r="Q263" s="279"/>
      <c r="R263" s="279"/>
      <c r="S263" s="279"/>
      <c r="T263" s="279"/>
      <c r="U263" s="280"/>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789-792</v>
      </c>
      <c r="AF263" s="109" t="str">
        <f t="shared" ref="AF263:AF287" si="105">IF(C263="Field SPL","N","Y")</f>
        <v>Y</v>
      </c>
      <c r="AG263" s="109" t="str">
        <f t="shared" ref="AG263:AG287" si="106">IF(OR(E$253="RPX",E$253="SS"),"A","B")</f>
        <v>A</v>
      </c>
      <c r="AH263" s="109">
        <v>2</v>
      </c>
      <c r="AI263" s="109" t="str">
        <f>IF(E253="SS",COUNTIFS(C263:C287,"TCF",E263:E287,"2"),"")</f>
        <v/>
      </c>
      <c r="AJ263" s="109">
        <f>IF(E253="RPX",COUNTIFS(C263:C287,"TCF",E263:E287,"2"),"")</f>
        <v>0</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755</v>
      </c>
      <c r="E264" s="32">
        <v>4</v>
      </c>
      <c r="F264" s="32" t="s">
        <v>483</v>
      </c>
      <c r="G264" s="68" t="s">
        <v>277</v>
      </c>
      <c r="H264" s="69">
        <f t="shared" ref="H264:H287" si="111">IF(E264=0,0,I264-(E264-1))</f>
        <v>785</v>
      </c>
      <c r="I264" s="70">
        <f t="shared" ref="I264:I287" si="112">IF(E264=0,0,H263-1)</f>
        <v>788</v>
      </c>
      <c r="J264" s="73" t="str">
        <f>IF(C264="","--",IF(AND(C264&lt;&gt;"FST",C264&lt;&gt;"TCF",BA263&lt;&gt;0),BA263,"--"))</f>
        <v>--</v>
      </c>
      <c r="K264" s="32"/>
      <c r="L264" s="233"/>
      <c r="M264" s="279"/>
      <c r="N264" s="279"/>
      <c r="O264" s="279"/>
      <c r="P264" s="279"/>
      <c r="Q264" s="279"/>
      <c r="R264" s="279"/>
      <c r="S264" s="279"/>
      <c r="T264" s="279"/>
      <c r="U264" s="280"/>
      <c r="V264" s="103"/>
      <c r="W264" s="72"/>
      <c r="X264" s="72"/>
      <c r="Y264" s="72"/>
      <c r="Z264" s="45">
        <v>10</v>
      </c>
      <c r="AA264" s="46">
        <v>109</v>
      </c>
      <c r="AB264" s="46">
        <v>120</v>
      </c>
      <c r="AC264" s="72">
        <f t="shared" si="102"/>
        <v>1</v>
      </c>
      <c r="AD264" s="72">
        <f t="shared" si="103"/>
        <v>0</v>
      </c>
      <c r="AE264" s="109" t="str">
        <f t="shared" si="104"/>
        <v>785-788</v>
      </c>
      <c r="AF264" s="109" t="str">
        <f t="shared" si="105"/>
        <v>Y</v>
      </c>
      <c r="AG264" s="109" t="str">
        <f t="shared" si="106"/>
        <v>A</v>
      </c>
      <c r="AH264" s="109">
        <v>4</v>
      </c>
      <c r="AI264" s="109" t="str">
        <f>IF(E253="SS",COUNTIFS(C263:C287,"TCF",E263:E287,"4"),"")</f>
        <v/>
      </c>
      <c r="AJ264" s="109">
        <f>IF(E253="RPX",COUNTIFS(C263:C287,"TCF",E263:E287,"4"),"")</f>
        <v>0</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756</v>
      </c>
      <c r="E265" s="32">
        <v>4</v>
      </c>
      <c r="F265" s="32" t="s">
        <v>483</v>
      </c>
      <c r="G265" s="75" t="s">
        <v>277</v>
      </c>
      <c r="H265" s="69">
        <f t="shared" si="111"/>
        <v>781</v>
      </c>
      <c r="I265" s="70">
        <f t="shared" si="112"/>
        <v>784</v>
      </c>
      <c r="J265" s="73" t="str">
        <f t="shared" ref="J265:J287" si="113">IF(C265="","--",IF(AND(C265&lt;&gt;"FST",C265&lt;&gt;"TCF",BA264&lt;&gt;0),BA264,"--"))</f>
        <v>--</v>
      </c>
      <c r="K265" s="32"/>
      <c r="L265" s="233"/>
      <c r="M265" s="279"/>
      <c r="N265" s="279"/>
      <c r="O265" s="279"/>
      <c r="P265" s="279"/>
      <c r="Q265" s="279"/>
      <c r="R265" s="279"/>
      <c r="S265" s="279"/>
      <c r="T265" s="279"/>
      <c r="U265" s="280"/>
      <c r="V265" s="103"/>
      <c r="W265" s="72"/>
      <c r="X265" s="72"/>
      <c r="Y265" s="72"/>
      <c r="Z265" s="45">
        <v>11</v>
      </c>
      <c r="AA265" s="46">
        <v>121</v>
      </c>
      <c r="AB265" s="46">
        <v>132</v>
      </c>
      <c r="AC265" s="72">
        <f t="shared" si="102"/>
        <v>1</v>
      </c>
      <c r="AD265" s="72">
        <f t="shared" si="103"/>
        <v>0</v>
      </c>
      <c r="AE265" s="109" t="str">
        <f t="shared" si="104"/>
        <v>781-784</v>
      </c>
      <c r="AF265" s="109" t="str">
        <f t="shared" si="105"/>
        <v>Y</v>
      </c>
      <c r="AG265" s="109" t="str">
        <f t="shared" si="106"/>
        <v>A</v>
      </c>
      <c r="AH265" s="109">
        <v>6</v>
      </c>
      <c r="AI265" s="109" t="str">
        <f>IF(E253="SS",COUNTIFS(C263:C287,"TCF",E263:E287,"6"),"")</f>
        <v/>
      </c>
      <c r="AJ265" s="109">
        <f>IF(E253="RPX",COUNTIFS(C263:C287,"TCF",E263:E287,"6"),"")</f>
        <v>0</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757</v>
      </c>
      <c r="E266" s="32">
        <v>4</v>
      </c>
      <c r="F266" s="32" t="s">
        <v>483</v>
      </c>
      <c r="G266" s="68" t="s">
        <v>277</v>
      </c>
      <c r="H266" s="69">
        <f t="shared" si="111"/>
        <v>777</v>
      </c>
      <c r="I266" s="70">
        <f t="shared" si="112"/>
        <v>780</v>
      </c>
      <c r="J266" s="73" t="str">
        <f t="shared" si="113"/>
        <v>--</v>
      </c>
      <c r="K266" s="32"/>
      <c r="L266" s="233"/>
      <c r="M266" s="279"/>
      <c r="N266" s="279"/>
      <c r="O266" s="279"/>
      <c r="P266" s="279"/>
      <c r="Q266" s="279"/>
      <c r="R266" s="279"/>
      <c r="S266" s="279"/>
      <c r="T266" s="279"/>
      <c r="U266" s="280"/>
      <c r="V266" s="103"/>
      <c r="W266" s="72"/>
      <c r="X266" s="72"/>
      <c r="Y266" s="72"/>
      <c r="Z266" s="45">
        <v>12</v>
      </c>
      <c r="AA266" s="76">
        <v>133</v>
      </c>
      <c r="AB266" s="76">
        <v>144</v>
      </c>
      <c r="AC266" s="72">
        <f t="shared" si="102"/>
        <v>1</v>
      </c>
      <c r="AD266" s="72">
        <f t="shared" si="103"/>
        <v>0</v>
      </c>
      <c r="AE266" s="109" t="str">
        <f t="shared" si="104"/>
        <v>777-780</v>
      </c>
      <c r="AF266" s="109" t="str">
        <f t="shared" si="105"/>
        <v>Y</v>
      </c>
      <c r="AG266" s="109" t="str">
        <f t="shared" si="106"/>
        <v>A</v>
      </c>
      <c r="AH266" s="109">
        <v>8</v>
      </c>
      <c r="AI266" s="109" t="str">
        <f>IF(E253="SS",COUNTIFS(C263:C287,"TCF",E263:E287,"8"),"")</f>
        <v/>
      </c>
      <c r="AJ266" s="109">
        <f>IF(E253="RPX",COUNTIFS(C263:C287,"TCF",E263:E287,"8"),"")</f>
        <v>0</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8</v>
      </c>
    </row>
    <row r="267" spans="1:53" ht="15.75" thickBot="1" x14ac:dyDescent="0.3">
      <c r="A267" s="88"/>
      <c r="B267" s="66" t="s">
        <v>282</v>
      </c>
      <c r="C267" s="67" t="s">
        <v>484</v>
      </c>
      <c r="D267" s="102" t="s">
        <v>758</v>
      </c>
      <c r="E267" s="32">
        <v>4</v>
      </c>
      <c r="F267" s="32" t="s">
        <v>483</v>
      </c>
      <c r="G267" s="68" t="s">
        <v>277</v>
      </c>
      <c r="H267" s="69">
        <f t="shared" si="111"/>
        <v>773</v>
      </c>
      <c r="I267" s="70">
        <f t="shared" si="112"/>
        <v>776</v>
      </c>
      <c r="J267" s="73" t="str">
        <f t="shared" si="113"/>
        <v>--</v>
      </c>
      <c r="K267" s="32"/>
      <c r="L267" s="233"/>
      <c r="M267" s="279"/>
      <c r="N267" s="279"/>
      <c r="O267" s="279"/>
      <c r="P267" s="279"/>
      <c r="Q267" s="279"/>
      <c r="R267" s="279"/>
      <c r="S267" s="279"/>
      <c r="T267" s="279"/>
      <c r="U267" s="280"/>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773-776</v>
      </c>
      <c r="AF267" s="109" t="str">
        <f t="shared" si="105"/>
        <v>Y</v>
      </c>
      <c r="AG267" s="109" t="str">
        <f t="shared" si="106"/>
        <v>A</v>
      </c>
      <c r="AH267" s="109">
        <v>12</v>
      </c>
      <c r="AI267" s="109" t="str">
        <f>IF(E253="SS",COUNTIFS(C263:C287,"TCF",E263:E287,"12"),"")</f>
        <v/>
      </c>
      <c r="AJ267" s="109">
        <f>IF(E253="RPX",COUNTIFS(C263:C287,"TCF",E263:E287,"12"),"")</f>
        <v>0</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t="s">
        <v>484</v>
      </c>
      <c r="D268" s="102" t="s">
        <v>759</v>
      </c>
      <c r="E268" s="32">
        <v>4</v>
      </c>
      <c r="F268" s="32" t="s">
        <v>483</v>
      </c>
      <c r="G268" s="68" t="s">
        <v>277</v>
      </c>
      <c r="H268" s="69">
        <f t="shared" si="111"/>
        <v>769</v>
      </c>
      <c r="I268" s="70">
        <f t="shared" si="112"/>
        <v>772</v>
      </c>
      <c r="J268" s="73" t="str">
        <f t="shared" si="113"/>
        <v>--</v>
      </c>
      <c r="K268" s="32"/>
      <c r="L268" s="233"/>
      <c r="M268" s="279"/>
      <c r="N268" s="279"/>
      <c r="O268" s="279"/>
      <c r="P268" s="279"/>
      <c r="Q268" s="279"/>
      <c r="R268" s="279"/>
      <c r="S268" s="279"/>
      <c r="T268" s="279"/>
      <c r="U268" s="280"/>
      <c r="V268" s="103"/>
      <c r="W268" s="72"/>
      <c r="X268" s="72"/>
      <c r="Y268" s="72"/>
      <c r="Z268" s="45">
        <v>14</v>
      </c>
      <c r="AA268" s="77">
        <f t="shared" si="114"/>
        <v>157</v>
      </c>
      <c r="AB268" s="77">
        <f t="shared" si="115"/>
        <v>168</v>
      </c>
      <c r="AC268" s="72">
        <f t="shared" si="102"/>
        <v>1</v>
      </c>
      <c r="AD268" s="72">
        <f t="shared" si="103"/>
        <v>0</v>
      </c>
      <c r="AE268" s="109" t="str">
        <f t="shared" si="104"/>
        <v>769-772</v>
      </c>
      <c r="AF268" s="109" t="str">
        <f t="shared" si="105"/>
        <v>Y</v>
      </c>
      <c r="AG268" s="109" t="str">
        <f t="shared" si="106"/>
        <v>A</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t="s">
        <v>494</v>
      </c>
      <c r="D269" s="102"/>
      <c r="E269" s="32">
        <v>12</v>
      </c>
      <c r="F269" s="32"/>
      <c r="G269" s="68" t="s">
        <v>277</v>
      </c>
      <c r="H269" s="69">
        <f t="shared" si="111"/>
        <v>757</v>
      </c>
      <c r="I269" s="70">
        <f t="shared" si="112"/>
        <v>768</v>
      </c>
      <c r="J269" s="73" t="str">
        <f t="shared" si="113"/>
        <v>--</v>
      </c>
      <c r="K269" s="32"/>
      <c r="L269" s="233"/>
      <c r="M269" s="279" t="s">
        <v>414</v>
      </c>
      <c r="N269" s="279"/>
      <c r="O269" s="279"/>
      <c r="P269" s="279"/>
      <c r="Q269" s="279"/>
      <c r="R269" s="279"/>
      <c r="S269" s="279"/>
      <c r="T269" s="279"/>
      <c r="U269" s="280"/>
      <c r="V269" s="103"/>
      <c r="W269" s="72"/>
      <c r="X269" s="72"/>
      <c r="Y269" s="72"/>
      <c r="Z269" s="45">
        <v>15</v>
      </c>
      <c r="AA269" s="77">
        <f t="shared" si="114"/>
        <v>169</v>
      </c>
      <c r="AB269" s="77">
        <f t="shared" si="115"/>
        <v>180</v>
      </c>
      <c r="AC269" s="72">
        <f t="shared" si="102"/>
        <v>1</v>
      </c>
      <c r="AD269" s="72">
        <f t="shared" si="103"/>
        <v>1</v>
      </c>
      <c r="AE269" s="109" t="str">
        <f t="shared" si="104"/>
        <v>757-768</v>
      </c>
      <c r="AF269" s="109" t="str">
        <f t="shared" si="105"/>
        <v>Y</v>
      </c>
      <c r="AG269" s="109" t="str">
        <f t="shared" si="106"/>
        <v>A</v>
      </c>
      <c r="AM269" s="109">
        <f t="shared" si="107"/>
        <v>1</v>
      </c>
      <c r="AN269" s="109">
        <f t="shared" si="108"/>
        <v>0</v>
      </c>
      <c r="AO269" s="109" t="str">
        <f t="shared" si="109"/>
        <v/>
      </c>
      <c r="AQ269" s="109" t="str">
        <f t="shared" si="110"/>
        <v/>
      </c>
      <c r="BA269" s="229">
        <f>MOD(SUM(E263:E270),12)</f>
        <v>0</v>
      </c>
    </row>
    <row r="270" spans="1:53" ht="15.75" thickBot="1" x14ac:dyDescent="0.3">
      <c r="A270" s="88"/>
      <c r="B270" s="66" t="s">
        <v>285</v>
      </c>
      <c r="C270" s="67" t="s">
        <v>494</v>
      </c>
      <c r="D270" s="102"/>
      <c r="E270" s="32">
        <v>12</v>
      </c>
      <c r="F270" s="32"/>
      <c r="G270" s="68" t="s">
        <v>277</v>
      </c>
      <c r="H270" s="69">
        <f t="shared" si="111"/>
        <v>745</v>
      </c>
      <c r="I270" s="70">
        <f t="shared" si="112"/>
        <v>756</v>
      </c>
      <c r="J270" s="73" t="str">
        <f t="shared" si="113"/>
        <v>--</v>
      </c>
      <c r="K270" s="32"/>
      <c r="L270" s="233"/>
      <c r="M270" s="279" t="s">
        <v>424</v>
      </c>
      <c r="N270" s="279"/>
      <c r="O270" s="279"/>
      <c r="P270" s="279"/>
      <c r="Q270" s="279"/>
      <c r="R270" s="279"/>
      <c r="S270" s="279"/>
      <c r="T270" s="279"/>
      <c r="U270" s="280"/>
      <c r="V270" s="103"/>
      <c r="W270" s="72"/>
      <c r="X270" s="72"/>
      <c r="Y270" s="72"/>
      <c r="Z270" s="45">
        <f>Z269+1</f>
        <v>16</v>
      </c>
      <c r="AA270" s="77">
        <f t="shared" si="114"/>
        <v>181</v>
      </c>
      <c r="AB270" s="77">
        <f t="shared" si="115"/>
        <v>192</v>
      </c>
      <c r="AC270" s="72">
        <f t="shared" si="102"/>
        <v>1</v>
      </c>
      <c r="AD270" s="72">
        <f t="shared" si="103"/>
        <v>1</v>
      </c>
      <c r="AE270" s="109" t="str">
        <f t="shared" si="104"/>
        <v>745-756</v>
      </c>
      <c r="AF270" s="109" t="str">
        <f t="shared" si="105"/>
        <v>Y</v>
      </c>
      <c r="AG270" s="109" t="str">
        <f t="shared" si="106"/>
        <v>A</v>
      </c>
      <c r="AM270" s="109">
        <f t="shared" si="107"/>
        <v>1</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79"/>
      <c r="N271" s="279"/>
      <c r="O271" s="279"/>
      <c r="P271" s="279"/>
      <c r="Q271" s="279"/>
      <c r="R271" s="279"/>
      <c r="S271" s="279"/>
      <c r="T271" s="279"/>
      <c r="U271" s="280"/>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A</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9"/>
      <c r="N272" s="279"/>
      <c r="O272" s="279"/>
      <c r="P272" s="279"/>
      <c r="Q272" s="279"/>
      <c r="R272" s="279"/>
      <c r="S272" s="279"/>
      <c r="T272" s="279"/>
      <c r="U272" s="280"/>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A</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9"/>
      <c r="N273" s="279"/>
      <c r="O273" s="279"/>
      <c r="P273" s="279"/>
      <c r="Q273" s="279"/>
      <c r="R273" s="279"/>
      <c r="S273" s="279"/>
      <c r="T273" s="279"/>
      <c r="U273" s="280"/>
      <c r="V273" s="103"/>
      <c r="W273" s="84"/>
      <c r="X273" s="84"/>
      <c r="Y273" s="72"/>
      <c r="Z273" s="72"/>
      <c r="AA273" s="72"/>
      <c r="AB273" s="72"/>
      <c r="AC273" s="72">
        <f t="shared" si="102"/>
        <v>1</v>
      </c>
      <c r="AD273" s="72">
        <f t="shared" si="103"/>
        <v>1</v>
      </c>
      <c r="AE273" s="109" t="str">
        <f t="shared" si="104"/>
        <v>0-0</v>
      </c>
      <c r="AF273" s="109" t="str">
        <f t="shared" si="105"/>
        <v>Y</v>
      </c>
      <c r="AG273" s="109" t="str">
        <f t="shared" si="106"/>
        <v>A</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9"/>
      <c r="N274" s="279"/>
      <c r="O274" s="279"/>
      <c r="P274" s="279"/>
      <c r="Q274" s="279"/>
      <c r="R274" s="279"/>
      <c r="S274" s="279"/>
      <c r="T274" s="279"/>
      <c r="U274" s="280"/>
      <c r="V274" s="103"/>
      <c r="W274" s="84">
        <f>Y274+1</f>
        <v>49</v>
      </c>
      <c r="X274" s="84"/>
      <c r="Y274" s="78">
        <f>SUM(E263:E274)</f>
        <v>48</v>
      </c>
      <c r="Z274" s="72"/>
      <c r="AA274" s="72"/>
      <c r="AB274" s="72"/>
      <c r="AC274" s="72">
        <f t="shared" si="102"/>
        <v>1</v>
      </c>
      <c r="AD274" s="72">
        <f t="shared" si="103"/>
        <v>1</v>
      </c>
      <c r="AE274" s="109" t="str">
        <f t="shared" si="104"/>
        <v>0-0</v>
      </c>
      <c r="AF274" s="109" t="str">
        <f t="shared" si="105"/>
        <v>Y</v>
      </c>
      <c r="AG274" s="109" t="str">
        <f t="shared" si="106"/>
        <v>A</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9"/>
      <c r="N275" s="279"/>
      <c r="O275" s="279"/>
      <c r="P275" s="279"/>
      <c r="Q275" s="279"/>
      <c r="R275" s="279"/>
      <c r="S275" s="279"/>
      <c r="T275" s="279"/>
      <c r="U275" s="280"/>
      <c r="V275" s="103"/>
      <c r="W275" s="84">
        <f>Y275+1</f>
        <v>49</v>
      </c>
      <c r="X275" s="84"/>
      <c r="Y275" s="78">
        <f>SUM(E263:E275)</f>
        <v>48</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A</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9"/>
      <c r="N276" s="279"/>
      <c r="O276" s="279"/>
      <c r="P276" s="279"/>
      <c r="Q276" s="279"/>
      <c r="R276" s="279"/>
      <c r="S276" s="279"/>
      <c r="T276" s="279"/>
      <c r="U276" s="280"/>
      <c r="V276" s="103"/>
      <c r="W276" s="84">
        <f>Y276+1</f>
        <v>49</v>
      </c>
      <c r="X276" s="84"/>
      <c r="Y276" s="78">
        <f>SUM(E263:E276)</f>
        <v>48</v>
      </c>
      <c r="Z276" s="72" t="str">
        <f t="shared" si="116"/>
        <v/>
      </c>
      <c r="AA276" s="72"/>
      <c r="AB276" s="72"/>
      <c r="AC276" s="72">
        <f t="shared" si="102"/>
        <v>1</v>
      </c>
      <c r="AD276" s="72">
        <f t="shared" si="103"/>
        <v>1</v>
      </c>
      <c r="AE276" s="109" t="str">
        <f t="shared" si="104"/>
        <v>0-0</v>
      </c>
      <c r="AF276" s="109" t="str">
        <f t="shared" si="105"/>
        <v>Y</v>
      </c>
      <c r="AG276" s="109" t="str">
        <f t="shared" si="106"/>
        <v>A</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9"/>
      <c r="N277" s="279"/>
      <c r="O277" s="279"/>
      <c r="P277" s="279"/>
      <c r="Q277" s="279"/>
      <c r="R277" s="279"/>
      <c r="S277" s="279"/>
      <c r="T277" s="279"/>
      <c r="U277" s="280"/>
      <c r="V277" s="103"/>
      <c r="W277" s="84">
        <f>Y277+1</f>
        <v>49</v>
      </c>
      <c r="X277" s="84"/>
      <c r="Y277" s="78">
        <f>SUM(E263:E277)</f>
        <v>48</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A</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9"/>
      <c r="N278" s="279"/>
      <c r="O278" s="279"/>
      <c r="P278" s="279"/>
      <c r="Q278" s="279"/>
      <c r="R278" s="279"/>
      <c r="S278" s="279"/>
      <c r="T278" s="279"/>
      <c r="U278" s="280"/>
      <c r="V278" s="103"/>
      <c r="W278" s="84">
        <f t="shared" ref="W278:W286" si="118">Y278+1</f>
        <v>49</v>
      </c>
      <c r="X278" s="84"/>
      <c r="Y278" s="78">
        <f>SUM(E263:E278)</f>
        <v>48</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A</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9"/>
      <c r="N279" s="279"/>
      <c r="O279" s="279"/>
      <c r="P279" s="279"/>
      <c r="Q279" s="279"/>
      <c r="R279" s="279"/>
      <c r="S279" s="279"/>
      <c r="T279" s="279"/>
      <c r="U279" s="280"/>
      <c r="V279" s="103"/>
      <c r="W279" s="84">
        <f t="shared" si="118"/>
        <v>49</v>
      </c>
      <c r="X279" s="84"/>
      <c r="Y279" s="78">
        <f>SUM(E263:E279)</f>
        <v>48</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A</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9"/>
      <c r="N280" s="279"/>
      <c r="O280" s="279"/>
      <c r="P280" s="279"/>
      <c r="Q280" s="279"/>
      <c r="R280" s="279"/>
      <c r="S280" s="279"/>
      <c r="T280" s="279"/>
      <c r="U280" s="280"/>
      <c r="V280" s="103"/>
      <c r="W280" s="84">
        <f t="shared" si="118"/>
        <v>49</v>
      </c>
      <c r="X280" s="84"/>
      <c r="Y280" s="78">
        <f>SUM(E263:E280)</f>
        <v>48</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A</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9"/>
      <c r="N281" s="279"/>
      <c r="O281" s="279"/>
      <c r="P281" s="279"/>
      <c r="Q281" s="279"/>
      <c r="R281" s="279"/>
      <c r="S281" s="279"/>
      <c r="T281" s="279"/>
      <c r="U281" s="280"/>
      <c r="V281" s="103"/>
      <c r="W281" s="84">
        <f t="shared" si="118"/>
        <v>49</v>
      </c>
      <c r="X281" s="84"/>
      <c r="Y281" s="78">
        <f>SUM(E263:E281)</f>
        <v>48</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A</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9"/>
      <c r="N282" s="279"/>
      <c r="O282" s="279"/>
      <c r="P282" s="279"/>
      <c r="Q282" s="279"/>
      <c r="R282" s="279"/>
      <c r="S282" s="279"/>
      <c r="T282" s="279"/>
      <c r="U282" s="280"/>
      <c r="V282" s="103"/>
      <c r="W282" s="84">
        <f t="shared" si="118"/>
        <v>49</v>
      </c>
      <c r="X282" s="84"/>
      <c r="Y282" s="78">
        <f>SUM(E263:E282)</f>
        <v>48</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A</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9"/>
      <c r="N283" s="279"/>
      <c r="O283" s="279"/>
      <c r="P283" s="279"/>
      <c r="Q283" s="279"/>
      <c r="R283" s="279"/>
      <c r="S283" s="279"/>
      <c r="T283" s="279"/>
      <c r="U283" s="280"/>
      <c r="V283" s="103"/>
      <c r="W283" s="84">
        <f t="shared" si="118"/>
        <v>49</v>
      </c>
      <c r="X283" s="84"/>
      <c r="Y283" s="78">
        <f>SUM(E263:E283)</f>
        <v>48</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A</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9"/>
      <c r="N284" s="279"/>
      <c r="O284" s="279"/>
      <c r="P284" s="279"/>
      <c r="Q284" s="279"/>
      <c r="R284" s="279"/>
      <c r="S284" s="279"/>
      <c r="T284" s="279"/>
      <c r="U284" s="280"/>
      <c r="V284" s="103"/>
      <c r="W284" s="84">
        <f t="shared" si="118"/>
        <v>49</v>
      </c>
      <c r="X284" s="84"/>
      <c r="Y284" s="78">
        <f>SUM(E263:E284)</f>
        <v>48</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A</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9"/>
      <c r="N285" s="279"/>
      <c r="O285" s="279"/>
      <c r="P285" s="279"/>
      <c r="Q285" s="279"/>
      <c r="R285" s="279"/>
      <c r="S285" s="279"/>
      <c r="T285" s="279"/>
      <c r="U285" s="280"/>
      <c r="V285" s="103"/>
      <c r="W285" s="84">
        <f t="shared" si="118"/>
        <v>49</v>
      </c>
      <c r="X285" s="84"/>
      <c r="Y285" s="78">
        <f>SUM(E263:E285)</f>
        <v>48</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A</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9"/>
      <c r="N286" s="279"/>
      <c r="O286" s="279"/>
      <c r="P286" s="279"/>
      <c r="Q286" s="279"/>
      <c r="R286" s="279"/>
      <c r="S286" s="279"/>
      <c r="T286" s="279"/>
      <c r="U286" s="280"/>
      <c r="V286" s="103"/>
      <c r="W286" s="84">
        <f t="shared" si="118"/>
        <v>49</v>
      </c>
      <c r="X286" s="84"/>
      <c r="Y286" s="78">
        <f>SUM(E263:E286)</f>
        <v>48</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A</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9"/>
      <c r="N287" s="279"/>
      <c r="O287" s="279"/>
      <c r="P287" s="279"/>
      <c r="Q287" s="279"/>
      <c r="R287" s="279"/>
      <c r="S287" s="279"/>
      <c r="T287" s="279"/>
      <c r="U287" s="280"/>
      <c r="V287" s="103"/>
      <c r="W287" s="72"/>
      <c r="X287" s="72"/>
      <c r="Y287" s="78">
        <f>SUM(E263:E287)</f>
        <v>48</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A</v>
      </c>
      <c r="AM287" s="109">
        <f t="shared" si="107"/>
        <v>0</v>
      </c>
      <c r="AN287" s="109">
        <f t="shared" si="108"/>
        <v>0</v>
      </c>
      <c r="AO287" s="109" t="str">
        <f t="shared" si="109"/>
        <v/>
      </c>
      <c r="AQ287" s="109" t="str">
        <f t="shared" si="110"/>
        <v/>
      </c>
      <c r="BA287" s="228"/>
    </row>
    <row r="288" spans="1:53" ht="16.5" thickBot="1" x14ac:dyDescent="0.3">
      <c r="A288" s="88"/>
      <c r="B288" s="320" t="s">
        <v>317</v>
      </c>
      <c r="C288" s="321"/>
      <c r="D288" s="79"/>
      <c r="E288" s="80"/>
      <c r="F288" s="80"/>
      <c r="G288" s="81"/>
      <c r="H288" s="192"/>
      <c r="I288" s="192"/>
      <c r="J288" s="192"/>
      <c r="K288" s="82"/>
      <c r="L288" s="320" t="s">
        <v>306</v>
      </c>
      <c r="M288" s="331"/>
      <c r="N288" s="331"/>
      <c r="O288" s="331"/>
      <c r="P288" s="331"/>
      <c r="Q288" s="331"/>
      <c r="R288" s="331"/>
      <c r="S288" s="331"/>
      <c r="T288" s="331"/>
      <c r="U288" s="321"/>
      <c r="V288" s="104"/>
      <c r="W288" s="72"/>
      <c r="X288" s="72"/>
      <c r="Y288" s="72"/>
      <c r="Z288" s="72"/>
      <c r="AA288" s="72" t="str">
        <f t="shared" si="117"/>
        <v/>
      </c>
      <c r="AB288" s="72"/>
      <c r="AC288" s="72">
        <f>SUM(AC263:AC287)</f>
        <v>25</v>
      </c>
      <c r="AD288" s="72">
        <f>SUM(AD263:AD287)</f>
        <v>19</v>
      </c>
      <c r="AM288" s="109">
        <f>SUM(AM263:AM287)</f>
        <v>2</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20" t="s">
        <v>307</v>
      </c>
      <c r="C289" s="321"/>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3" t="s">
        <v>222</v>
      </c>
      <c r="C293" s="314"/>
      <c r="D293" s="315" t="s">
        <v>223</v>
      </c>
      <c r="E293" s="306"/>
      <c r="F293" s="88"/>
      <c r="G293" s="316" t="s">
        <v>224</v>
      </c>
      <c r="H293" s="317"/>
      <c r="I293" s="28">
        <f>SUM(E304:E328)</f>
        <v>72</v>
      </c>
      <c r="J293" s="318" t="s">
        <v>225</v>
      </c>
      <c r="K293" s="319"/>
      <c r="L293" s="306"/>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6" t="s">
        <v>226</v>
      </c>
      <c r="AA293" s="297"/>
      <c r="AB293" s="298"/>
      <c r="AC293" s="25"/>
      <c r="AD293" s="25"/>
      <c r="AH293" s="109">
        <v>2</v>
      </c>
      <c r="AI293" s="109" t="str">
        <f>IF($E294="SS",COUNTIFS($C304:$C328,"FST",$E304:$E328,"2"),"0")</f>
        <v>0</v>
      </c>
      <c r="AJ293" s="109">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RPX</v>
      </c>
      <c r="F294" s="88"/>
      <c r="G294" s="305" t="s">
        <v>230</v>
      </c>
      <c r="H294" s="306"/>
      <c r="I294" s="33">
        <f>E295-I293</f>
        <v>0</v>
      </c>
      <c r="J294" s="290" t="s">
        <v>231</v>
      </c>
      <c r="K294" s="291"/>
      <c r="L294" s="34">
        <f>I298</f>
        <v>673</v>
      </c>
      <c r="M294" s="196">
        <v>4</v>
      </c>
      <c r="N294" s="35">
        <f>SUM(AI294,AI305)</f>
        <v>0</v>
      </c>
      <c r="O294" s="35">
        <v>0</v>
      </c>
      <c r="P294" s="35">
        <f>SUM(AJ294,AJ305)</f>
        <v>6</v>
      </c>
      <c r="Q294" s="35">
        <v>0</v>
      </c>
      <c r="R294" s="35">
        <f>COUNTIFS($E304:$E328,"4",$F304:$F328,"Pole",$C304:$C328,"FST")</f>
        <v>6</v>
      </c>
      <c r="S294" s="35">
        <f>SUM(AL294,AK305)</f>
        <v>0</v>
      </c>
      <c r="T294" s="35">
        <v>0</v>
      </c>
      <c r="U294" s="35">
        <f>SUM(AK294,AL305)</f>
        <v>0</v>
      </c>
      <c r="V294" s="35">
        <v>0</v>
      </c>
      <c r="W294" s="34">
        <f>COUNTIFS($E304:$E328,"4",$F304:$F328,"HH",$C304:$C328,"FST")</f>
        <v>0</v>
      </c>
      <c r="X294" s="35">
        <f>COUNTIFS($E304:$E328,"4",$F304:$F328,"Ped",$C304:$C328,"FST")</f>
        <v>0</v>
      </c>
      <c r="Y294" s="25"/>
      <c r="Z294" s="299" t="s">
        <v>232</v>
      </c>
      <c r="AA294" s="301" t="s">
        <v>233</v>
      </c>
      <c r="AB294" s="302"/>
      <c r="AC294" s="25"/>
      <c r="AD294" s="25"/>
      <c r="AH294" s="109">
        <v>4</v>
      </c>
      <c r="AI294" s="109" t="str">
        <f>IF($E294="SS",COUNTIFS($C304:$C328,"FST",$E304:$E328,"4"),"0")</f>
        <v>0</v>
      </c>
      <c r="AJ294" s="109">
        <f>IF($E294="RPX",COUNTIFS($C304:$C328,"FST",$E304:$E328,"4"),"0")</f>
        <v>6</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72</v>
      </c>
      <c r="F295" s="88"/>
      <c r="G295" s="292" t="s">
        <v>237</v>
      </c>
      <c r="H295" s="293"/>
      <c r="I295" s="35">
        <f>IF(E295=0,0,12-(MOD(I293,12)))</f>
        <v>12</v>
      </c>
      <c r="J295" s="290" t="s">
        <v>238</v>
      </c>
      <c r="K295" s="291"/>
      <c r="L295" s="39">
        <f>I299-I293</f>
        <v>672</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0"/>
      <c r="AA295" s="303"/>
      <c r="AB295" s="304"/>
      <c r="AC295" s="25"/>
      <c r="AD295" s="25"/>
      <c r="AH295" s="109">
        <v>6</v>
      </c>
      <c r="AI295" s="109" t="str">
        <f>IF($E294="SS",COUNTIFS($C304:$C328,"FST",$E304:$E328,"6"),"0")</f>
        <v>0</v>
      </c>
      <c r="AJ295" s="109">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0</v>
      </c>
      <c r="F296" s="88"/>
      <c r="G296" s="322" t="s">
        <v>242</v>
      </c>
      <c r="H296" s="43" t="s">
        <v>243</v>
      </c>
      <c r="I296" s="35">
        <f>IF(E296&lt;&gt;0,1,0)</f>
        <v>0</v>
      </c>
      <c r="J296" s="292" t="s">
        <v>244</v>
      </c>
      <c r="K296" s="293"/>
      <c r="L296" s="44">
        <f>'Cable Calculator'!AM3</f>
        <v>1799</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673</v>
      </c>
      <c r="F297" s="88"/>
      <c r="G297" s="323"/>
      <c r="H297" s="47" t="s">
        <v>248</v>
      </c>
      <c r="I297" s="35">
        <f>IF(E296&lt;&gt;0,E296,0)</f>
        <v>0</v>
      </c>
      <c r="J297" s="194"/>
      <c r="K297" s="195"/>
      <c r="L297" s="48"/>
      <c r="M297" s="196">
        <v>12</v>
      </c>
      <c r="N297" s="35" t="str">
        <f>IF($E294="SS",SUM(AI297,AJ308,AM329,AO329,AQ329),"0")</f>
        <v>0</v>
      </c>
      <c r="O297" s="35" t="str">
        <f>IF($E294="SS",SUM(AN329,AP329,AR329),"0")</f>
        <v>0</v>
      </c>
      <c r="P297" s="35">
        <f>IF($E294="RPX",SUM(AJ297,AJ308,AM329,AO329,AQ329),"0")</f>
        <v>0</v>
      </c>
      <c r="Q297" s="35">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6</v>
      </c>
      <c r="F298" s="88"/>
      <c r="G298" s="322" t="s">
        <v>251</v>
      </c>
      <c r="H298" s="51" t="s">
        <v>252</v>
      </c>
      <c r="I298" s="112">
        <f>E297</f>
        <v>673</v>
      </c>
      <c r="J298" s="324" t="s">
        <v>253</v>
      </c>
      <c r="K298" s="325"/>
      <c r="L298" s="326"/>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323"/>
      <c r="H299" s="47" t="s">
        <v>257</v>
      </c>
      <c r="I299" s="35">
        <f>IF(E297="","0",IF(AND(E294="EUC",E295=432), I298+(203-E296),IF(E297=0,0,(E297+(E295-E296)-1))))</f>
        <v>744</v>
      </c>
      <c r="J299" s="287" t="str">
        <f>IFERROR(IF(OR(E294="EUC",E294="SS"),"---",IF(OR(P293,S293),"NO 2F Tethers for RPX!",IF(OR(P295,S295),"NO 6F Tethers for RPX!","---"))),"---")</f>
        <v>---</v>
      </c>
      <c r="K299" s="288"/>
      <c r="L299" s="289"/>
      <c r="M299" s="287" t="str">
        <f>IF(E296&gt;60,"Dead Count &gt;60: Consider Downsize","---")</f>
        <v>---</v>
      </c>
      <c r="N299" s="288"/>
      <c r="O299" s="288"/>
      <c r="P299" s="288"/>
      <c r="Q299" s="288"/>
      <c r="R299" s="288"/>
      <c r="S299" s="288"/>
      <c r="T299" s="288"/>
      <c r="U299" s="289"/>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72</v>
      </c>
      <c r="D300" s="31" t="s">
        <v>259</v>
      </c>
      <c r="E300" s="101" t="str">
        <f>IF(AS294="Y","DBL",IF(AS295="Y","TRPL",IF(AS296="Y","QUAD","")))</f>
        <v/>
      </c>
      <c r="F300" s="88"/>
      <c r="G300" s="192"/>
      <c r="H300" s="57"/>
      <c r="I300" s="192"/>
      <c r="J300" s="287"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8"/>
      <c r="L300" s="289"/>
      <c r="M300" s="287" t="str">
        <f>IF(AND(OR(E294="SS",E294="RPX",E294="EUC",E294="RPX-T"),(OR(C304="",C304="Field SPL"))),"Cannot have FlexNap cables without tethers","---")</f>
        <v>---</v>
      </c>
      <c r="N300" s="288"/>
      <c r="O300" s="288"/>
      <c r="P300" s="288"/>
      <c r="Q300" s="288"/>
      <c r="R300" s="288"/>
      <c r="S300" s="288"/>
      <c r="T300" s="288"/>
      <c r="U300" s="289"/>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7" t="str">
        <f>IF(AND(OR(E294="RPX", E294="RPX-T", E294="SS"),E295=216),"NO 216 For RPX, RPX-T, OR SS CABLE","---")</f>
        <v>---</v>
      </c>
      <c r="K301" s="288"/>
      <c r="L301" s="289"/>
      <c r="M301" s="287" t="str" cm="1">
        <f t="array" ref="M301">IF(AND(E294="",OR(C304:C328="FST",C304:C328="REV T",C304:C328="DBL REV",C304:C328="TPL REV", C304:C328="QD REV")),"Non-FlexNap cables cannot have tethers","---")</f>
        <v>---</v>
      </c>
      <c r="N301" s="288"/>
      <c r="O301" s="288"/>
      <c r="P301" s="288"/>
      <c r="Q301" s="288"/>
      <c r="R301" s="288"/>
      <c r="S301" s="288"/>
      <c r="T301" s="288"/>
      <c r="U301" s="289"/>
      <c r="V301" s="25"/>
      <c r="W301" s="58"/>
      <c r="X301" s="58"/>
      <c r="Y301" s="25"/>
      <c r="Z301" s="45">
        <v>6</v>
      </c>
      <c r="AA301" s="65">
        <v>61</v>
      </c>
      <c r="AB301" s="65">
        <v>72</v>
      </c>
      <c r="AC301" s="25"/>
      <c r="AD301" s="25"/>
      <c r="BA301" s="226"/>
    </row>
    <row r="302" spans="1:53" ht="15.75" customHeight="1" thickBot="1" x14ac:dyDescent="0.3">
      <c r="A302" s="88"/>
      <c r="B302" s="322" t="s">
        <v>260</v>
      </c>
      <c r="C302" s="294" t="s">
        <v>261</v>
      </c>
      <c r="D302" s="294" t="s">
        <v>262</v>
      </c>
      <c r="E302" s="307" t="s">
        <v>263</v>
      </c>
      <c r="F302" s="294" t="s">
        <v>264</v>
      </c>
      <c r="G302" s="309" t="s">
        <v>265</v>
      </c>
      <c r="H302" s="309" t="s">
        <v>266</v>
      </c>
      <c r="I302" s="309" t="s">
        <v>267</v>
      </c>
      <c r="J302" s="311" t="s">
        <v>268</v>
      </c>
      <c r="K302" s="294" t="s">
        <v>269</v>
      </c>
      <c r="L302" s="281" t="s">
        <v>270</v>
      </c>
      <c r="M302" s="283" t="s">
        <v>271</v>
      </c>
      <c r="N302" s="283"/>
      <c r="O302" s="283"/>
      <c r="P302" s="283"/>
      <c r="Q302" s="283"/>
      <c r="R302" s="283"/>
      <c r="S302" s="283"/>
      <c r="T302" s="283"/>
      <c r="U302" s="284"/>
      <c r="V302" s="107"/>
      <c r="W302" s="72"/>
      <c r="X302" s="72"/>
      <c r="Y302" s="72"/>
      <c r="Z302" s="45">
        <v>7</v>
      </c>
      <c r="AA302" s="65">
        <v>73</v>
      </c>
      <c r="AB302" s="65">
        <v>84</v>
      </c>
      <c r="AC302" s="25"/>
      <c r="AD302" s="25"/>
      <c r="BA302" s="228"/>
    </row>
    <row r="303" spans="1:53" ht="15.75" thickBot="1" x14ac:dyDescent="0.3">
      <c r="A303" s="88"/>
      <c r="B303" s="323"/>
      <c r="C303" s="295"/>
      <c r="D303" s="295"/>
      <c r="E303" s="308"/>
      <c r="F303" s="295"/>
      <c r="G303" s="310"/>
      <c r="H303" s="310"/>
      <c r="I303" s="310"/>
      <c r="J303" s="312"/>
      <c r="K303" s="295"/>
      <c r="L303" s="282"/>
      <c r="M303" s="285"/>
      <c r="N303" s="285"/>
      <c r="O303" s="285"/>
      <c r="P303" s="285"/>
      <c r="Q303" s="285"/>
      <c r="R303" s="285"/>
      <c r="S303" s="285"/>
      <c r="T303" s="285"/>
      <c r="U303" s="286"/>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762</v>
      </c>
      <c r="E304" s="32">
        <v>4</v>
      </c>
      <c r="F304" s="32" t="s">
        <v>483</v>
      </c>
      <c r="G304" s="68" t="s">
        <v>277</v>
      </c>
      <c r="H304" s="69">
        <f>IF(I304=0,0,I304-(E304-1))</f>
        <v>741</v>
      </c>
      <c r="I304" s="70">
        <f>IF(E304=0,0,I299)</f>
        <v>744</v>
      </c>
      <c r="J304" s="71" t="s">
        <v>278</v>
      </c>
      <c r="K304" s="32"/>
      <c r="L304" s="233"/>
      <c r="M304" s="279"/>
      <c r="N304" s="279"/>
      <c r="O304" s="279"/>
      <c r="P304" s="279"/>
      <c r="Q304" s="279"/>
      <c r="R304" s="279"/>
      <c r="S304" s="279"/>
      <c r="T304" s="279"/>
      <c r="U304" s="280"/>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741-744</v>
      </c>
      <c r="AF304" s="109" t="str">
        <f t="shared" ref="AF304:AF328" si="122">IF(C304="Field SPL","N","Y")</f>
        <v>Y</v>
      </c>
      <c r="AG304" s="109" t="str">
        <f t="shared" ref="AG304:AG328" si="123">IF(OR(E$294="RPX",E$294="SS"),"A","B")</f>
        <v>A</v>
      </c>
      <c r="AH304" s="109">
        <v>2</v>
      </c>
      <c r="AI304" s="109" t="str">
        <f>IF(E294="SS",COUNTIFS(C304:C328,"TCF",E304:E328,"2"),"")</f>
        <v/>
      </c>
      <c r="AJ304" s="109">
        <f>IF(E294="RPX",COUNTIFS(C304:C328,"TCF",E304:E328,"2"),"")</f>
        <v>0</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829</v>
      </c>
      <c r="E305" s="32">
        <v>4</v>
      </c>
      <c r="F305" s="32" t="s">
        <v>483</v>
      </c>
      <c r="G305" s="68" t="s">
        <v>277</v>
      </c>
      <c r="H305" s="69">
        <f t="shared" ref="H305:H328" si="128">IF(E305=0,0,I305-(E305-1))</f>
        <v>737</v>
      </c>
      <c r="I305" s="70">
        <f t="shared" ref="I305:I328" si="129">IF(E305=0,0,H304-1)</f>
        <v>740</v>
      </c>
      <c r="J305" s="73" t="str">
        <f>IF(C305="","--",IF(AND(C305&lt;&gt;"FST",C305&lt;&gt;"TCF",BA304&lt;&gt;0),BA304,"--"))</f>
        <v>--</v>
      </c>
      <c r="K305" s="32"/>
      <c r="L305" s="233"/>
      <c r="M305" s="279"/>
      <c r="N305" s="279"/>
      <c r="O305" s="279"/>
      <c r="P305" s="279"/>
      <c r="Q305" s="279"/>
      <c r="R305" s="279"/>
      <c r="S305" s="279"/>
      <c r="T305" s="279"/>
      <c r="U305" s="280"/>
      <c r="V305" s="103"/>
      <c r="W305" s="72"/>
      <c r="X305" s="72"/>
      <c r="Y305" s="72"/>
      <c r="Z305" s="45">
        <v>10</v>
      </c>
      <c r="AA305" s="46">
        <v>109</v>
      </c>
      <c r="AB305" s="46">
        <v>120</v>
      </c>
      <c r="AC305" s="72">
        <f t="shared" si="119"/>
        <v>1</v>
      </c>
      <c r="AD305" s="72">
        <f t="shared" si="120"/>
        <v>0</v>
      </c>
      <c r="AE305" s="109" t="str">
        <f t="shared" si="121"/>
        <v>737-740</v>
      </c>
      <c r="AF305" s="109" t="str">
        <f t="shared" si="122"/>
        <v>Y</v>
      </c>
      <c r="AG305" s="109" t="str">
        <f t="shared" si="123"/>
        <v>A</v>
      </c>
      <c r="AH305" s="109">
        <v>4</v>
      </c>
      <c r="AI305" s="109" t="str">
        <f>IF(E294="SS",COUNTIFS(C304:C328,"TCF",E304:E328,"4"),"")</f>
        <v/>
      </c>
      <c r="AJ305" s="109">
        <f>IF(E294="RPX",COUNTIFS(C304:C328,"TCF",E304:E328,"4"),"")</f>
        <v>0</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763</v>
      </c>
      <c r="E306" s="32">
        <v>4</v>
      </c>
      <c r="F306" s="32" t="s">
        <v>483</v>
      </c>
      <c r="G306" s="75" t="s">
        <v>277</v>
      </c>
      <c r="H306" s="69">
        <f t="shared" si="128"/>
        <v>733</v>
      </c>
      <c r="I306" s="70">
        <f t="shared" si="129"/>
        <v>736</v>
      </c>
      <c r="J306" s="73" t="str">
        <f t="shared" ref="J306:J328" si="130">IF(C306="","--",IF(AND(C306&lt;&gt;"FST",C306&lt;&gt;"TCF",BA305&lt;&gt;0),BA305,"--"))</f>
        <v>--</v>
      </c>
      <c r="K306" s="32"/>
      <c r="L306" s="233"/>
      <c r="M306" s="279"/>
      <c r="N306" s="279"/>
      <c r="O306" s="279"/>
      <c r="P306" s="279"/>
      <c r="Q306" s="279"/>
      <c r="R306" s="279"/>
      <c r="S306" s="279"/>
      <c r="T306" s="279"/>
      <c r="U306" s="280"/>
      <c r="V306" s="103"/>
      <c r="W306" s="72"/>
      <c r="X306" s="72"/>
      <c r="Y306" s="72"/>
      <c r="Z306" s="45">
        <v>11</v>
      </c>
      <c r="AA306" s="46">
        <v>121</v>
      </c>
      <c r="AB306" s="46">
        <v>132</v>
      </c>
      <c r="AC306" s="72">
        <f t="shared" si="119"/>
        <v>1</v>
      </c>
      <c r="AD306" s="72">
        <f t="shared" si="120"/>
        <v>0</v>
      </c>
      <c r="AE306" s="109" t="str">
        <f t="shared" si="121"/>
        <v>733-736</v>
      </c>
      <c r="AF306" s="109" t="str">
        <f t="shared" si="122"/>
        <v>Y</v>
      </c>
      <c r="AG306" s="109" t="str">
        <f t="shared" si="123"/>
        <v>A</v>
      </c>
      <c r="AH306" s="109">
        <v>6</v>
      </c>
      <c r="AI306" s="109" t="str">
        <f>IF(E294="SS",COUNTIFS(C304:C328,"TCF",E304:E328,"6"),"")</f>
        <v/>
      </c>
      <c r="AJ306" s="109">
        <f>IF(E294="RPX",COUNTIFS(C304:C328,"TCF",E304:E328,"6"),"")</f>
        <v>0</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4</v>
      </c>
    </row>
    <row r="307" spans="1:53" ht="15.75" thickBot="1" x14ac:dyDescent="0.3">
      <c r="A307" s="88"/>
      <c r="B307" s="66" t="s">
        <v>281</v>
      </c>
      <c r="C307" s="67" t="s">
        <v>484</v>
      </c>
      <c r="D307" s="102" t="s">
        <v>764</v>
      </c>
      <c r="E307" s="32">
        <v>4</v>
      </c>
      <c r="F307" s="32" t="s">
        <v>483</v>
      </c>
      <c r="G307" s="68" t="s">
        <v>277</v>
      </c>
      <c r="H307" s="69">
        <f t="shared" si="128"/>
        <v>729</v>
      </c>
      <c r="I307" s="70">
        <f t="shared" si="129"/>
        <v>732</v>
      </c>
      <c r="J307" s="73" t="str">
        <f t="shared" si="130"/>
        <v>--</v>
      </c>
      <c r="K307" s="32"/>
      <c r="L307" s="233"/>
      <c r="M307" s="279"/>
      <c r="N307" s="279"/>
      <c r="O307" s="279"/>
      <c r="P307" s="279"/>
      <c r="Q307" s="279"/>
      <c r="R307" s="279"/>
      <c r="S307" s="279"/>
      <c r="T307" s="279"/>
      <c r="U307" s="280"/>
      <c r="V307" s="103"/>
      <c r="W307" s="72"/>
      <c r="X307" s="72"/>
      <c r="Y307" s="72"/>
      <c r="Z307" s="45">
        <v>12</v>
      </c>
      <c r="AA307" s="76">
        <v>133</v>
      </c>
      <c r="AB307" s="76">
        <v>144</v>
      </c>
      <c r="AC307" s="72">
        <f t="shared" si="119"/>
        <v>1</v>
      </c>
      <c r="AD307" s="72">
        <f t="shared" si="120"/>
        <v>0</v>
      </c>
      <c r="AE307" s="109" t="str">
        <f t="shared" si="121"/>
        <v>729-732</v>
      </c>
      <c r="AF307" s="109" t="str">
        <f t="shared" si="122"/>
        <v>Y</v>
      </c>
      <c r="AG307" s="109" t="str">
        <f t="shared" si="123"/>
        <v>A</v>
      </c>
      <c r="AH307" s="109">
        <v>8</v>
      </c>
      <c r="AI307" s="109" t="str">
        <f>IF(E294="SS",COUNTIFS(C304:C328,"TCF",E304:E328,"8"),"")</f>
        <v/>
      </c>
      <c r="AJ307" s="109">
        <f>IF(E294="RPX",COUNTIFS(C304:C328,"TCF",E304:E328,"8"),"")</f>
        <v>0</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8</v>
      </c>
    </row>
    <row r="308" spans="1:53" ht="15.75" thickBot="1" x14ac:dyDescent="0.3">
      <c r="A308" s="88"/>
      <c r="B308" s="66" t="s">
        <v>282</v>
      </c>
      <c r="C308" s="67" t="s">
        <v>484</v>
      </c>
      <c r="D308" s="102" t="s">
        <v>765</v>
      </c>
      <c r="E308" s="32">
        <v>4</v>
      </c>
      <c r="F308" s="32" t="s">
        <v>483</v>
      </c>
      <c r="G308" s="68" t="s">
        <v>277</v>
      </c>
      <c r="H308" s="69">
        <f t="shared" si="128"/>
        <v>725</v>
      </c>
      <c r="I308" s="70">
        <f t="shared" si="129"/>
        <v>728</v>
      </c>
      <c r="J308" s="73" t="str">
        <f t="shared" si="130"/>
        <v>--</v>
      </c>
      <c r="K308" s="32"/>
      <c r="L308" s="233"/>
      <c r="M308" s="279"/>
      <c r="N308" s="279"/>
      <c r="O308" s="279"/>
      <c r="P308" s="279"/>
      <c r="Q308" s="279"/>
      <c r="R308" s="279"/>
      <c r="S308" s="279"/>
      <c r="T308" s="279"/>
      <c r="U308" s="280"/>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725-728</v>
      </c>
      <c r="AF308" s="109" t="str">
        <f t="shared" si="122"/>
        <v>Y</v>
      </c>
      <c r="AG308" s="109" t="str">
        <f t="shared" si="123"/>
        <v>A</v>
      </c>
      <c r="AH308" s="109">
        <v>12</v>
      </c>
      <c r="AI308" s="109" t="str">
        <f>IF(E294="SS",COUNTIFS(C304:C328,"TCF",E304:E328,"12"),"")</f>
        <v/>
      </c>
      <c r="AJ308" s="109">
        <f>IF(E294="RPX",COUNTIFS(C304:C328,"TCF",E304:E328,"12"),"")</f>
        <v>0</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t="s">
        <v>484</v>
      </c>
      <c r="D309" s="102" t="s">
        <v>766</v>
      </c>
      <c r="E309" s="32">
        <v>4</v>
      </c>
      <c r="F309" s="32" t="s">
        <v>483</v>
      </c>
      <c r="G309" s="68" t="s">
        <v>277</v>
      </c>
      <c r="H309" s="69">
        <f t="shared" si="128"/>
        <v>721</v>
      </c>
      <c r="I309" s="70">
        <f t="shared" si="129"/>
        <v>724</v>
      </c>
      <c r="J309" s="73" t="str">
        <f t="shared" si="130"/>
        <v>--</v>
      </c>
      <c r="K309" s="32"/>
      <c r="L309" s="233"/>
      <c r="M309" s="279"/>
      <c r="N309" s="279"/>
      <c r="O309" s="279"/>
      <c r="P309" s="279"/>
      <c r="Q309" s="279"/>
      <c r="R309" s="279"/>
      <c r="S309" s="279"/>
      <c r="T309" s="279"/>
      <c r="U309" s="280"/>
      <c r="V309" s="103"/>
      <c r="W309" s="72"/>
      <c r="X309" s="72"/>
      <c r="Y309" s="72"/>
      <c r="Z309" s="45">
        <v>14</v>
      </c>
      <c r="AA309" s="77">
        <f t="shared" si="131"/>
        <v>157</v>
      </c>
      <c r="AB309" s="77">
        <f t="shared" si="132"/>
        <v>168</v>
      </c>
      <c r="AC309" s="72">
        <f t="shared" si="119"/>
        <v>1</v>
      </c>
      <c r="AD309" s="72">
        <f t="shared" si="120"/>
        <v>0</v>
      </c>
      <c r="AE309" s="109" t="str">
        <f t="shared" si="121"/>
        <v>721-724</v>
      </c>
      <c r="AF309" s="109" t="str">
        <f t="shared" si="122"/>
        <v>Y</v>
      </c>
      <c r="AG309" s="109" t="str">
        <f t="shared" si="123"/>
        <v>A</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t="s">
        <v>502</v>
      </c>
      <c r="D310" s="102"/>
      <c r="E310" s="32">
        <v>24</v>
      </c>
      <c r="F310" s="32"/>
      <c r="G310" s="68" t="s">
        <v>277</v>
      </c>
      <c r="H310" s="69">
        <f t="shared" si="128"/>
        <v>697</v>
      </c>
      <c r="I310" s="70">
        <f t="shared" si="129"/>
        <v>720</v>
      </c>
      <c r="J310" s="73" t="str">
        <f t="shared" si="130"/>
        <v>--</v>
      </c>
      <c r="K310" s="32"/>
      <c r="L310" s="233"/>
      <c r="M310" s="279" t="s">
        <v>415</v>
      </c>
      <c r="N310" s="279"/>
      <c r="O310" s="279"/>
      <c r="P310" s="279"/>
      <c r="Q310" s="279"/>
      <c r="R310" s="279"/>
      <c r="S310" s="279"/>
      <c r="T310" s="279"/>
      <c r="U310" s="280"/>
      <c r="V310" s="103"/>
      <c r="W310" s="72"/>
      <c r="X310" s="72"/>
      <c r="Y310" s="72"/>
      <c r="Z310" s="45">
        <v>15</v>
      </c>
      <c r="AA310" s="77">
        <f t="shared" si="131"/>
        <v>169</v>
      </c>
      <c r="AB310" s="77">
        <f t="shared" si="132"/>
        <v>180</v>
      </c>
      <c r="AC310" s="72">
        <f t="shared" si="119"/>
        <v>1</v>
      </c>
      <c r="AD310" s="72">
        <f t="shared" si="120"/>
        <v>1</v>
      </c>
      <c r="AE310" s="109" t="str">
        <f t="shared" si="121"/>
        <v>697-720</v>
      </c>
      <c r="AF310" s="109" t="str">
        <f t="shared" si="122"/>
        <v>N</v>
      </c>
      <c r="AG310" s="109" t="str">
        <f t="shared" si="123"/>
        <v>A</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t="s">
        <v>502</v>
      </c>
      <c r="D311" s="102"/>
      <c r="E311" s="32">
        <v>24</v>
      </c>
      <c r="F311" s="32"/>
      <c r="G311" s="68" t="s">
        <v>277</v>
      </c>
      <c r="H311" s="69">
        <f t="shared" si="128"/>
        <v>673</v>
      </c>
      <c r="I311" s="70">
        <f t="shared" si="129"/>
        <v>696</v>
      </c>
      <c r="J311" s="73" t="str">
        <f t="shared" si="130"/>
        <v>--</v>
      </c>
      <c r="K311" s="32"/>
      <c r="L311" s="233"/>
      <c r="M311" s="279" t="s">
        <v>416</v>
      </c>
      <c r="N311" s="279"/>
      <c r="O311" s="279"/>
      <c r="P311" s="279"/>
      <c r="Q311" s="279"/>
      <c r="R311" s="279"/>
      <c r="S311" s="279"/>
      <c r="T311" s="279"/>
      <c r="U311" s="280"/>
      <c r="V311" s="103"/>
      <c r="W311" s="72"/>
      <c r="X311" s="72"/>
      <c r="Y311" s="72"/>
      <c r="Z311" s="45">
        <f>Z310+1</f>
        <v>16</v>
      </c>
      <c r="AA311" s="77">
        <f t="shared" si="131"/>
        <v>181</v>
      </c>
      <c r="AB311" s="77">
        <f t="shared" si="132"/>
        <v>192</v>
      </c>
      <c r="AC311" s="72">
        <f t="shared" si="119"/>
        <v>1</v>
      </c>
      <c r="AD311" s="72">
        <f t="shared" si="120"/>
        <v>1</v>
      </c>
      <c r="AE311" s="109" t="str">
        <f t="shared" si="121"/>
        <v>673-696</v>
      </c>
      <c r="AF311" s="109" t="str">
        <f t="shared" si="122"/>
        <v>N</v>
      </c>
      <c r="AG311" s="109" t="str">
        <f t="shared" si="123"/>
        <v>A</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9"/>
      <c r="N312" s="279"/>
      <c r="O312" s="279"/>
      <c r="P312" s="279"/>
      <c r="Q312" s="279"/>
      <c r="R312" s="279"/>
      <c r="S312" s="279"/>
      <c r="T312" s="279"/>
      <c r="U312" s="280"/>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A</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9"/>
      <c r="N313" s="279"/>
      <c r="O313" s="279"/>
      <c r="P313" s="279"/>
      <c r="Q313" s="279"/>
      <c r="R313" s="279"/>
      <c r="S313" s="279"/>
      <c r="T313" s="279"/>
      <c r="U313" s="280"/>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A</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9"/>
      <c r="N314" s="279"/>
      <c r="O314" s="279"/>
      <c r="P314" s="279"/>
      <c r="Q314" s="279"/>
      <c r="R314" s="279"/>
      <c r="S314" s="279"/>
      <c r="T314" s="279"/>
      <c r="U314" s="280"/>
      <c r="V314" s="103"/>
      <c r="W314" s="84"/>
      <c r="X314" s="84"/>
      <c r="Y314" s="72"/>
      <c r="Z314" s="72"/>
      <c r="AA314" s="72"/>
      <c r="AB314" s="72"/>
      <c r="AC314" s="72">
        <f t="shared" si="119"/>
        <v>1</v>
      </c>
      <c r="AD314" s="72">
        <f t="shared" si="120"/>
        <v>1</v>
      </c>
      <c r="AE314" s="109" t="str">
        <f t="shared" si="121"/>
        <v>0-0</v>
      </c>
      <c r="AF314" s="109" t="str">
        <f t="shared" si="122"/>
        <v>Y</v>
      </c>
      <c r="AG314" s="109" t="str">
        <f t="shared" si="123"/>
        <v>A</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9"/>
      <c r="N315" s="279"/>
      <c r="O315" s="279"/>
      <c r="P315" s="279"/>
      <c r="Q315" s="279"/>
      <c r="R315" s="279"/>
      <c r="S315" s="279"/>
      <c r="T315" s="279"/>
      <c r="U315" s="280"/>
      <c r="V315" s="103"/>
      <c r="W315" s="84">
        <f>Y315+1</f>
        <v>73</v>
      </c>
      <c r="X315" s="84"/>
      <c r="Y315" s="78">
        <f>SUM(E304:E315)</f>
        <v>72</v>
      </c>
      <c r="Z315" s="72"/>
      <c r="AA315" s="72"/>
      <c r="AB315" s="72"/>
      <c r="AC315" s="72">
        <f t="shared" si="119"/>
        <v>1</v>
      </c>
      <c r="AD315" s="72">
        <f t="shared" si="120"/>
        <v>1</v>
      </c>
      <c r="AE315" s="109" t="str">
        <f t="shared" si="121"/>
        <v>0-0</v>
      </c>
      <c r="AF315" s="109" t="str">
        <f t="shared" si="122"/>
        <v>Y</v>
      </c>
      <c r="AG315" s="109" t="str">
        <f t="shared" si="123"/>
        <v>A</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9"/>
      <c r="N316" s="279"/>
      <c r="O316" s="279"/>
      <c r="P316" s="279"/>
      <c r="Q316" s="279"/>
      <c r="R316" s="279"/>
      <c r="S316" s="279"/>
      <c r="T316" s="279"/>
      <c r="U316" s="280"/>
      <c r="V316" s="103"/>
      <c r="W316" s="84">
        <f>Y316+1</f>
        <v>73</v>
      </c>
      <c r="X316" s="84"/>
      <c r="Y316" s="78">
        <f>SUM(E304:E316)</f>
        <v>72</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A</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9"/>
      <c r="N317" s="279"/>
      <c r="O317" s="279"/>
      <c r="P317" s="279"/>
      <c r="Q317" s="279"/>
      <c r="R317" s="279"/>
      <c r="S317" s="279"/>
      <c r="T317" s="279"/>
      <c r="U317" s="280"/>
      <c r="V317" s="103"/>
      <c r="W317" s="84">
        <f>Y317+1</f>
        <v>73</v>
      </c>
      <c r="X317" s="84"/>
      <c r="Y317" s="78">
        <f>SUM(E304:E317)</f>
        <v>72</v>
      </c>
      <c r="Z317" s="72" t="str">
        <f t="shared" si="133"/>
        <v/>
      </c>
      <c r="AA317" s="72"/>
      <c r="AB317" s="72"/>
      <c r="AC317" s="72">
        <f t="shared" si="119"/>
        <v>1</v>
      </c>
      <c r="AD317" s="72">
        <f t="shared" si="120"/>
        <v>1</v>
      </c>
      <c r="AE317" s="109" t="str">
        <f t="shared" si="121"/>
        <v>0-0</v>
      </c>
      <c r="AF317" s="109" t="str">
        <f t="shared" si="122"/>
        <v>Y</v>
      </c>
      <c r="AG317" s="109" t="str">
        <f t="shared" si="123"/>
        <v>A</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9"/>
      <c r="N318" s="279"/>
      <c r="O318" s="279"/>
      <c r="P318" s="279"/>
      <c r="Q318" s="279"/>
      <c r="R318" s="279"/>
      <c r="S318" s="279"/>
      <c r="T318" s="279"/>
      <c r="U318" s="280"/>
      <c r="V318" s="103"/>
      <c r="W318" s="84">
        <f>Y318+1</f>
        <v>73</v>
      </c>
      <c r="X318" s="84"/>
      <c r="Y318" s="78">
        <f>SUM(E304:E318)</f>
        <v>72</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A</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9"/>
      <c r="N319" s="279"/>
      <c r="O319" s="279"/>
      <c r="P319" s="279"/>
      <c r="Q319" s="279"/>
      <c r="R319" s="279"/>
      <c r="S319" s="279"/>
      <c r="T319" s="279"/>
      <c r="U319" s="280"/>
      <c r="V319" s="103"/>
      <c r="W319" s="84">
        <f t="shared" ref="W319:W327" si="135">Y319+1</f>
        <v>73</v>
      </c>
      <c r="X319" s="84"/>
      <c r="Y319" s="78">
        <f>SUM(E304:E319)</f>
        <v>72</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A</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9"/>
      <c r="N320" s="279"/>
      <c r="O320" s="279"/>
      <c r="P320" s="279"/>
      <c r="Q320" s="279"/>
      <c r="R320" s="279"/>
      <c r="S320" s="279"/>
      <c r="T320" s="279"/>
      <c r="U320" s="280"/>
      <c r="V320" s="103"/>
      <c r="W320" s="84">
        <f t="shared" si="135"/>
        <v>73</v>
      </c>
      <c r="X320" s="84"/>
      <c r="Y320" s="78">
        <f>SUM(E304:E320)</f>
        <v>72</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A</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9"/>
      <c r="N321" s="279"/>
      <c r="O321" s="279"/>
      <c r="P321" s="279"/>
      <c r="Q321" s="279"/>
      <c r="R321" s="279"/>
      <c r="S321" s="279"/>
      <c r="T321" s="279"/>
      <c r="U321" s="280"/>
      <c r="V321" s="103"/>
      <c r="W321" s="84">
        <f t="shared" si="135"/>
        <v>73</v>
      </c>
      <c r="X321" s="84"/>
      <c r="Y321" s="78">
        <f>SUM(E304:E321)</f>
        <v>72</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A</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9"/>
      <c r="N322" s="279"/>
      <c r="O322" s="279"/>
      <c r="P322" s="279"/>
      <c r="Q322" s="279"/>
      <c r="R322" s="279"/>
      <c r="S322" s="279"/>
      <c r="T322" s="279"/>
      <c r="U322" s="280"/>
      <c r="V322" s="103"/>
      <c r="W322" s="84">
        <f t="shared" si="135"/>
        <v>73</v>
      </c>
      <c r="X322" s="84"/>
      <c r="Y322" s="78">
        <f>SUM(E304:E322)</f>
        <v>72</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A</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9"/>
      <c r="N323" s="279"/>
      <c r="O323" s="279"/>
      <c r="P323" s="279"/>
      <c r="Q323" s="279"/>
      <c r="R323" s="279"/>
      <c r="S323" s="279"/>
      <c r="T323" s="279"/>
      <c r="U323" s="280"/>
      <c r="V323" s="103"/>
      <c r="W323" s="84">
        <f t="shared" si="135"/>
        <v>73</v>
      </c>
      <c r="X323" s="84"/>
      <c r="Y323" s="78">
        <f>SUM(E304:E323)</f>
        <v>72</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A</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9"/>
      <c r="N324" s="279"/>
      <c r="O324" s="279"/>
      <c r="P324" s="279"/>
      <c r="Q324" s="279"/>
      <c r="R324" s="279"/>
      <c r="S324" s="279"/>
      <c r="T324" s="279"/>
      <c r="U324" s="280"/>
      <c r="V324" s="103"/>
      <c r="W324" s="84">
        <f t="shared" si="135"/>
        <v>73</v>
      </c>
      <c r="X324" s="84"/>
      <c r="Y324" s="78">
        <f>SUM(E304:E324)</f>
        <v>72</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A</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9"/>
      <c r="N325" s="279"/>
      <c r="O325" s="279"/>
      <c r="P325" s="279"/>
      <c r="Q325" s="279"/>
      <c r="R325" s="279"/>
      <c r="S325" s="279"/>
      <c r="T325" s="279"/>
      <c r="U325" s="280"/>
      <c r="V325" s="103"/>
      <c r="W325" s="84">
        <f t="shared" si="135"/>
        <v>73</v>
      </c>
      <c r="X325" s="84"/>
      <c r="Y325" s="78">
        <f>SUM(E304:E325)</f>
        <v>72</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A</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9"/>
      <c r="N326" s="279"/>
      <c r="O326" s="279"/>
      <c r="P326" s="279"/>
      <c r="Q326" s="279"/>
      <c r="R326" s="279"/>
      <c r="S326" s="279"/>
      <c r="T326" s="279"/>
      <c r="U326" s="280"/>
      <c r="V326" s="103"/>
      <c r="W326" s="84">
        <f t="shared" si="135"/>
        <v>73</v>
      </c>
      <c r="X326" s="84"/>
      <c r="Y326" s="78">
        <f>SUM(E304:E326)</f>
        <v>72</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A</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9"/>
      <c r="N327" s="279"/>
      <c r="O327" s="279"/>
      <c r="P327" s="279"/>
      <c r="Q327" s="279"/>
      <c r="R327" s="279"/>
      <c r="S327" s="279"/>
      <c r="T327" s="279"/>
      <c r="U327" s="280"/>
      <c r="V327" s="103"/>
      <c r="W327" s="84">
        <f t="shared" si="135"/>
        <v>73</v>
      </c>
      <c r="X327" s="84"/>
      <c r="Y327" s="78">
        <f>SUM(E304:E327)</f>
        <v>72</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A</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9"/>
      <c r="N328" s="279"/>
      <c r="O328" s="279"/>
      <c r="P328" s="279"/>
      <c r="Q328" s="279"/>
      <c r="R328" s="279"/>
      <c r="S328" s="279"/>
      <c r="T328" s="279"/>
      <c r="U328" s="280"/>
      <c r="V328" s="103"/>
      <c r="W328" s="72"/>
      <c r="X328" s="72"/>
      <c r="Y328" s="78">
        <f>SUM(E304:E328)</f>
        <v>72</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A</v>
      </c>
      <c r="AM328" s="109">
        <f t="shared" si="124"/>
        <v>0</v>
      </c>
      <c r="AN328" s="109">
        <f t="shared" si="125"/>
        <v>0</v>
      </c>
      <c r="AO328" s="109" t="str">
        <f t="shared" si="126"/>
        <v/>
      </c>
      <c r="AQ328" s="109" t="str">
        <f t="shared" si="127"/>
        <v/>
      </c>
      <c r="BA328" s="228"/>
    </row>
    <row r="329" spans="1:53" ht="16.5" thickBot="1" x14ac:dyDescent="0.3">
      <c r="A329" s="88"/>
      <c r="B329" s="320" t="s">
        <v>319</v>
      </c>
      <c r="C329" s="321"/>
      <c r="D329" s="79"/>
      <c r="E329" s="80"/>
      <c r="F329" s="80"/>
      <c r="G329" s="81"/>
      <c r="H329" s="192"/>
      <c r="I329" s="192"/>
      <c r="J329" s="192"/>
      <c r="K329" s="82"/>
      <c r="L329" s="320" t="s">
        <v>306</v>
      </c>
      <c r="M329" s="331"/>
      <c r="N329" s="331"/>
      <c r="O329" s="331"/>
      <c r="P329" s="331"/>
      <c r="Q329" s="331"/>
      <c r="R329" s="331"/>
      <c r="S329" s="331"/>
      <c r="T329" s="331"/>
      <c r="U329" s="321"/>
      <c r="V329" s="104"/>
      <c r="W329" s="72"/>
      <c r="X329" s="72"/>
      <c r="Y329" s="72"/>
      <c r="Z329" s="72"/>
      <c r="AA329" s="72" t="str">
        <f t="shared" si="134"/>
        <v/>
      </c>
      <c r="AB329" s="72"/>
      <c r="AC329" s="72">
        <f>SUM(AC304:AC328)</f>
        <v>25</v>
      </c>
      <c r="AD329" s="72">
        <f>SUM(AD304:AD328)</f>
        <v>19</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20" t="s">
        <v>307</v>
      </c>
      <c r="C330" s="321"/>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3" t="s">
        <v>222</v>
      </c>
      <c r="C334" s="314"/>
      <c r="D334" s="315" t="s">
        <v>223</v>
      </c>
      <c r="E334" s="306"/>
      <c r="F334" s="88"/>
      <c r="G334" s="316" t="s">
        <v>224</v>
      </c>
      <c r="H334" s="317"/>
      <c r="I334" s="28">
        <f>SUM(E345:E369)</f>
        <v>12</v>
      </c>
      <c r="J334" s="318" t="s">
        <v>225</v>
      </c>
      <c r="K334" s="319"/>
      <c r="L334" s="306"/>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6" t="s">
        <v>226</v>
      </c>
      <c r="AA334" s="297"/>
      <c r="AB334" s="298"/>
      <c r="AC334" s="25"/>
      <c r="AD334" s="25"/>
      <c r="AH334" s="109">
        <v>2</v>
      </c>
      <c r="AI334" s="109" t="str">
        <f>IF($E335="SS",COUNTIFS($C345:$C369,"FST",$E345:$E369,"2"),"0")</f>
        <v>0</v>
      </c>
      <c r="AJ334" s="109">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1</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RPX</v>
      </c>
      <c r="F335" s="88"/>
      <c r="G335" s="305" t="s">
        <v>230</v>
      </c>
      <c r="H335" s="306"/>
      <c r="I335" s="33">
        <f>E336-I334</f>
        <v>12</v>
      </c>
      <c r="J335" s="290" t="s">
        <v>231</v>
      </c>
      <c r="K335" s="291"/>
      <c r="L335" s="34">
        <f>I339</f>
        <v>649</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299" t="s">
        <v>232</v>
      </c>
      <c r="AA335" s="301" t="s">
        <v>233</v>
      </c>
      <c r="AB335" s="302"/>
      <c r="AC335" s="25"/>
      <c r="AD335" s="25"/>
      <c r="AH335" s="109">
        <v>4</v>
      </c>
      <c r="AI335" s="109" t="str">
        <f>IF($E335="SS",COUNTIFS($C345:$C369,"FST",$E345:$E369,"4"),"0")</f>
        <v>0</v>
      </c>
      <c r="AJ335" s="109">
        <f>IF($E335="RPX",COUNTIFS($C345:$C369,"FST",$E345:$E369,"4"),"0")</f>
        <v>0</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292" t="s">
        <v>237</v>
      </c>
      <c r="H336" s="293"/>
      <c r="I336" s="35">
        <f>IF(E336=0,0,12-(MOD(I334,12)))</f>
        <v>12</v>
      </c>
      <c r="J336" s="290" t="s">
        <v>238</v>
      </c>
      <c r="K336" s="291"/>
      <c r="L336" s="39">
        <f>I340-I334</f>
        <v>648</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0"/>
      <c r="AA336" s="303"/>
      <c r="AB336" s="304"/>
      <c r="AC336" s="25"/>
      <c r="AD336" s="25"/>
      <c r="AH336" s="109">
        <v>6</v>
      </c>
      <c r="AI336" s="109" t="str">
        <f>IF($E335="SS",COUNTIFS($C345:$C369,"FST",$E345:$E369,"6"),"0")</f>
        <v>0</v>
      </c>
      <c r="AJ336" s="109">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322" t="s">
        <v>242</v>
      </c>
      <c r="H337" s="43" t="s">
        <v>243</v>
      </c>
      <c r="I337" s="35">
        <f>IF(E337&lt;&gt;0,1,0)</f>
        <v>1</v>
      </c>
      <c r="J337" s="292" t="s">
        <v>244</v>
      </c>
      <c r="K337" s="293"/>
      <c r="L337" s="44">
        <f>'Cable Calculator'!AR3</f>
        <v>381</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f>IF($E335="RPX",COUNTIFS($C345:$C369,"FST",$E345:$E369,"8"),"0")</f>
        <v>0</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649</v>
      </c>
      <c r="F338" s="88"/>
      <c r="G338" s="323"/>
      <c r="H338" s="47" t="s">
        <v>248</v>
      </c>
      <c r="I338" s="35">
        <f>IF(E337&lt;&gt;0,E337,0)</f>
        <v>12</v>
      </c>
      <c r="J338" s="194"/>
      <c r="K338" s="195"/>
      <c r="L338" s="48"/>
      <c r="M338" s="196">
        <v>12</v>
      </c>
      <c r="N338" s="35" t="str">
        <f>IF($E335="SS",SUM(AI338,AJ349,AM370,AO370,AQ370),"0")</f>
        <v>0</v>
      </c>
      <c r="O338" s="35" t="str">
        <f>IF($E335="SS",SUM(AN370,AP370,AR370),"0")</f>
        <v>0</v>
      </c>
      <c r="P338" s="35">
        <f>IF($E335="RPX",SUM(AJ338,AJ349,AM370,AO370,AQ370),"0")</f>
        <v>1</v>
      </c>
      <c r="Q338" s="35">
        <f>IF($E335="RPX",SUM(AN370,AP370,AR370),"0")</f>
        <v>0</v>
      </c>
      <c r="R338" s="35">
        <f>COUNTIFS($E345:$E369,"12",$F345:$F369,"Pole",$C345:$C369,"FST")</f>
        <v>1</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f>IF($E335="RPX",COUNTIFS($C345:$C369,"FST",$E345:$E369,"12"),"0")</f>
        <v>1</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322" t="s">
        <v>251</v>
      </c>
      <c r="H339" s="51" t="s">
        <v>252</v>
      </c>
      <c r="I339" s="112">
        <f>E338</f>
        <v>649</v>
      </c>
      <c r="J339" s="324" t="s">
        <v>253</v>
      </c>
      <c r="K339" s="325"/>
      <c r="L339" s="326"/>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323"/>
      <c r="H340" s="47" t="s">
        <v>257</v>
      </c>
      <c r="I340" s="35">
        <f>IF(E338="","0",IF(AND(E335="EUC",E336=432), I339+(203-E337),IF(E338=0,0,(E338+(E336-E337)-1))))</f>
        <v>660</v>
      </c>
      <c r="J340" s="287" t="str">
        <f>IFERROR(IF(OR(E335="EUC",E335="SS"),"---",IF(OR(P334,S334),"NO 2F Tethers for RPX!",IF(OR(P336,S336),"NO 6F Tethers for RPX!","---"))),"---")</f>
        <v>---</v>
      </c>
      <c r="K340" s="288"/>
      <c r="L340" s="289"/>
      <c r="M340" s="287" t="str">
        <f>IF(E337&gt;60,"Dead Count &gt;60: Consider Downsize","---")</f>
        <v>---</v>
      </c>
      <c r="N340" s="288"/>
      <c r="O340" s="288"/>
      <c r="P340" s="288"/>
      <c r="Q340" s="288"/>
      <c r="R340" s="288"/>
      <c r="S340" s="288"/>
      <c r="T340" s="288"/>
      <c r="U340" s="289"/>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87"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8"/>
      <c r="L341" s="289"/>
      <c r="M341" s="287" t="str">
        <f>IF(AND(OR(E335="SS",E335="RPX",E335="EUC",E335="RPX-T"),(OR(C345="",C345="Field SPL"))),"Cannot have FlexNap cables without tethers","---")</f>
        <v>---</v>
      </c>
      <c r="N341" s="288"/>
      <c r="O341" s="288"/>
      <c r="P341" s="288"/>
      <c r="Q341" s="288"/>
      <c r="R341" s="288"/>
      <c r="S341" s="288"/>
      <c r="T341" s="288"/>
      <c r="U341" s="289"/>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7" t="str">
        <f>IF(AND(OR(E335="RPX", E335="RPX-T", E335="SS"),E336=216),"NO 216 For RPX, RPX-T, OR SS CABLE","---")</f>
        <v>---</v>
      </c>
      <c r="K342" s="288"/>
      <c r="L342" s="289"/>
      <c r="M342" s="287" t="str" cm="1">
        <f t="array" ref="M342">IF(AND(E335="",OR(C345:C369="FST",C345:C369="REV T",C345:C369="DBL REV",C345:C369="TPL REV", C345:C369="QD REV")),"Non-FlexNap cables cannot have tethers","---")</f>
        <v>---</v>
      </c>
      <c r="N342" s="288"/>
      <c r="O342" s="288"/>
      <c r="P342" s="288"/>
      <c r="Q342" s="288"/>
      <c r="R342" s="288"/>
      <c r="S342" s="288"/>
      <c r="T342" s="288"/>
      <c r="U342" s="289"/>
      <c r="V342" s="25"/>
      <c r="W342" s="58"/>
      <c r="X342" s="58"/>
      <c r="Y342" s="25"/>
      <c r="Z342" s="45">
        <v>6</v>
      </c>
      <c r="AA342" s="65">
        <v>61</v>
      </c>
      <c r="AB342" s="65">
        <v>72</v>
      </c>
      <c r="AC342" s="25"/>
      <c r="AD342" s="25"/>
      <c r="BA342" s="226"/>
    </row>
    <row r="343" spans="1:53" ht="15.75" customHeight="1" thickBot="1" x14ac:dyDescent="0.3">
      <c r="A343" s="88"/>
      <c r="B343" s="322" t="s">
        <v>260</v>
      </c>
      <c r="C343" s="294" t="s">
        <v>261</v>
      </c>
      <c r="D343" s="294" t="s">
        <v>262</v>
      </c>
      <c r="E343" s="307" t="s">
        <v>263</v>
      </c>
      <c r="F343" s="294" t="s">
        <v>264</v>
      </c>
      <c r="G343" s="309" t="s">
        <v>265</v>
      </c>
      <c r="H343" s="309" t="s">
        <v>266</v>
      </c>
      <c r="I343" s="309" t="s">
        <v>267</v>
      </c>
      <c r="J343" s="311" t="s">
        <v>268</v>
      </c>
      <c r="K343" s="294" t="s">
        <v>269</v>
      </c>
      <c r="L343" s="281" t="s">
        <v>270</v>
      </c>
      <c r="M343" s="283" t="s">
        <v>271</v>
      </c>
      <c r="N343" s="283"/>
      <c r="O343" s="283"/>
      <c r="P343" s="283"/>
      <c r="Q343" s="283"/>
      <c r="R343" s="283"/>
      <c r="S343" s="283"/>
      <c r="T343" s="283"/>
      <c r="U343" s="284"/>
      <c r="V343" s="107"/>
      <c r="W343" s="72"/>
      <c r="X343" s="72"/>
      <c r="Y343" s="72"/>
      <c r="Z343" s="45">
        <v>7</v>
      </c>
      <c r="AA343" s="65">
        <v>73</v>
      </c>
      <c r="AB343" s="65">
        <v>84</v>
      </c>
      <c r="AC343" s="25"/>
      <c r="AD343" s="25"/>
      <c r="BA343" s="228"/>
    </row>
    <row r="344" spans="1:53" ht="15.75" thickBot="1" x14ac:dyDescent="0.3">
      <c r="A344" s="88"/>
      <c r="B344" s="323"/>
      <c r="C344" s="295"/>
      <c r="D344" s="295"/>
      <c r="E344" s="308"/>
      <c r="F344" s="295"/>
      <c r="G344" s="310"/>
      <c r="H344" s="310"/>
      <c r="I344" s="310"/>
      <c r="J344" s="312"/>
      <c r="K344" s="295"/>
      <c r="L344" s="282"/>
      <c r="M344" s="285"/>
      <c r="N344" s="285"/>
      <c r="O344" s="285"/>
      <c r="P344" s="285"/>
      <c r="Q344" s="285"/>
      <c r="R344" s="285"/>
      <c r="S344" s="285"/>
      <c r="T344" s="285"/>
      <c r="U344" s="286"/>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767</v>
      </c>
      <c r="E345" s="32">
        <v>12</v>
      </c>
      <c r="F345" s="32" t="s">
        <v>483</v>
      </c>
      <c r="G345" s="68" t="s">
        <v>277</v>
      </c>
      <c r="H345" s="69">
        <f>IF(I345=0,0,I345-(E345-1))</f>
        <v>649</v>
      </c>
      <c r="I345" s="70">
        <f>IF(E345=0,0,I340)</f>
        <v>660</v>
      </c>
      <c r="J345" s="71" t="s">
        <v>278</v>
      </c>
      <c r="K345" s="32"/>
      <c r="L345" s="233"/>
      <c r="M345" s="279"/>
      <c r="N345" s="279"/>
      <c r="O345" s="279"/>
      <c r="P345" s="279"/>
      <c r="Q345" s="279"/>
      <c r="R345" s="279"/>
      <c r="S345" s="279"/>
      <c r="T345" s="279"/>
      <c r="U345" s="280"/>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649-660</v>
      </c>
      <c r="AF345" s="109" t="str">
        <f t="shared" ref="AF345:AF369" si="139">IF(C345="Field SPL","N","Y")</f>
        <v>Y</v>
      </c>
      <c r="AG345" s="109" t="str">
        <f t="shared" ref="AG345:AG369" si="140">IF(OR(E$335="RPX",E$335="SS"),"A","B")</f>
        <v>A</v>
      </c>
      <c r="AH345" s="109">
        <v>2</v>
      </c>
      <c r="AI345" s="109" t="str">
        <f>IF(E335="SS",COUNTIFS(C345:C369,"TCF",E345:E369,"2"),"")</f>
        <v/>
      </c>
      <c r="AJ345" s="109">
        <f>IF(E335="RPX",COUNTIFS(C345:C369,"TCF",E345:E369,"2"),"")</f>
        <v>0</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c r="D346" s="102"/>
      <c r="E346" s="32"/>
      <c r="F346" s="32"/>
      <c r="G346" s="68" t="s">
        <v>277</v>
      </c>
      <c r="H346" s="69">
        <f t="shared" ref="H346:H369" si="145">IF(E346=0,0,I346-(E346-1))</f>
        <v>0</v>
      </c>
      <c r="I346" s="70">
        <f t="shared" ref="I346:I369" si="146">IF(E346=0,0,H345-1)</f>
        <v>0</v>
      </c>
      <c r="J346" s="73" t="str">
        <f>IF(C346="","--",IF(AND(C346&lt;&gt;"FST",C346&lt;&gt;"TCF",BA345&lt;&gt;0),BA345,"--"))</f>
        <v>--</v>
      </c>
      <c r="K346" s="32"/>
      <c r="L346" s="233"/>
      <c r="M346" s="279"/>
      <c r="N346" s="279"/>
      <c r="O346" s="279"/>
      <c r="P346" s="279"/>
      <c r="Q346" s="279"/>
      <c r="R346" s="279"/>
      <c r="S346" s="279"/>
      <c r="T346" s="279"/>
      <c r="U346" s="280"/>
      <c r="V346" s="103"/>
      <c r="W346" s="72"/>
      <c r="X346" s="72"/>
      <c r="Y346" s="72"/>
      <c r="Z346" s="45">
        <v>10</v>
      </c>
      <c r="AA346" s="46">
        <v>109</v>
      </c>
      <c r="AB346" s="46">
        <v>120</v>
      </c>
      <c r="AC346" s="72">
        <f t="shared" si="136"/>
        <v>1</v>
      </c>
      <c r="AD346" s="72">
        <f t="shared" si="137"/>
        <v>1</v>
      </c>
      <c r="AE346" s="109" t="str">
        <f t="shared" si="138"/>
        <v>0-0</v>
      </c>
      <c r="AF346" s="109" t="str">
        <f t="shared" si="139"/>
        <v>Y</v>
      </c>
      <c r="AG346" s="109" t="str">
        <f t="shared" si="140"/>
        <v>A</v>
      </c>
      <c r="AH346" s="109">
        <v>4</v>
      </c>
      <c r="AI346" s="109" t="str">
        <f>IF(E335="SS",COUNTIFS(C345:C369,"TCF",E345:E369,"4"),"")</f>
        <v/>
      </c>
      <c r="AJ346" s="109">
        <f>IF(E335="RPX",COUNTIFS(C345:C369,"TCF",E345:E369,"4"),"")</f>
        <v>0</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79"/>
      <c r="N347" s="279"/>
      <c r="O347" s="279"/>
      <c r="P347" s="279"/>
      <c r="Q347" s="279"/>
      <c r="R347" s="279"/>
      <c r="S347" s="279"/>
      <c r="T347" s="279"/>
      <c r="U347" s="280"/>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A</v>
      </c>
      <c r="AH347" s="109">
        <v>6</v>
      </c>
      <c r="AI347" s="109" t="str">
        <f>IF(E335="SS",COUNTIFS(C345:C369,"TCF",E345:E369,"6"),"")</f>
        <v/>
      </c>
      <c r="AJ347" s="109">
        <f>IF(E335="RPX",COUNTIFS(C345:C369,"TCF",E345:E369,"6"),"")</f>
        <v>0</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79"/>
      <c r="N348" s="279"/>
      <c r="O348" s="279"/>
      <c r="P348" s="279"/>
      <c r="Q348" s="279"/>
      <c r="R348" s="279"/>
      <c r="S348" s="279"/>
      <c r="T348" s="279"/>
      <c r="U348" s="280"/>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A</v>
      </c>
      <c r="AH348" s="109">
        <v>8</v>
      </c>
      <c r="AI348" s="109" t="str">
        <f>IF(E335="SS",COUNTIFS(C345:C369,"TCF",E345:E369,"8"),"")</f>
        <v/>
      </c>
      <c r="AJ348" s="109">
        <f>IF(E335="RPX",COUNTIFS(C345:C369,"TCF",E345:E369,"8"),"")</f>
        <v>0</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79"/>
      <c r="N349" s="279"/>
      <c r="O349" s="279"/>
      <c r="P349" s="279"/>
      <c r="Q349" s="279"/>
      <c r="R349" s="279"/>
      <c r="S349" s="279"/>
      <c r="T349" s="279"/>
      <c r="U349" s="280"/>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A</v>
      </c>
      <c r="AH349" s="109">
        <v>12</v>
      </c>
      <c r="AI349" s="109" t="str">
        <f>IF(E335="SS",COUNTIFS(C345:C369,"TCF",E345:E369,"12"),"")</f>
        <v/>
      </c>
      <c r="AJ349" s="109">
        <f>IF(E335="RPX",COUNTIFS(C345:C369,"TCF",E345:E369,"12"),"")</f>
        <v>0</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79"/>
      <c r="N350" s="279"/>
      <c r="O350" s="279"/>
      <c r="P350" s="279"/>
      <c r="Q350" s="279"/>
      <c r="R350" s="279"/>
      <c r="S350" s="279"/>
      <c r="T350" s="279"/>
      <c r="U350" s="280"/>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A</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79"/>
      <c r="N351" s="279"/>
      <c r="O351" s="279"/>
      <c r="P351" s="279"/>
      <c r="Q351" s="279"/>
      <c r="R351" s="279"/>
      <c r="S351" s="279"/>
      <c r="T351" s="279"/>
      <c r="U351" s="280"/>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A</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79"/>
      <c r="N352" s="279"/>
      <c r="O352" s="279"/>
      <c r="P352" s="279"/>
      <c r="Q352" s="279"/>
      <c r="R352" s="279"/>
      <c r="S352" s="279"/>
      <c r="T352" s="279"/>
      <c r="U352" s="280"/>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A</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79"/>
      <c r="N353" s="279"/>
      <c r="O353" s="279"/>
      <c r="P353" s="279"/>
      <c r="Q353" s="279"/>
      <c r="R353" s="279"/>
      <c r="S353" s="279"/>
      <c r="T353" s="279"/>
      <c r="U353" s="280"/>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A</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79"/>
      <c r="N354" s="279"/>
      <c r="O354" s="279"/>
      <c r="P354" s="279"/>
      <c r="Q354" s="279"/>
      <c r="R354" s="279"/>
      <c r="S354" s="279"/>
      <c r="T354" s="279"/>
      <c r="U354" s="280"/>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A</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79"/>
      <c r="N355" s="279"/>
      <c r="O355" s="279"/>
      <c r="P355" s="279"/>
      <c r="Q355" s="279"/>
      <c r="R355" s="279"/>
      <c r="S355" s="279"/>
      <c r="T355" s="279"/>
      <c r="U355" s="280"/>
      <c r="V355" s="103"/>
      <c r="W355" s="84"/>
      <c r="X355" s="84"/>
      <c r="Y355" s="72"/>
      <c r="Z355" s="72"/>
      <c r="AA355" s="72"/>
      <c r="AB355" s="72"/>
      <c r="AC355" s="72">
        <f t="shared" si="136"/>
        <v>1</v>
      </c>
      <c r="AD355" s="72">
        <f t="shared" si="137"/>
        <v>1</v>
      </c>
      <c r="AE355" s="109" t="str">
        <f t="shared" si="138"/>
        <v>0-0</v>
      </c>
      <c r="AF355" s="109" t="str">
        <f t="shared" si="139"/>
        <v>Y</v>
      </c>
      <c r="AG355" s="109" t="str">
        <f t="shared" si="140"/>
        <v>A</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79"/>
      <c r="N356" s="279"/>
      <c r="O356" s="279"/>
      <c r="P356" s="279"/>
      <c r="Q356" s="279"/>
      <c r="R356" s="279"/>
      <c r="S356" s="279"/>
      <c r="T356" s="279"/>
      <c r="U356" s="280"/>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A</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79"/>
      <c r="N357" s="279"/>
      <c r="O357" s="279"/>
      <c r="P357" s="279"/>
      <c r="Q357" s="279"/>
      <c r="R357" s="279"/>
      <c r="S357" s="279"/>
      <c r="T357" s="279"/>
      <c r="U357" s="280"/>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A</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79"/>
      <c r="N358" s="279"/>
      <c r="O358" s="279"/>
      <c r="P358" s="279"/>
      <c r="Q358" s="279"/>
      <c r="R358" s="279"/>
      <c r="S358" s="279"/>
      <c r="T358" s="279"/>
      <c r="U358" s="280"/>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A</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9"/>
      <c r="N359" s="279"/>
      <c r="O359" s="279"/>
      <c r="P359" s="279"/>
      <c r="Q359" s="279"/>
      <c r="R359" s="279"/>
      <c r="S359" s="279"/>
      <c r="T359" s="279"/>
      <c r="U359" s="280"/>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A</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9"/>
      <c r="N360" s="279"/>
      <c r="O360" s="279"/>
      <c r="P360" s="279"/>
      <c r="Q360" s="279"/>
      <c r="R360" s="279"/>
      <c r="S360" s="279"/>
      <c r="T360" s="279"/>
      <c r="U360" s="280"/>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A</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9"/>
      <c r="N361" s="279"/>
      <c r="O361" s="279"/>
      <c r="P361" s="279"/>
      <c r="Q361" s="279"/>
      <c r="R361" s="279"/>
      <c r="S361" s="279"/>
      <c r="T361" s="279"/>
      <c r="U361" s="280"/>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A</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9"/>
      <c r="N362" s="279"/>
      <c r="O362" s="279"/>
      <c r="P362" s="279"/>
      <c r="Q362" s="279"/>
      <c r="R362" s="279"/>
      <c r="S362" s="279"/>
      <c r="T362" s="279"/>
      <c r="U362" s="280"/>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A</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9"/>
      <c r="N363" s="279"/>
      <c r="O363" s="279"/>
      <c r="P363" s="279"/>
      <c r="Q363" s="279"/>
      <c r="R363" s="279"/>
      <c r="S363" s="279"/>
      <c r="T363" s="279"/>
      <c r="U363" s="280"/>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A</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9"/>
      <c r="N364" s="279"/>
      <c r="O364" s="279"/>
      <c r="P364" s="279"/>
      <c r="Q364" s="279"/>
      <c r="R364" s="279"/>
      <c r="S364" s="279"/>
      <c r="T364" s="279"/>
      <c r="U364" s="280"/>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A</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9"/>
      <c r="N365" s="279"/>
      <c r="O365" s="279"/>
      <c r="P365" s="279"/>
      <c r="Q365" s="279"/>
      <c r="R365" s="279"/>
      <c r="S365" s="279"/>
      <c r="T365" s="279"/>
      <c r="U365" s="280"/>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A</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9"/>
      <c r="N366" s="279"/>
      <c r="O366" s="279"/>
      <c r="P366" s="279"/>
      <c r="Q366" s="279"/>
      <c r="R366" s="279"/>
      <c r="S366" s="279"/>
      <c r="T366" s="279"/>
      <c r="U366" s="280"/>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A</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9"/>
      <c r="N367" s="279"/>
      <c r="O367" s="279"/>
      <c r="P367" s="279"/>
      <c r="Q367" s="279"/>
      <c r="R367" s="279"/>
      <c r="S367" s="279"/>
      <c r="T367" s="279"/>
      <c r="U367" s="280"/>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A</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9"/>
      <c r="N368" s="279"/>
      <c r="O368" s="279"/>
      <c r="P368" s="279"/>
      <c r="Q368" s="279"/>
      <c r="R368" s="279"/>
      <c r="S368" s="279"/>
      <c r="T368" s="279"/>
      <c r="U368" s="280"/>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A</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9"/>
      <c r="N369" s="279"/>
      <c r="O369" s="279"/>
      <c r="P369" s="279"/>
      <c r="Q369" s="279"/>
      <c r="R369" s="279"/>
      <c r="S369" s="279"/>
      <c r="T369" s="279"/>
      <c r="U369" s="280"/>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A</v>
      </c>
      <c r="AM369" s="109">
        <f t="shared" si="141"/>
        <v>0</v>
      </c>
      <c r="AN369" s="109">
        <f t="shared" si="142"/>
        <v>0</v>
      </c>
      <c r="AO369" s="109" t="str">
        <f t="shared" si="143"/>
        <v/>
      </c>
      <c r="AQ369" s="109" t="str">
        <f t="shared" si="144"/>
        <v/>
      </c>
      <c r="BA369" s="228"/>
    </row>
    <row r="370" spans="1:53" ht="16.5" thickBot="1" x14ac:dyDescent="0.3">
      <c r="A370" s="88"/>
      <c r="B370" s="320" t="s">
        <v>321</v>
      </c>
      <c r="C370" s="321"/>
      <c r="D370" s="79"/>
      <c r="E370" s="80"/>
      <c r="F370" s="80"/>
      <c r="G370" s="81"/>
      <c r="H370" s="192"/>
      <c r="I370" s="192"/>
      <c r="J370" s="192"/>
      <c r="K370" s="82"/>
      <c r="L370" s="320" t="s">
        <v>306</v>
      </c>
      <c r="M370" s="331"/>
      <c r="N370" s="331"/>
      <c r="O370" s="331"/>
      <c r="P370" s="331"/>
      <c r="Q370" s="331"/>
      <c r="R370" s="331"/>
      <c r="S370" s="331"/>
      <c r="T370" s="331"/>
      <c r="U370" s="321"/>
      <c r="V370" s="104"/>
      <c r="W370" s="72"/>
      <c r="X370" s="72"/>
      <c r="Y370" s="72"/>
      <c r="Z370" s="72"/>
      <c r="AA370" s="72" t="str">
        <f t="shared" si="151"/>
        <v/>
      </c>
      <c r="AB370" s="72"/>
      <c r="AC370" s="72">
        <f>SUM(AC345:AC369)</f>
        <v>25</v>
      </c>
      <c r="AD370" s="72">
        <f>SUM(AD345:AD369)</f>
        <v>24</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20" t="s">
        <v>307</v>
      </c>
      <c r="C371" s="321"/>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3" t="s">
        <v>222</v>
      </c>
      <c r="C375" s="314"/>
      <c r="D375" s="315" t="s">
        <v>223</v>
      </c>
      <c r="E375" s="306"/>
      <c r="F375" s="88"/>
      <c r="G375" s="316" t="s">
        <v>224</v>
      </c>
      <c r="H375" s="317"/>
      <c r="I375" s="28">
        <f>SUM(E386:E410)</f>
        <v>12</v>
      </c>
      <c r="J375" s="318" t="s">
        <v>225</v>
      </c>
      <c r="K375" s="319"/>
      <c r="L375" s="306"/>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6" t="s">
        <v>226</v>
      </c>
      <c r="AA375" s="297"/>
      <c r="AB375" s="298"/>
      <c r="AC375" s="25"/>
      <c r="AD375" s="25"/>
      <c r="AH375" s="109">
        <v>2</v>
      </c>
      <c r="AI375" s="109" t="str">
        <f>IF($E376="SS",COUNTIFS($C386:$C410,"FST",$E386:$E410,"2"),"0")</f>
        <v>0</v>
      </c>
      <c r="AJ375" s="109">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RPX</v>
      </c>
      <c r="F376" s="88"/>
      <c r="G376" s="305" t="s">
        <v>230</v>
      </c>
      <c r="H376" s="306"/>
      <c r="I376" s="33">
        <f>E377-I375</f>
        <v>12</v>
      </c>
      <c r="J376" s="290" t="s">
        <v>231</v>
      </c>
      <c r="K376" s="291"/>
      <c r="L376" s="34">
        <f>I380</f>
        <v>613</v>
      </c>
      <c r="M376" s="196">
        <v>4</v>
      </c>
      <c r="N376" s="35">
        <f>SUM(AI376,AI387)</f>
        <v>0</v>
      </c>
      <c r="O376" s="35">
        <v>0</v>
      </c>
      <c r="P376" s="35">
        <f>SUM(AJ376,AJ387)</f>
        <v>1</v>
      </c>
      <c r="Q376" s="35">
        <v>0</v>
      </c>
      <c r="R376" s="35">
        <f>COUNTIFS($E386:$E410,"4",$F386:$F410,"Pole",$C386:$C410,"FST")</f>
        <v>1</v>
      </c>
      <c r="S376" s="35">
        <f>SUM(AL376,AK387)</f>
        <v>0</v>
      </c>
      <c r="T376" s="35">
        <v>0</v>
      </c>
      <c r="U376" s="35">
        <f>SUM(AK376,AL387)</f>
        <v>0</v>
      </c>
      <c r="V376" s="35">
        <v>0</v>
      </c>
      <c r="W376" s="34">
        <f>COUNTIFS($E386:$E410,"4",$F386:$F410,"HH",$C386:$C410,"FST")</f>
        <v>0</v>
      </c>
      <c r="X376" s="35">
        <f>COUNTIFS($E386:$E410,"4",$F386:$F410,"Ped",$C386:$C410,"FST")</f>
        <v>0</v>
      </c>
      <c r="Y376" s="25"/>
      <c r="Z376" s="299" t="s">
        <v>232</v>
      </c>
      <c r="AA376" s="301" t="s">
        <v>233</v>
      </c>
      <c r="AB376" s="302"/>
      <c r="AC376" s="25"/>
      <c r="AD376" s="25"/>
      <c r="AH376" s="109">
        <v>4</v>
      </c>
      <c r="AI376" s="109" t="str">
        <f>IF($E376="SS",COUNTIFS($C386:$C410,"FST",$E386:$E410,"4"),"0")</f>
        <v>0</v>
      </c>
      <c r="AJ376" s="109">
        <f>IF($E376="RPX",COUNTIFS($C386:$C410,"FST",$E386:$E410,"4"),"0")</f>
        <v>1</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292" t="s">
        <v>237</v>
      </c>
      <c r="H377" s="293"/>
      <c r="I377" s="35">
        <f>IF(E377=0,0,12-(MOD(I375,12)))</f>
        <v>12</v>
      </c>
      <c r="J377" s="290" t="s">
        <v>238</v>
      </c>
      <c r="K377" s="291"/>
      <c r="L377" s="39">
        <f>I381-I375</f>
        <v>612</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0"/>
      <c r="AA377" s="303"/>
      <c r="AB377" s="304"/>
      <c r="AC377" s="25"/>
      <c r="AD377" s="25"/>
      <c r="AH377" s="109">
        <v>6</v>
      </c>
      <c r="AI377" s="109" t="str">
        <f>IF($E376="SS",COUNTIFS($C386:$C410,"FST",$E386:$E410,"6"),"0")</f>
        <v>0</v>
      </c>
      <c r="AJ377" s="109">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322" t="s">
        <v>242</v>
      </c>
      <c r="H378" s="43" t="s">
        <v>243</v>
      </c>
      <c r="I378" s="35">
        <f>IF(E378&lt;&gt;0,1,0)</f>
        <v>1</v>
      </c>
      <c r="J378" s="292" t="s">
        <v>244</v>
      </c>
      <c r="K378" s="293"/>
      <c r="L378" s="44">
        <f>'Cable Calculator'!AW3</f>
        <v>937</v>
      </c>
      <c r="M378" s="196">
        <v>8</v>
      </c>
      <c r="N378" s="35">
        <f>SUM(AI378,AI389)</f>
        <v>0</v>
      </c>
      <c r="O378" s="35">
        <v>0</v>
      </c>
      <c r="P378" s="35">
        <f>SUM(AJ378,AJ389)</f>
        <v>1</v>
      </c>
      <c r="Q378" s="35">
        <v>0</v>
      </c>
      <c r="R378" s="35">
        <f>COUNTIFS($E386:$E410,"8",$F386:$F410,"Pole",$C386:$C410,"FST")</f>
        <v>1</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f>IF($E376="RPX",COUNTIFS($C386:$C410,"FST",$E386:$E410,"8"),"0")</f>
        <v>1</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613</v>
      </c>
      <c r="F379" s="88"/>
      <c r="G379" s="323"/>
      <c r="H379" s="47" t="s">
        <v>248</v>
      </c>
      <c r="I379" s="35">
        <f>IF(E378&lt;&gt;0,E378,0)</f>
        <v>12</v>
      </c>
      <c r="J379" s="194"/>
      <c r="K379" s="195"/>
      <c r="L379" s="48"/>
      <c r="M379" s="196">
        <v>12</v>
      </c>
      <c r="N379" s="35" t="str">
        <f>IF($E376="SS",SUM(AI379,AJ390,AM411,AO411,AQ411),"0")</f>
        <v>0</v>
      </c>
      <c r="O379" s="35" t="str">
        <f>IF($E376="SS",SUM(AN411,AP411,AR411),"0")</f>
        <v>0</v>
      </c>
      <c r="P379" s="35">
        <f>IF($E376="RPX",SUM(AJ379,AJ390,AM411,AO411,AQ411),"0")</f>
        <v>0</v>
      </c>
      <c r="Q379" s="35">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322" t="s">
        <v>251</v>
      </c>
      <c r="H380" s="51" t="s">
        <v>252</v>
      </c>
      <c r="I380" s="112">
        <f>E379</f>
        <v>613</v>
      </c>
      <c r="J380" s="324" t="s">
        <v>253</v>
      </c>
      <c r="K380" s="325"/>
      <c r="L380" s="326"/>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3"/>
      <c r="H381" s="47" t="s">
        <v>257</v>
      </c>
      <c r="I381" s="35">
        <f>IF(E379="","0",IF(AND(E376="EUC",E377=432), I380+(203-E378),IF(E379=0,0,(E379+(E377-E378)-1))))</f>
        <v>624</v>
      </c>
      <c r="J381" s="287" t="str">
        <f>IFERROR(IF(OR(E376="EUC",E376="SS"),"---",IF(OR(P375,S375),"NO 2F Tethers for RPX!",IF(OR(P377,S377),"NO 6F Tethers for RPX!","---"))),"---")</f>
        <v>---</v>
      </c>
      <c r="K381" s="288"/>
      <c r="L381" s="289"/>
      <c r="M381" s="287" t="str">
        <f>IF(E378&gt;60,"Dead Count &gt;60: Consider Downsize","---")</f>
        <v>---</v>
      </c>
      <c r="N381" s="288"/>
      <c r="O381" s="288"/>
      <c r="P381" s="288"/>
      <c r="Q381" s="288"/>
      <c r="R381" s="288"/>
      <c r="S381" s="288"/>
      <c r="T381" s="288"/>
      <c r="U381" s="289"/>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v>
      </c>
      <c r="D382" s="31" t="s">
        <v>259</v>
      </c>
      <c r="E382" s="101" t="str">
        <f>IF(AS376="Y","DBL",IF(AS377="Y","TRPL",IF(AS378="Y","QUAD","")))</f>
        <v/>
      </c>
      <c r="F382" s="88"/>
      <c r="G382" s="192"/>
      <c r="H382" s="57"/>
      <c r="I382" s="192"/>
      <c r="J382" s="287"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8"/>
      <c r="L382" s="289"/>
      <c r="M382" s="287" t="str">
        <f>IF(AND(OR(E376="SS",E376="RPX",E376="EUC",E376="RPX-T"),(OR(C386="",C386="Field SPL"))),"Cannot have FlexNap cables without tethers","---")</f>
        <v>---</v>
      </c>
      <c r="N382" s="288"/>
      <c r="O382" s="288"/>
      <c r="P382" s="288"/>
      <c r="Q382" s="288"/>
      <c r="R382" s="288"/>
      <c r="S382" s="288"/>
      <c r="T382" s="288"/>
      <c r="U382" s="289"/>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7" t="str">
        <f>IF(AND(OR(E376="RPX", E376="RPX-T", E376="SS"),E377=216),"NO 216 For RPX, RPX-T, OR SS CABLE","---")</f>
        <v>---</v>
      </c>
      <c r="K383" s="288"/>
      <c r="L383" s="289"/>
      <c r="M383" s="287" t="str" cm="1">
        <f t="array" ref="M383">IF(AND(E376="",OR(C386:C410="FST",C386:C410="REV T",C386:C410="DBL REV",C386:C410="TPL REV", C386:C410="QD REV")),"Non-FlexNap cables cannot have tethers","---")</f>
        <v>---</v>
      </c>
      <c r="N383" s="288"/>
      <c r="O383" s="288"/>
      <c r="P383" s="288"/>
      <c r="Q383" s="288"/>
      <c r="R383" s="288"/>
      <c r="S383" s="288"/>
      <c r="T383" s="288"/>
      <c r="U383" s="289"/>
      <c r="V383" s="25"/>
      <c r="W383" s="58"/>
      <c r="X383" s="58"/>
      <c r="Y383" s="25"/>
      <c r="Z383" s="45">
        <v>6</v>
      </c>
      <c r="AA383" s="65">
        <v>61</v>
      </c>
      <c r="AB383" s="65">
        <v>72</v>
      </c>
      <c r="AC383" s="25"/>
      <c r="AD383" s="25"/>
      <c r="BA383" s="226"/>
    </row>
    <row r="384" spans="1:53" ht="15.75" customHeight="1" thickBot="1" x14ac:dyDescent="0.3">
      <c r="A384" s="88"/>
      <c r="B384" s="322" t="s">
        <v>260</v>
      </c>
      <c r="C384" s="294" t="s">
        <v>261</v>
      </c>
      <c r="D384" s="294" t="s">
        <v>262</v>
      </c>
      <c r="E384" s="307" t="s">
        <v>263</v>
      </c>
      <c r="F384" s="294" t="s">
        <v>264</v>
      </c>
      <c r="G384" s="309" t="s">
        <v>265</v>
      </c>
      <c r="H384" s="309" t="s">
        <v>266</v>
      </c>
      <c r="I384" s="309" t="s">
        <v>267</v>
      </c>
      <c r="J384" s="311" t="s">
        <v>268</v>
      </c>
      <c r="K384" s="294" t="s">
        <v>269</v>
      </c>
      <c r="L384" s="281" t="s">
        <v>270</v>
      </c>
      <c r="M384" s="283" t="s">
        <v>271</v>
      </c>
      <c r="N384" s="283"/>
      <c r="O384" s="283"/>
      <c r="P384" s="283"/>
      <c r="Q384" s="283"/>
      <c r="R384" s="283"/>
      <c r="S384" s="283"/>
      <c r="T384" s="283"/>
      <c r="U384" s="284"/>
      <c r="V384" s="107"/>
      <c r="W384" s="72"/>
      <c r="X384" s="72"/>
      <c r="Y384" s="72"/>
      <c r="Z384" s="45">
        <v>7</v>
      </c>
      <c r="AA384" s="65">
        <v>73</v>
      </c>
      <c r="AB384" s="65">
        <v>84</v>
      </c>
      <c r="AC384" s="25"/>
      <c r="AD384" s="25"/>
      <c r="BA384" s="228"/>
    </row>
    <row r="385" spans="1:53" ht="15.75" thickBot="1" x14ac:dyDescent="0.3">
      <c r="A385" s="88"/>
      <c r="B385" s="323"/>
      <c r="C385" s="295"/>
      <c r="D385" s="295"/>
      <c r="E385" s="308"/>
      <c r="F385" s="295"/>
      <c r="G385" s="310"/>
      <c r="H385" s="310"/>
      <c r="I385" s="310"/>
      <c r="J385" s="312"/>
      <c r="K385" s="295"/>
      <c r="L385" s="282"/>
      <c r="M385" s="285"/>
      <c r="N385" s="285"/>
      <c r="O385" s="285"/>
      <c r="P385" s="285"/>
      <c r="Q385" s="285"/>
      <c r="R385" s="285"/>
      <c r="S385" s="285"/>
      <c r="T385" s="285"/>
      <c r="U385" s="286"/>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768</v>
      </c>
      <c r="E386" s="32">
        <v>4</v>
      </c>
      <c r="F386" s="32" t="s">
        <v>483</v>
      </c>
      <c r="G386" s="68" t="s">
        <v>277</v>
      </c>
      <c r="H386" s="69">
        <f>IF(I386=0,0,I386-(E386-1))</f>
        <v>621</v>
      </c>
      <c r="I386" s="70">
        <f>IF(E386=0,0,I381)</f>
        <v>624</v>
      </c>
      <c r="J386" s="71" t="s">
        <v>278</v>
      </c>
      <c r="K386" s="32"/>
      <c r="L386" s="233"/>
      <c r="M386" s="279"/>
      <c r="N386" s="279"/>
      <c r="O386" s="279"/>
      <c r="P386" s="279"/>
      <c r="Q386" s="279"/>
      <c r="R386" s="279"/>
      <c r="S386" s="279"/>
      <c r="T386" s="279"/>
      <c r="U386" s="280"/>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621-624</v>
      </c>
      <c r="AF386" s="109" t="str">
        <f t="shared" ref="AF386:AF410" si="156">IF(C386="Field SPL","N","Y")</f>
        <v>Y</v>
      </c>
      <c r="AG386" s="109" t="str">
        <f t="shared" ref="AG386:AG410" si="157">IF(OR(E$376="RPX",E$376="SS"),"A","B")</f>
        <v>A</v>
      </c>
      <c r="AH386" s="109">
        <v>2</v>
      </c>
      <c r="AI386" s="109" t="str">
        <f>IF(E376="SS",COUNTIFS(C386:C410,"TCF",E386:E410,"2"),"")</f>
        <v/>
      </c>
      <c r="AJ386" s="109">
        <f>IF(E376="RPX",COUNTIFS(C386:C410,"TCF",E386:E410,"2"),"")</f>
        <v>0</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769</v>
      </c>
      <c r="E387" s="32">
        <v>8</v>
      </c>
      <c r="F387" s="32" t="s">
        <v>483</v>
      </c>
      <c r="G387" s="68" t="s">
        <v>277</v>
      </c>
      <c r="H387" s="69">
        <f t="shared" ref="H387:H410" si="162">IF(E387=0,0,I387-(E387-1))</f>
        <v>613</v>
      </c>
      <c r="I387" s="70">
        <f t="shared" ref="I387:I410" si="163">IF(E387=0,0,H386-1)</f>
        <v>620</v>
      </c>
      <c r="J387" s="73" t="str">
        <f>IF(C387="","--",IF(AND(C387&lt;&gt;"FST",C387&lt;&gt;"TCF",BA386&lt;&gt;0),BA386,"--"))</f>
        <v>--</v>
      </c>
      <c r="K387" s="32"/>
      <c r="L387" s="233"/>
      <c r="M387" s="279"/>
      <c r="N387" s="279"/>
      <c r="O387" s="279"/>
      <c r="P387" s="279"/>
      <c r="Q387" s="279"/>
      <c r="R387" s="279"/>
      <c r="S387" s="279"/>
      <c r="T387" s="279"/>
      <c r="U387" s="280"/>
      <c r="V387" s="103"/>
      <c r="W387" s="72"/>
      <c r="X387" s="72"/>
      <c r="Y387" s="72"/>
      <c r="Z387" s="45">
        <v>10</v>
      </c>
      <c r="AA387" s="46">
        <v>109</v>
      </c>
      <c r="AB387" s="46">
        <v>120</v>
      </c>
      <c r="AC387" s="72">
        <f t="shared" si="153"/>
        <v>1</v>
      </c>
      <c r="AD387" s="72">
        <f t="shared" si="154"/>
        <v>0</v>
      </c>
      <c r="AE387" s="109" t="str">
        <f t="shared" si="155"/>
        <v>613-620</v>
      </c>
      <c r="AF387" s="109" t="str">
        <f t="shared" si="156"/>
        <v>Y</v>
      </c>
      <c r="AG387" s="109" t="str">
        <f t="shared" si="157"/>
        <v>A</v>
      </c>
      <c r="AH387" s="109">
        <v>4</v>
      </c>
      <c r="AI387" s="109" t="str">
        <f>IF(E376="SS",COUNTIFS(C386:C410,"TCF",E386:E410,"4"),"")</f>
        <v/>
      </c>
      <c r="AJ387" s="109">
        <f>IF(E376="RPX",COUNTIFS(C386:C410,"TCF",E386:E410,"4"),"")</f>
        <v>0</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79"/>
      <c r="N388" s="279"/>
      <c r="O388" s="279"/>
      <c r="P388" s="279"/>
      <c r="Q388" s="279"/>
      <c r="R388" s="279"/>
      <c r="S388" s="279"/>
      <c r="T388" s="279"/>
      <c r="U388" s="280"/>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A</v>
      </c>
      <c r="AH388" s="109">
        <v>6</v>
      </c>
      <c r="AI388" s="109" t="str">
        <f>IF(E376="SS",COUNTIFS(C386:C410,"TCF",E386:E410,"6"),"")</f>
        <v/>
      </c>
      <c r="AJ388" s="109">
        <f>IF(E376="RPX",COUNTIFS(C386:C410,"TCF",E386:E410,"6"),"")</f>
        <v>0</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79"/>
      <c r="N389" s="279"/>
      <c r="O389" s="279"/>
      <c r="P389" s="279"/>
      <c r="Q389" s="279"/>
      <c r="R389" s="279"/>
      <c r="S389" s="279"/>
      <c r="T389" s="279"/>
      <c r="U389" s="280"/>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A</v>
      </c>
      <c r="AH389" s="109">
        <v>8</v>
      </c>
      <c r="AI389" s="109" t="str">
        <f>IF(E376="SS",COUNTIFS(C386:C410,"TCF",E386:E410,"8"),"")</f>
        <v/>
      </c>
      <c r="AJ389" s="109">
        <f>IF(E376="RPX",COUNTIFS(C386:C410,"TCF",E386:E410,"8"),"")</f>
        <v>0</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79"/>
      <c r="N390" s="279"/>
      <c r="O390" s="279"/>
      <c r="P390" s="279"/>
      <c r="Q390" s="279"/>
      <c r="R390" s="279"/>
      <c r="S390" s="279"/>
      <c r="T390" s="279"/>
      <c r="U390" s="280"/>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A</v>
      </c>
      <c r="AH390" s="109">
        <v>12</v>
      </c>
      <c r="AI390" s="109" t="str">
        <f>IF(E376="SS",COUNTIFS(C386:C410,"TCF",E386:E410,"12"),"")</f>
        <v/>
      </c>
      <c r="AJ390" s="109">
        <f>IF(E376="RPX",COUNTIFS(C386:C410,"TCF",E386:E410,"12"),"")</f>
        <v>0</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79"/>
      <c r="N391" s="279"/>
      <c r="O391" s="279"/>
      <c r="P391" s="279"/>
      <c r="Q391" s="279"/>
      <c r="R391" s="279"/>
      <c r="S391" s="279"/>
      <c r="T391" s="279"/>
      <c r="U391" s="280"/>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A</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79"/>
      <c r="N392" s="279"/>
      <c r="O392" s="279"/>
      <c r="P392" s="279"/>
      <c r="Q392" s="279"/>
      <c r="R392" s="279"/>
      <c r="S392" s="279"/>
      <c r="T392" s="279"/>
      <c r="U392" s="280"/>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A</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79"/>
      <c r="N393" s="279"/>
      <c r="O393" s="279"/>
      <c r="P393" s="279"/>
      <c r="Q393" s="279"/>
      <c r="R393" s="279"/>
      <c r="S393" s="279"/>
      <c r="T393" s="279"/>
      <c r="U393" s="280"/>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A</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79"/>
      <c r="N394" s="279"/>
      <c r="O394" s="279"/>
      <c r="P394" s="279"/>
      <c r="Q394" s="279"/>
      <c r="R394" s="279"/>
      <c r="S394" s="279"/>
      <c r="T394" s="279"/>
      <c r="U394" s="280"/>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A</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79"/>
      <c r="N395" s="279"/>
      <c r="O395" s="279"/>
      <c r="P395" s="279"/>
      <c r="Q395" s="279"/>
      <c r="R395" s="279"/>
      <c r="S395" s="279"/>
      <c r="T395" s="279"/>
      <c r="U395" s="280"/>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A</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79"/>
      <c r="N396" s="279"/>
      <c r="O396" s="279"/>
      <c r="P396" s="279"/>
      <c r="Q396" s="279"/>
      <c r="R396" s="279"/>
      <c r="S396" s="279"/>
      <c r="T396" s="279"/>
      <c r="U396" s="280"/>
      <c r="V396" s="103"/>
      <c r="W396" s="84"/>
      <c r="X396" s="84"/>
      <c r="Y396" s="72"/>
      <c r="Z396" s="72"/>
      <c r="AA396" s="72"/>
      <c r="AB396" s="72"/>
      <c r="AC396" s="72">
        <f t="shared" si="153"/>
        <v>1</v>
      </c>
      <c r="AD396" s="72">
        <f t="shared" si="154"/>
        <v>1</v>
      </c>
      <c r="AE396" s="109" t="str">
        <f t="shared" si="155"/>
        <v>0-0</v>
      </c>
      <c r="AF396" s="109" t="str">
        <f t="shared" si="156"/>
        <v>Y</v>
      </c>
      <c r="AG396" s="109" t="str">
        <f t="shared" si="157"/>
        <v>A</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9"/>
      <c r="N397" s="279"/>
      <c r="O397" s="279"/>
      <c r="P397" s="279"/>
      <c r="Q397" s="279"/>
      <c r="R397" s="279"/>
      <c r="S397" s="279"/>
      <c r="T397" s="279"/>
      <c r="U397" s="280"/>
      <c r="V397" s="103"/>
      <c r="W397" s="84">
        <f>Y397+1</f>
        <v>13</v>
      </c>
      <c r="X397" s="84"/>
      <c r="Y397" s="78">
        <f>SUM(E386:E397)</f>
        <v>12</v>
      </c>
      <c r="Z397" s="72"/>
      <c r="AA397" s="72"/>
      <c r="AB397" s="72"/>
      <c r="AC397" s="72">
        <f t="shared" si="153"/>
        <v>1</v>
      </c>
      <c r="AD397" s="72">
        <f t="shared" si="154"/>
        <v>1</v>
      </c>
      <c r="AE397" s="109" t="str">
        <f t="shared" si="155"/>
        <v>0-0</v>
      </c>
      <c r="AF397" s="109" t="str">
        <f t="shared" si="156"/>
        <v>Y</v>
      </c>
      <c r="AG397" s="109" t="str">
        <f t="shared" si="157"/>
        <v>A</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9"/>
      <c r="N398" s="279"/>
      <c r="O398" s="279"/>
      <c r="P398" s="279"/>
      <c r="Q398" s="279"/>
      <c r="R398" s="279"/>
      <c r="S398" s="279"/>
      <c r="T398" s="279"/>
      <c r="U398" s="280"/>
      <c r="V398" s="103"/>
      <c r="W398" s="84">
        <f>Y398+1</f>
        <v>13</v>
      </c>
      <c r="X398" s="84"/>
      <c r="Y398" s="78">
        <f>SUM(E386:E398)</f>
        <v>12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A</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9"/>
      <c r="N399" s="279"/>
      <c r="O399" s="279"/>
      <c r="P399" s="279"/>
      <c r="Q399" s="279"/>
      <c r="R399" s="279"/>
      <c r="S399" s="279"/>
      <c r="T399" s="279"/>
      <c r="U399" s="280"/>
      <c r="V399" s="103"/>
      <c r="W399" s="84">
        <f>Y399+1</f>
        <v>13</v>
      </c>
      <c r="X399" s="84"/>
      <c r="Y399" s="78">
        <f>SUM(E386:E399)</f>
        <v>12</v>
      </c>
      <c r="Z399" s="72" t="str">
        <f t="shared" si="167"/>
        <v/>
      </c>
      <c r="AA399" s="72"/>
      <c r="AB399" s="72"/>
      <c r="AC399" s="72">
        <f t="shared" si="153"/>
        <v>1</v>
      </c>
      <c r="AD399" s="72">
        <f t="shared" si="154"/>
        <v>1</v>
      </c>
      <c r="AE399" s="109" t="str">
        <f t="shared" si="155"/>
        <v>0-0</v>
      </c>
      <c r="AF399" s="109" t="str">
        <f t="shared" si="156"/>
        <v>Y</v>
      </c>
      <c r="AG399" s="109" t="str">
        <f t="shared" si="157"/>
        <v>A</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9"/>
      <c r="N400" s="279"/>
      <c r="O400" s="279"/>
      <c r="P400" s="279"/>
      <c r="Q400" s="279"/>
      <c r="R400" s="279"/>
      <c r="S400" s="279"/>
      <c r="T400" s="279"/>
      <c r="U400" s="280"/>
      <c r="V400" s="103"/>
      <c r="W400" s="84">
        <f>Y400+1</f>
        <v>13</v>
      </c>
      <c r="X400" s="84"/>
      <c r="Y400" s="78">
        <f>SUM(E386:E400)</f>
        <v>12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A</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9"/>
      <c r="N401" s="279"/>
      <c r="O401" s="279"/>
      <c r="P401" s="279"/>
      <c r="Q401" s="279"/>
      <c r="R401" s="279"/>
      <c r="S401" s="279"/>
      <c r="T401" s="279"/>
      <c r="U401" s="280"/>
      <c r="V401" s="103"/>
      <c r="W401" s="84">
        <f t="shared" ref="W401:W409" si="169">Y401+1</f>
        <v>13</v>
      </c>
      <c r="X401" s="84"/>
      <c r="Y401" s="78">
        <f>SUM(E386:E401)</f>
        <v>12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A</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9"/>
      <c r="N402" s="279"/>
      <c r="O402" s="279"/>
      <c r="P402" s="279"/>
      <c r="Q402" s="279"/>
      <c r="R402" s="279"/>
      <c r="S402" s="279"/>
      <c r="T402" s="279"/>
      <c r="U402" s="280"/>
      <c r="V402" s="103"/>
      <c r="W402" s="84">
        <f t="shared" si="169"/>
        <v>13</v>
      </c>
      <c r="X402" s="84"/>
      <c r="Y402" s="78">
        <f>SUM(E386:E402)</f>
        <v>12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A</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9"/>
      <c r="N403" s="279"/>
      <c r="O403" s="279"/>
      <c r="P403" s="279"/>
      <c r="Q403" s="279"/>
      <c r="R403" s="279"/>
      <c r="S403" s="279"/>
      <c r="T403" s="279"/>
      <c r="U403" s="280"/>
      <c r="V403" s="103"/>
      <c r="W403" s="84">
        <f t="shared" si="169"/>
        <v>13</v>
      </c>
      <c r="X403" s="84"/>
      <c r="Y403" s="78">
        <f>SUM(E386:E403)</f>
        <v>12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A</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9"/>
      <c r="N404" s="279"/>
      <c r="O404" s="279"/>
      <c r="P404" s="279"/>
      <c r="Q404" s="279"/>
      <c r="R404" s="279"/>
      <c r="S404" s="279"/>
      <c r="T404" s="279"/>
      <c r="U404" s="280"/>
      <c r="V404" s="103"/>
      <c r="W404" s="84">
        <f t="shared" si="169"/>
        <v>13</v>
      </c>
      <c r="X404" s="84"/>
      <c r="Y404" s="78">
        <f>SUM(E386:E404)</f>
        <v>12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A</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9"/>
      <c r="N405" s="279"/>
      <c r="O405" s="279"/>
      <c r="P405" s="279"/>
      <c r="Q405" s="279"/>
      <c r="R405" s="279"/>
      <c r="S405" s="279"/>
      <c r="T405" s="279"/>
      <c r="U405" s="280"/>
      <c r="V405" s="103"/>
      <c r="W405" s="84">
        <f t="shared" si="169"/>
        <v>13</v>
      </c>
      <c r="X405" s="84"/>
      <c r="Y405" s="78">
        <f>SUM(E386:E405)</f>
        <v>12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A</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9"/>
      <c r="N406" s="279"/>
      <c r="O406" s="279"/>
      <c r="P406" s="279"/>
      <c r="Q406" s="279"/>
      <c r="R406" s="279"/>
      <c r="S406" s="279"/>
      <c r="T406" s="279"/>
      <c r="U406" s="280"/>
      <c r="V406" s="103"/>
      <c r="W406" s="84">
        <f t="shared" si="169"/>
        <v>13</v>
      </c>
      <c r="X406" s="84"/>
      <c r="Y406" s="78">
        <f>SUM(E386:E406)</f>
        <v>12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A</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9"/>
      <c r="N407" s="279"/>
      <c r="O407" s="279"/>
      <c r="P407" s="279"/>
      <c r="Q407" s="279"/>
      <c r="R407" s="279"/>
      <c r="S407" s="279"/>
      <c r="T407" s="279"/>
      <c r="U407" s="280"/>
      <c r="V407" s="103"/>
      <c r="W407" s="84">
        <f t="shared" si="169"/>
        <v>13</v>
      </c>
      <c r="X407" s="84"/>
      <c r="Y407" s="78">
        <f>SUM(E386:E407)</f>
        <v>12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A</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9"/>
      <c r="N408" s="279"/>
      <c r="O408" s="279"/>
      <c r="P408" s="279"/>
      <c r="Q408" s="279"/>
      <c r="R408" s="279"/>
      <c r="S408" s="279"/>
      <c r="T408" s="279"/>
      <c r="U408" s="280"/>
      <c r="V408" s="103"/>
      <c r="W408" s="84">
        <f t="shared" si="169"/>
        <v>13</v>
      </c>
      <c r="X408" s="84"/>
      <c r="Y408" s="78">
        <f>SUM(E386:E408)</f>
        <v>12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A</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9"/>
      <c r="N409" s="279"/>
      <c r="O409" s="279"/>
      <c r="P409" s="279"/>
      <c r="Q409" s="279"/>
      <c r="R409" s="279"/>
      <c r="S409" s="279"/>
      <c r="T409" s="279"/>
      <c r="U409" s="280"/>
      <c r="V409" s="103"/>
      <c r="W409" s="84">
        <f t="shared" si="169"/>
        <v>13</v>
      </c>
      <c r="X409" s="84"/>
      <c r="Y409" s="78">
        <f>SUM(E386:E409)</f>
        <v>12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A</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9"/>
      <c r="N410" s="279"/>
      <c r="O410" s="279"/>
      <c r="P410" s="279"/>
      <c r="Q410" s="279"/>
      <c r="R410" s="279"/>
      <c r="S410" s="279"/>
      <c r="T410" s="279"/>
      <c r="U410" s="280"/>
      <c r="V410" s="103"/>
      <c r="W410" s="72"/>
      <c r="X410" s="72"/>
      <c r="Y410" s="78">
        <f>SUM(E386:E410)</f>
        <v>12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A</v>
      </c>
      <c r="AM410" s="109">
        <f t="shared" si="158"/>
        <v>0</v>
      </c>
      <c r="AN410" s="109">
        <f t="shared" si="159"/>
        <v>0</v>
      </c>
      <c r="AO410" s="109" t="str">
        <f t="shared" si="160"/>
        <v/>
      </c>
      <c r="AQ410" s="109" t="str">
        <f t="shared" si="161"/>
        <v/>
      </c>
      <c r="BA410" s="228"/>
    </row>
    <row r="411" spans="1:53" ht="16.5" thickBot="1" x14ac:dyDescent="0.3">
      <c r="A411" s="88"/>
      <c r="B411" s="320" t="s">
        <v>323</v>
      </c>
      <c r="C411" s="321"/>
      <c r="D411" s="79"/>
      <c r="E411" s="80"/>
      <c r="F411" s="80"/>
      <c r="G411" s="81"/>
      <c r="H411" s="192"/>
      <c r="I411" s="192"/>
      <c r="J411" s="192"/>
      <c r="K411" s="82"/>
      <c r="L411" s="320" t="s">
        <v>306</v>
      </c>
      <c r="M411" s="331"/>
      <c r="N411" s="331"/>
      <c r="O411" s="331"/>
      <c r="P411" s="331"/>
      <c r="Q411" s="331"/>
      <c r="R411" s="331"/>
      <c r="S411" s="331"/>
      <c r="T411" s="331"/>
      <c r="U411" s="321"/>
      <c r="V411" s="104"/>
      <c r="W411" s="72"/>
      <c r="X411" s="72"/>
      <c r="Y411" s="72"/>
      <c r="Z411" s="72"/>
      <c r="AA411" s="72" t="str">
        <f t="shared" si="168"/>
        <v/>
      </c>
      <c r="AB411" s="72"/>
      <c r="AC411" s="72">
        <f>SUM(AC386:AC410)</f>
        <v>25</v>
      </c>
      <c r="AD411" s="72">
        <f>SUM(AD386:AD410)</f>
        <v>23</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20" t="s">
        <v>307</v>
      </c>
      <c r="C412" s="321"/>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3" t="s">
        <v>222</v>
      </c>
      <c r="C416" s="314"/>
      <c r="D416" s="315" t="s">
        <v>223</v>
      </c>
      <c r="E416" s="306"/>
      <c r="F416" s="88"/>
      <c r="G416" s="316" t="s">
        <v>224</v>
      </c>
      <c r="H416" s="317"/>
      <c r="I416" s="28">
        <f>SUM(E427:E451)</f>
        <v>216</v>
      </c>
      <c r="J416" s="318" t="s">
        <v>225</v>
      </c>
      <c r="K416" s="319"/>
      <c r="L416" s="306"/>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6" t="s">
        <v>226</v>
      </c>
      <c r="AA416" s="297"/>
      <c r="AB416" s="298"/>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5" t="s">
        <v>230</v>
      </c>
      <c r="H417" s="306"/>
      <c r="I417" s="33">
        <f>E418-I416</f>
        <v>0</v>
      </c>
      <c r="J417" s="290" t="s">
        <v>231</v>
      </c>
      <c r="K417" s="291"/>
      <c r="L417" s="34">
        <f>I421</f>
        <v>397</v>
      </c>
      <c r="M417" s="196">
        <v>4</v>
      </c>
      <c r="N417" s="35">
        <f>SUM(AI417,AI428)</f>
        <v>0</v>
      </c>
      <c r="O417" s="35">
        <v>0</v>
      </c>
      <c r="P417" s="35">
        <f>SUM(AJ417,AJ428)</f>
        <v>0</v>
      </c>
      <c r="Q417" s="35">
        <v>0</v>
      </c>
      <c r="R417" s="35">
        <f>COUNTIFS($E427:$E451,"4",$F427:$F451,"Pole",$C427:$C451,"FST")</f>
        <v>7</v>
      </c>
      <c r="S417" s="35">
        <f>SUM(AL417,AK428)</f>
        <v>0</v>
      </c>
      <c r="T417" s="35">
        <v>0</v>
      </c>
      <c r="U417" s="35">
        <f>SUM(AK417,AL428)</f>
        <v>7</v>
      </c>
      <c r="V417" s="35">
        <v>0</v>
      </c>
      <c r="W417" s="34">
        <f>COUNTIFS($E427:$E451,"4",$F427:$F451,"HH",$C427:$C451,"FST")</f>
        <v>0</v>
      </c>
      <c r="X417" s="35">
        <f>COUNTIFS($E427:$E451,"4",$F427:$F451,"Ped",$C427:$C451,"FST")</f>
        <v>0</v>
      </c>
      <c r="Y417" s="25"/>
      <c r="Z417" s="299" t="s">
        <v>232</v>
      </c>
      <c r="AA417" s="301" t="s">
        <v>233</v>
      </c>
      <c r="AB417" s="302"/>
      <c r="AC417" s="25"/>
      <c r="AD417" s="25"/>
      <c r="AH417" s="109">
        <v>4</v>
      </c>
      <c r="AI417" s="109" t="str">
        <f>IF($E417="SS",COUNTIFS($C427:$C451,"FST",$E427:$E451,"4"),"0")</f>
        <v>0</v>
      </c>
      <c r="AJ417" s="109" t="str">
        <f>IF($E417="RPX",COUNTIFS($C427:$C451,"FST",$E427:$E451,"4"),"0")</f>
        <v>0</v>
      </c>
      <c r="AK417" s="109">
        <f>IF($E417="EUC",COUNTIFS($C427:$C451,"FST",$E427:$E451,"4"),"0")</f>
        <v>7</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216</v>
      </c>
      <c r="F418" s="88"/>
      <c r="G418" s="292" t="s">
        <v>237</v>
      </c>
      <c r="H418" s="293"/>
      <c r="I418" s="35">
        <f>IF(E418=0,0,12-(MOD(I416,12)))</f>
        <v>12</v>
      </c>
      <c r="J418" s="290" t="s">
        <v>238</v>
      </c>
      <c r="K418" s="291"/>
      <c r="L418" s="39">
        <f>I422-I416</f>
        <v>396</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0"/>
      <c r="AA418" s="303"/>
      <c r="AB418" s="304"/>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322" t="s">
        <v>242</v>
      </c>
      <c r="H419" s="43" t="s">
        <v>243</v>
      </c>
      <c r="I419" s="35">
        <f>IF(E419&lt;&gt;0,1,0)</f>
        <v>0</v>
      </c>
      <c r="J419" s="292" t="s">
        <v>244</v>
      </c>
      <c r="K419" s="293"/>
      <c r="L419" s="44">
        <f>'Cable Calculator'!BB3</f>
        <v>2799</v>
      </c>
      <c r="M419" s="196">
        <v>8</v>
      </c>
      <c r="N419" s="35">
        <f>SUM(AI419,AI430)</f>
        <v>0</v>
      </c>
      <c r="O419" s="35">
        <v>0</v>
      </c>
      <c r="P419" s="35">
        <f>SUM(AJ419,AJ430)</f>
        <v>0</v>
      </c>
      <c r="Q419" s="35">
        <v>0</v>
      </c>
      <c r="R419" s="35">
        <f>COUNTIFS($E427:$E451,"8",$F427:$F451,"Pole",$C427:$C451,"FST")</f>
        <v>1</v>
      </c>
      <c r="S419" s="35">
        <f>SUM(AL419,AK430)</f>
        <v>0</v>
      </c>
      <c r="T419" s="35">
        <v>0</v>
      </c>
      <c r="U419" s="35">
        <f>SUM(AK419,AL430)</f>
        <v>1</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1</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397</v>
      </c>
      <c r="F420" s="88"/>
      <c r="G420" s="323"/>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1</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18</v>
      </c>
      <c r="F421" s="88"/>
      <c r="G421" s="322" t="s">
        <v>251</v>
      </c>
      <c r="H421" s="51" t="s">
        <v>252</v>
      </c>
      <c r="I421" s="112">
        <f>E420</f>
        <v>397</v>
      </c>
      <c r="J421" s="324" t="s">
        <v>253</v>
      </c>
      <c r="K421" s="325"/>
      <c r="L421" s="326"/>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3"/>
      <c r="H422" s="47" t="s">
        <v>257</v>
      </c>
      <c r="I422" s="35">
        <f>IF(E420="","0",IF(AND(E417="EUC",E418=432), I421+(203-E419),IF(E420=0,0,(E420+(E418-E419)-1))))</f>
        <v>612</v>
      </c>
      <c r="J422" s="287" t="str">
        <f>IFERROR(IF(OR(E417="EUC",E417="SS"),"---",IF(OR(P416,S416),"NO 2F Tethers for RPX!",IF(OR(P418,S418),"NO 6F Tethers for RPX!","---"))),"---")</f>
        <v>---</v>
      </c>
      <c r="K422" s="288"/>
      <c r="L422" s="289"/>
      <c r="M422" s="287" t="str">
        <f>IF(E419&gt;60,"Dead Count &gt;60: Consider Downsize","---")</f>
        <v>---</v>
      </c>
      <c r="N422" s="288"/>
      <c r="O422" s="288"/>
      <c r="P422" s="288"/>
      <c r="Q422" s="288"/>
      <c r="R422" s="288"/>
      <c r="S422" s="288"/>
      <c r="T422" s="288"/>
      <c r="U422" s="289"/>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216</v>
      </c>
      <c r="D423" s="31" t="s">
        <v>259</v>
      </c>
      <c r="E423" s="101" t="str">
        <f>IF(AS417="Y","DBL",IF(AS418="Y","TRPL",IF(AS419="Y","QUAD","")))</f>
        <v/>
      </c>
      <c r="F423" s="88"/>
      <c r="G423" s="192"/>
      <c r="H423" s="57"/>
      <c r="I423" s="192"/>
      <c r="J423" s="287"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8"/>
      <c r="L423" s="289"/>
      <c r="M423" s="287" t="str">
        <f>IF(AND(OR(E417="SS",E417="RPX",E417="EUC",E417="RPX-T"),(OR(C427="",C427="Field SPL"))),"Cannot have FlexNap cables without tethers","---")</f>
        <v>---</v>
      </c>
      <c r="N423" s="288"/>
      <c r="O423" s="288"/>
      <c r="P423" s="288"/>
      <c r="Q423" s="288"/>
      <c r="R423" s="288"/>
      <c r="S423" s="288"/>
      <c r="T423" s="288"/>
      <c r="U423" s="289"/>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7" t="str">
        <f>IF(AND(OR(E417="RPX", E417="RPX-T", E417="SS"),E418=216),"NO 216 For RPX, RPX-T, OR SS CABLE","---")</f>
        <v>---</v>
      </c>
      <c r="K424" s="288"/>
      <c r="L424" s="289"/>
      <c r="M424" s="287" t="str" cm="1">
        <f t="array" ref="M424">IF(AND(E417="",OR(C427:C451="FST",C427:C451="REV T",C427:C451="DBL REV",C427:C451="TPL REV", C427:C451="QD REV")),"Non-FlexNap cables cannot have tethers","---")</f>
        <v>---</v>
      </c>
      <c r="N424" s="288"/>
      <c r="O424" s="288"/>
      <c r="P424" s="288"/>
      <c r="Q424" s="288"/>
      <c r="R424" s="288"/>
      <c r="S424" s="288"/>
      <c r="T424" s="288"/>
      <c r="U424" s="289"/>
      <c r="V424" s="25"/>
      <c r="W424" s="58"/>
      <c r="X424" s="58"/>
      <c r="Y424" s="25"/>
      <c r="Z424" s="45">
        <v>6</v>
      </c>
      <c r="AA424" s="65">
        <v>61</v>
      </c>
      <c r="AB424" s="65">
        <v>72</v>
      </c>
      <c r="AC424" s="25"/>
      <c r="AD424" s="25"/>
      <c r="BA424" s="226"/>
    </row>
    <row r="425" spans="1:53" ht="15.75" customHeight="1" thickBot="1" x14ac:dyDescent="0.3">
      <c r="A425" s="88"/>
      <c r="B425" s="322" t="s">
        <v>260</v>
      </c>
      <c r="C425" s="294" t="s">
        <v>261</v>
      </c>
      <c r="D425" s="294" t="s">
        <v>262</v>
      </c>
      <c r="E425" s="307" t="s">
        <v>263</v>
      </c>
      <c r="F425" s="294" t="s">
        <v>264</v>
      </c>
      <c r="G425" s="309" t="s">
        <v>265</v>
      </c>
      <c r="H425" s="309" t="s">
        <v>266</v>
      </c>
      <c r="I425" s="309" t="s">
        <v>267</v>
      </c>
      <c r="J425" s="311" t="s">
        <v>268</v>
      </c>
      <c r="K425" s="294" t="s">
        <v>269</v>
      </c>
      <c r="L425" s="281" t="s">
        <v>270</v>
      </c>
      <c r="M425" s="283" t="s">
        <v>271</v>
      </c>
      <c r="N425" s="283"/>
      <c r="O425" s="283"/>
      <c r="P425" s="283"/>
      <c r="Q425" s="283"/>
      <c r="R425" s="283"/>
      <c r="S425" s="283"/>
      <c r="T425" s="283"/>
      <c r="U425" s="284"/>
      <c r="V425" s="107"/>
      <c r="W425" s="72"/>
      <c r="X425" s="72"/>
      <c r="Y425" s="72"/>
      <c r="Z425" s="45">
        <v>7</v>
      </c>
      <c r="AA425" s="65">
        <v>73</v>
      </c>
      <c r="AB425" s="65">
        <v>84</v>
      </c>
      <c r="AC425" s="25"/>
      <c r="AD425" s="25"/>
      <c r="BA425" s="228"/>
    </row>
    <row r="426" spans="1:53" ht="15.75" thickBot="1" x14ac:dyDescent="0.3">
      <c r="A426" s="88"/>
      <c r="B426" s="323"/>
      <c r="C426" s="295"/>
      <c r="D426" s="295"/>
      <c r="E426" s="308"/>
      <c r="F426" s="295"/>
      <c r="G426" s="310"/>
      <c r="H426" s="310"/>
      <c r="I426" s="310"/>
      <c r="J426" s="312"/>
      <c r="K426" s="295"/>
      <c r="L426" s="282"/>
      <c r="M426" s="285"/>
      <c r="N426" s="285"/>
      <c r="O426" s="285"/>
      <c r="P426" s="285"/>
      <c r="Q426" s="285"/>
      <c r="R426" s="285"/>
      <c r="S426" s="285"/>
      <c r="T426" s="285"/>
      <c r="U426" s="286"/>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770</v>
      </c>
      <c r="E427" s="32">
        <v>4</v>
      </c>
      <c r="F427" s="32" t="s">
        <v>483</v>
      </c>
      <c r="G427" s="68" t="s">
        <v>277</v>
      </c>
      <c r="H427" s="69">
        <f>IF(I427=0,0,I427-(E427-1))</f>
        <v>609</v>
      </c>
      <c r="I427" s="70">
        <f>IF(E427=0,0,I422)</f>
        <v>612</v>
      </c>
      <c r="J427" s="71" t="s">
        <v>278</v>
      </c>
      <c r="K427" s="32"/>
      <c r="L427" s="233"/>
      <c r="M427" s="279"/>
      <c r="N427" s="279"/>
      <c r="O427" s="279"/>
      <c r="P427" s="279"/>
      <c r="Q427" s="279"/>
      <c r="R427" s="279"/>
      <c r="S427" s="279"/>
      <c r="T427" s="279"/>
      <c r="U427" s="280"/>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609-612</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771</v>
      </c>
      <c r="E428" s="32">
        <v>4</v>
      </c>
      <c r="F428" s="32" t="s">
        <v>483</v>
      </c>
      <c r="G428" s="68" t="s">
        <v>277</v>
      </c>
      <c r="H428" s="69">
        <f t="shared" ref="H428:H451" si="179">IF(E428=0,0,I428-(E428-1))</f>
        <v>605</v>
      </c>
      <c r="I428" s="70">
        <f t="shared" ref="I428:I451" si="180">IF(E428=0,0,H427-1)</f>
        <v>608</v>
      </c>
      <c r="J428" s="73" t="str">
        <f>IF(C428="","--",IF(AND(C428&lt;&gt;"FST",C428&lt;&gt;"TCF",BA427&lt;&gt;0),BA427,"--"))</f>
        <v>--</v>
      </c>
      <c r="K428" s="32"/>
      <c r="L428" s="233"/>
      <c r="M428" s="279"/>
      <c r="N428" s="279"/>
      <c r="O428" s="279"/>
      <c r="P428" s="279"/>
      <c r="Q428" s="279"/>
      <c r="R428" s="279"/>
      <c r="S428" s="279"/>
      <c r="T428" s="279"/>
      <c r="U428" s="280"/>
      <c r="V428" s="103"/>
      <c r="W428" s="72"/>
      <c r="X428" s="72"/>
      <c r="Y428" s="72"/>
      <c r="Z428" s="45">
        <v>10</v>
      </c>
      <c r="AA428" s="46">
        <v>109</v>
      </c>
      <c r="AB428" s="46">
        <v>120</v>
      </c>
      <c r="AC428" s="72">
        <f t="shared" si="170"/>
        <v>1</v>
      </c>
      <c r="AD428" s="72">
        <f t="shared" si="171"/>
        <v>0</v>
      </c>
      <c r="AE428" s="109" t="str">
        <f t="shared" si="172"/>
        <v>605-608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8</v>
      </c>
    </row>
    <row r="429" spans="1:53" ht="15.75" thickBot="1" x14ac:dyDescent="0.3">
      <c r="A429" s="88"/>
      <c r="B429" s="74" t="s">
        <v>280</v>
      </c>
      <c r="C429" s="67" t="s">
        <v>484</v>
      </c>
      <c r="D429" s="102" t="s">
        <v>772</v>
      </c>
      <c r="E429" s="32">
        <v>4</v>
      </c>
      <c r="F429" s="32" t="s">
        <v>483</v>
      </c>
      <c r="G429" s="75" t="s">
        <v>277</v>
      </c>
      <c r="H429" s="69">
        <f t="shared" si="179"/>
        <v>601</v>
      </c>
      <c r="I429" s="70">
        <f t="shared" si="180"/>
        <v>604</v>
      </c>
      <c r="J429" s="73" t="str">
        <f t="shared" ref="J429:J451" si="181">IF(C429="","--",IF(AND(C429&lt;&gt;"FST",C429&lt;&gt;"TCF",BA428&lt;&gt;0),BA428,"--"))</f>
        <v>--</v>
      </c>
      <c r="K429" s="32"/>
      <c r="L429" s="233"/>
      <c r="M429" s="279"/>
      <c r="N429" s="279"/>
      <c r="O429" s="279"/>
      <c r="P429" s="279"/>
      <c r="Q429" s="279"/>
      <c r="R429" s="279"/>
      <c r="S429" s="279"/>
      <c r="T429" s="279"/>
      <c r="U429" s="280"/>
      <c r="V429" s="103"/>
      <c r="W429" s="72"/>
      <c r="X429" s="72"/>
      <c r="Y429" s="72"/>
      <c r="Z429" s="45">
        <v>11</v>
      </c>
      <c r="AA429" s="46">
        <v>121</v>
      </c>
      <c r="AB429" s="46">
        <v>132</v>
      </c>
      <c r="AC429" s="72">
        <f t="shared" si="170"/>
        <v>1</v>
      </c>
      <c r="AD429" s="72">
        <f t="shared" si="171"/>
        <v>0</v>
      </c>
      <c r="AE429" s="109" t="str">
        <f t="shared" si="172"/>
        <v>601-604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4</v>
      </c>
    </row>
    <row r="430" spans="1:53" ht="15.75" thickBot="1" x14ac:dyDescent="0.3">
      <c r="A430" s="88"/>
      <c r="B430" s="66" t="s">
        <v>281</v>
      </c>
      <c r="C430" s="67" t="s">
        <v>484</v>
      </c>
      <c r="D430" s="102" t="s">
        <v>773</v>
      </c>
      <c r="E430" s="32">
        <v>4</v>
      </c>
      <c r="F430" s="32" t="s">
        <v>483</v>
      </c>
      <c r="G430" s="68" t="s">
        <v>277</v>
      </c>
      <c r="H430" s="69">
        <f t="shared" si="179"/>
        <v>597</v>
      </c>
      <c r="I430" s="70">
        <f t="shared" si="180"/>
        <v>600</v>
      </c>
      <c r="J430" s="73" t="str">
        <f t="shared" si="181"/>
        <v>--</v>
      </c>
      <c r="K430" s="32"/>
      <c r="L430" s="233"/>
      <c r="M430" s="279"/>
      <c r="N430" s="279"/>
      <c r="O430" s="279"/>
      <c r="P430" s="279"/>
      <c r="Q430" s="279"/>
      <c r="R430" s="279"/>
      <c r="S430" s="279"/>
      <c r="T430" s="279"/>
      <c r="U430" s="280"/>
      <c r="V430" s="103"/>
      <c r="W430" s="72"/>
      <c r="X430" s="72"/>
      <c r="Y430" s="72"/>
      <c r="Z430" s="45">
        <v>12</v>
      </c>
      <c r="AA430" s="76">
        <v>133</v>
      </c>
      <c r="AB430" s="76">
        <v>144</v>
      </c>
      <c r="AC430" s="72">
        <f t="shared" si="170"/>
        <v>1</v>
      </c>
      <c r="AD430" s="72">
        <f t="shared" si="171"/>
        <v>0</v>
      </c>
      <c r="AE430" s="109" t="str">
        <f t="shared" si="172"/>
        <v>597-600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8</v>
      </c>
    </row>
    <row r="431" spans="1:53" ht="15.75" thickBot="1" x14ac:dyDescent="0.3">
      <c r="A431" s="88"/>
      <c r="B431" s="66" t="s">
        <v>282</v>
      </c>
      <c r="C431" s="67" t="s">
        <v>484</v>
      </c>
      <c r="D431" s="102" t="s">
        <v>774</v>
      </c>
      <c r="E431" s="32">
        <v>4</v>
      </c>
      <c r="F431" s="32" t="s">
        <v>483</v>
      </c>
      <c r="G431" s="68" t="s">
        <v>277</v>
      </c>
      <c r="H431" s="69">
        <f t="shared" si="179"/>
        <v>593</v>
      </c>
      <c r="I431" s="70">
        <f t="shared" si="180"/>
        <v>596</v>
      </c>
      <c r="J431" s="73" t="str">
        <f t="shared" si="181"/>
        <v>--</v>
      </c>
      <c r="K431" s="32"/>
      <c r="L431" s="233"/>
      <c r="M431" s="279"/>
      <c r="N431" s="279"/>
      <c r="O431" s="279"/>
      <c r="P431" s="279"/>
      <c r="Q431" s="279"/>
      <c r="R431" s="279"/>
      <c r="S431" s="279"/>
      <c r="T431" s="279"/>
      <c r="U431" s="280"/>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593-596</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t="s">
        <v>484</v>
      </c>
      <c r="D432" s="102" t="s">
        <v>775</v>
      </c>
      <c r="E432" s="32">
        <v>4</v>
      </c>
      <c r="F432" s="32" t="s">
        <v>483</v>
      </c>
      <c r="G432" s="68" t="s">
        <v>277</v>
      </c>
      <c r="H432" s="69">
        <f t="shared" si="179"/>
        <v>589</v>
      </c>
      <c r="I432" s="70">
        <f t="shared" si="180"/>
        <v>592</v>
      </c>
      <c r="J432" s="73" t="str">
        <f t="shared" si="181"/>
        <v>--</v>
      </c>
      <c r="K432" s="32"/>
      <c r="L432" s="233"/>
      <c r="M432" s="279"/>
      <c r="N432" s="279"/>
      <c r="O432" s="279"/>
      <c r="P432" s="279"/>
      <c r="Q432" s="279"/>
      <c r="R432" s="279"/>
      <c r="S432" s="279"/>
      <c r="T432" s="279"/>
      <c r="U432" s="280"/>
      <c r="V432" s="103"/>
      <c r="W432" s="72"/>
      <c r="X432" s="72"/>
      <c r="Y432" s="72"/>
      <c r="Z432" s="45">
        <v>14</v>
      </c>
      <c r="AA432" s="77">
        <f t="shared" si="182"/>
        <v>157</v>
      </c>
      <c r="AB432" s="77">
        <f t="shared" si="183"/>
        <v>168</v>
      </c>
      <c r="AC432" s="72">
        <f t="shared" si="170"/>
        <v>1</v>
      </c>
      <c r="AD432" s="72">
        <f t="shared" si="171"/>
        <v>0</v>
      </c>
      <c r="AE432" s="109" t="str">
        <f t="shared" si="172"/>
        <v>589-592</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t="s">
        <v>494</v>
      </c>
      <c r="D433" s="102"/>
      <c r="E433" s="32">
        <v>12</v>
      </c>
      <c r="F433" s="32"/>
      <c r="G433" s="68" t="s">
        <v>277</v>
      </c>
      <c r="H433" s="69">
        <f t="shared" si="179"/>
        <v>577</v>
      </c>
      <c r="I433" s="70">
        <f t="shared" si="180"/>
        <v>588</v>
      </c>
      <c r="J433" s="73" t="str">
        <f t="shared" si="181"/>
        <v>--</v>
      </c>
      <c r="K433" s="32"/>
      <c r="L433" s="233"/>
      <c r="M433" s="279" t="s">
        <v>417</v>
      </c>
      <c r="N433" s="279"/>
      <c r="O433" s="279"/>
      <c r="P433" s="279"/>
      <c r="Q433" s="279"/>
      <c r="R433" s="279"/>
      <c r="S433" s="279"/>
      <c r="T433" s="279"/>
      <c r="U433" s="280"/>
      <c r="V433" s="103"/>
      <c r="W433" s="72"/>
      <c r="X433" s="72"/>
      <c r="Y433" s="72"/>
      <c r="Z433" s="45">
        <v>15</v>
      </c>
      <c r="AA433" s="77">
        <f t="shared" si="182"/>
        <v>169</v>
      </c>
      <c r="AB433" s="77">
        <f t="shared" si="183"/>
        <v>180</v>
      </c>
      <c r="AC433" s="72">
        <f t="shared" si="170"/>
        <v>1</v>
      </c>
      <c r="AD433" s="72">
        <f t="shared" si="171"/>
        <v>1</v>
      </c>
      <c r="AE433" s="109" t="str">
        <f t="shared" si="172"/>
        <v>577-588</v>
      </c>
      <c r="AF433" s="109" t="str">
        <f t="shared" si="173"/>
        <v>Y</v>
      </c>
      <c r="AG433" s="109" t="str">
        <f t="shared" si="174"/>
        <v>B</v>
      </c>
      <c r="AM433" s="109">
        <f t="shared" si="175"/>
        <v>1</v>
      </c>
      <c r="AN433" s="109">
        <f t="shared" si="176"/>
        <v>0</v>
      </c>
      <c r="AO433" s="109" t="str">
        <f t="shared" si="177"/>
        <v/>
      </c>
      <c r="AQ433" s="109" t="str">
        <f t="shared" si="178"/>
        <v/>
      </c>
      <c r="BA433" s="229">
        <f>MOD(SUM(E427:E434),12)</f>
        <v>8</v>
      </c>
    </row>
    <row r="434" spans="1:53" ht="15.75" thickBot="1" x14ac:dyDescent="0.3">
      <c r="A434" s="88"/>
      <c r="B434" s="66" t="s">
        <v>285</v>
      </c>
      <c r="C434" s="67" t="s">
        <v>484</v>
      </c>
      <c r="D434" s="102" t="s">
        <v>776</v>
      </c>
      <c r="E434" s="32">
        <v>8</v>
      </c>
      <c r="F434" s="32" t="s">
        <v>483</v>
      </c>
      <c r="G434" s="68" t="s">
        <v>277</v>
      </c>
      <c r="H434" s="69">
        <f t="shared" si="179"/>
        <v>569</v>
      </c>
      <c r="I434" s="70">
        <f t="shared" si="180"/>
        <v>576</v>
      </c>
      <c r="J434" s="73" t="str">
        <f t="shared" si="181"/>
        <v>--</v>
      </c>
      <c r="K434" s="32"/>
      <c r="L434" s="233"/>
      <c r="M434" s="279"/>
      <c r="N434" s="279"/>
      <c r="O434" s="279"/>
      <c r="P434" s="279"/>
      <c r="Q434" s="279"/>
      <c r="R434" s="279"/>
      <c r="S434" s="279"/>
      <c r="T434" s="279"/>
      <c r="U434" s="280"/>
      <c r="V434" s="103"/>
      <c r="W434" s="72"/>
      <c r="X434" s="72"/>
      <c r="Y434" s="72"/>
      <c r="Z434" s="45">
        <f>Z433+1</f>
        <v>16</v>
      </c>
      <c r="AA434" s="77">
        <f t="shared" si="182"/>
        <v>181</v>
      </c>
      <c r="AB434" s="77">
        <f t="shared" si="183"/>
        <v>192</v>
      </c>
      <c r="AC434" s="72">
        <f t="shared" si="170"/>
        <v>1</v>
      </c>
      <c r="AD434" s="72">
        <f t="shared" si="171"/>
        <v>0</v>
      </c>
      <c r="AE434" s="109" t="str">
        <f t="shared" si="172"/>
        <v>569-576</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t="s">
        <v>484</v>
      </c>
      <c r="D435" s="102" t="s">
        <v>777</v>
      </c>
      <c r="E435" s="32">
        <v>4</v>
      </c>
      <c r="F435" s="32" t="s">
        <v>483</v>
      </c>
      <c r="G435" s="68" t="s">
        <v>277</v>
      </c>
      <c r="H435" s="69">
        <f t="shared" si="179"/>
        <v>565</v>
      </c>
      <c r="I435" s="70">
        <f t="shared" si="180"/>
        <v>568</v>
      </c>
      <c r="J435" s="73" t="str">
        <f t="shared" si="181"/>
        <v>--</v>
      </c>
      <c r="K435" s="32"/>
      <c r="L435" s="233"/>
      <c r="M435" s="279"/>
      <c r="N435" s="279"/>
      <c r="O435" s="279"/>
      <c r="P435" s="279"/>
      <c r="Q435" s="279"/>
      <c r="R435" s="279"/>
      <c r="S435" s="279"/>
      <c r="T435" s="279"/>
      <c r="U435" s="280"/>
      <c r="V435" s="103"/>
      <c r="W435" s="72"/>
      <c r="X435" s="72"/>
      <c r="Y435" s="72"/>
      <c r="Z435" s="45">
        <f>Z434+1</f>
        <v>17</v>
      </c>
      <c r="AA435" s="77">
        <f t="shared" si="182"/>
        <v>193</v>
      </c>
      <c r="AB435" s="77">
        <f t="shared" si="183"/>
        <v>204</v>
      </c>
      <c r="AC435" s="72">
        <f t="shared" si="170"/>
        <v>1</v>
      </c>
      <c r="AD435" s="72">
        <f t="shared" si="171"/>
        <v>0</v>
      </c>
      <c r="AE435" s="109" t="str">
        <f t="shared" si="172"/>
        <v>565-568</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t="s">
        <v>502</v>
      </c>
      <c r="D436" s="102"/>
      <c r="E436" s="32">
        <v>36</v>
      </c>
      <c r="F436" s="32"/>
      <c r="G436" s="68" t="s">
        <v>277</v>
      </c>
      <c r="H436" s="69">
        <f t="shared" si="179"/>
        <v>529</v>
      </c>
      <c r="I436" s="70">
        <f t="shared" si="180"/>
        <v>564</v>
      </c>
      <c r="J436" s="73" t="str">
        <f t="shared" si="181"/>
        <v>--</v>
      </c>
      <c r="K436" s="32"/>
      <c r="L436" s="233"/>
      <c r="M436" s="279" t="s">
        <v>418</v>
      </c>
      <c r="N436" s="279"/>
      <c r="O436" s="279"/>
      <c r="P436" s="279"/>
      <c r="Q436" s="279"/>
      <c r="R436" s="279"/>
      <c r="S436" s="279"/>
      <c r="T436" s="279"/>
      <c r="U436" s="280"/>
      <c r="V436" s="103"/>
      <c r="W436" s="72"/>
      <c r="X436" s="72"/>
      <c r="Y436" s="72"/>
      <c r="Z436" s="45">
        <f>Z435+1</f>
        <v>18</v>
      </c>
      <c r="AA436" s="77">
        <f t="shared" si="182"/>
        <v>205</v>
      </c>
      <c r="AB436" s="77">
        <f t="shared" si="183"/>
        <v>216</v>
      </c>
      <c r="AC436" s="72">
        <f t="shared" si="170"/>
        <v>1</v>
      </c>
      <c r="AD436" s="72">
        <f t="shared" si="171"/>
        <v>1</v>
      </c>
      <c r="AE436" s="109" t="str">
        <f t="shared" si="172"/>
        <v>529-564</v>
      </c>
      <c r="AF436" s="109" t="str">
        <f t="shared" si="173"/>
        <v>N</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t="s">
        <v>502</v>
      </c>
      <c r="D437" s="102"/>
      <c r="E437" s="32">
        <v>132</v>
      </c>
      <c r="F437" s="32"/>
      <c r="G437" s="68" t="s">
        <v>277</v>
      </c>
      <c r="H437" s="69">
        <f t="shared" si="179"/>
        <v>397</v>
      </c>
      <c r="I437" s="70">
        <f t="shared" si="180"/>
        <v>528</v>
      </c>
      <c r="J437" s="73" t="str">
        <f t="shared" si="181"/>
        <v>--</v>
      </c>
      <c r="K437" s="32"/>
      <c r="L437" s="233"/>
      <c r="M437" s="279" t="s">
        <v>419</v>
      </c>
      <c r="N437" s="279"/>
      <c r="O437" s="279"/>
      <c r="P437" s="279"/>
      <c r="Q437" s="279"/>
      <c r="R437" s="279"/>
      <c r="S437" s="279"/>
      <c r="T437" s="279"/>
      <c r="U437" s="280"/>
      <c r="V437" s="103"/>
      <c r="W437" s="84"/>
      <c r="X437" s="84"/>
      <c r="Y437" s="72"/>
      <c r="Z437" s="72"/>
      <c r="AA437" s="72"/>
      <c r="AB437" s="72"/>
      <c r="AC437" s="72">
        <f t="shared" si="170"/>
        <v>1</v>
      </c>
      <c r="AD437" s="72">
        <f t="shared" si="171"/>
        <v>1</v>
      </c>
      <c r="AE437" s="109" t="str">
        <f t="shared" si="172"/>
        <v>397-528</v>
      </c>
      <c r="AF437" s="109" t="str">
        <f t="shared" si="173"/>
        <v>N</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9"/>
      <c r="N438" s="279"/>
      <c r="O438" s="279"/>
      <c r="P438" s="279"/>
      <c r="Q438" s="279"/>
      <c r="R438" s="279"/>
      <c r="S438" s="279"/>
      <c r="T438" s="279"/>
      <c r="U438" s="280"/>
      <c r="V438" s="103"/>
      <c r="W438" s="84">
        <f>Y438+1</f>
        <v>217</v>
      </c>
      <c r="X438" s="84"/>
      <c r="Y438" s="78">
        <f>SUM(E427:E438)</f>
        <v>216</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9"/>
      <c r="N439" s="279"/>
      <c r="O439" s="279"/>
      <c r="P439" s="279"/>
      <c r="Q439" s="279"/>
      <c r="R439" s="279"/>
      <c r="S439" s="279"/>
      <c r="T439" s="279"/>
      <c r="U439" s="280"/>
      <c r="V439" s="103"/>
      <c r="W439" s="84">
        <f>Y439+1</f>
        <v>217</v>
      </c>
      <c r="X439" s="84"/>
      <c r="Y439" s="78">
        <f>SUM(E427:E439)</f>
        <v>216</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9"/>
      <c r="N440" s="279"/>
      <c r="O440" s="279"/>
      <c r="P440" s="279"/>
      <c r="Q440" s="279"/>
      <c r="R440" s="279"/>
      <c r="S440" s="279"/>
      <c r="T440" s="279"/>
      <c r="U440" s="280"/>
      <c r="V440" s="103"/>
      <c r="W440" s="84">
        <f>Y440+1</f>
        <v>217</v>
      </c>
      <c r="X440" s="84"/>
      <c r="Y440" s="78">
        <f>SUM(E427:E440)</f>
        <v>216</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9"/>
      <c r="N441" s="279"/>
      <c r="O441" s="279"/>
      <c r="P441" s="279"/>
      <c r="Q441" s="279"/>
      <c r="R441" s="279"/>
      <c r="S441" s="279"/>
      <c r="T441" s="279"/>
      <c r="U441" s="280"/>
      <c r="V441" s="103"/>
      <c r="W441" s="84">
        <f>Y441+1</f>
        <v>217</v>
      </c>
      <c r="X441" s="84"/>
      <c r="Y441" s="78">
        <f>SUM(E427:E441)</f>
        <v>216</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9"/>
      <c r="N442" s="279"/>
      <c r="O442" s="279"/>
      <c r="P442" s="279"/>
      <c r="Q442" s="279"/>
      <c r="R442" s="279"/>
      <c r="S442" s="279"/>
      <c r="T442" s="279"/>
      <c r="U442" s="280"/>
      <c r="V442" s="103"/>
      <c r="W442" s="84">
        <f t="shared" ref="W442:W450" si="186">Y442+1</f>
        <v>217</v>
      </c>
      <c r="X442" s="84"/>
      <c r="Y442" s="78">
        <f>SUM(E427:E442)</f>
        <v>216</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9"/>
      <c r="N443" s="279"/>
      <c r="O443" s="279"/>
      <c r="P443" s="279"/>
      <c r="Q443" s="279"/>
      <c r="R443" s="279"/>
      <c r="S443" s="279"/>
      <c r="T443" s="279"/>
      <c r="U443" s="280"/>
      <c r="V443" s="103"/>
      <c r="W443" s="84">
        <f t="shared" si="186"/>
        <v>217</v>
      </c>
      <c r="X443" s="84"/>
      <c r="Y443" s="78">
        <f>SUM(E427:E443)</f>
        <v>216</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9"/>
      <c r="N444" s="279"/>
      <c r="O444" s="279"/>
      <c r="P444" s="279"/>
      <c r="Q444" s="279"/>
      <c r="R444" s="279"/>
      <c r="S444" s="279"/>
      <c r="T444" s="279"/>
      <c r="U444" s="280"/>
      <c r="V444" s="103"/>
      <c r="W444" s="84">
        <f t="shared" si="186"/>
        <v>217</v>
      </c>
      <c r="X444" s="84"/>
      <c r="Y444" s="78">
        <f>SUM(E427:E444)</f>
        <v>216</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9"/>
      <c r="N445" s="279"/>
      <c r="O445" s="279"/>
      <c r="P445" s="279"/>
      <c r="Q445" s="279"/>
      <c r="R445" s="279"/>
      <c r="S445" s="279"/>
      <c r="T445" s="279"/>
      <c r="U445" s="280"/>
      <c r="V445" s="103"/>
      <c r="W445" s="84">
        <f t="shared" si="186"/>
        <v>217</v>
      </c>
      <c r="X445" s="84"/>
      <c r="Y445" s="78">
        <f>SUM(E427:E445)</f>
        <v>216</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9"/>
      <c r="N446" s="279"/>
      <c r="O446" s="279"/>
      <c r="P446" s="279"/>
      <c r="Q446" s="279"/>
      <c r="R446" s="279"/>
      <c r="S446" s="279"/>
      <c r="T446" s="279"/>
      <c r="U446" s="280"/>
      <c r="V446" s="103"/>
      <c r="W446" s="84">
        <f t="shared" si="186"/>
        <v>217</v>
      </c>
      <c r="X446" s="84"/>
      <c r="Y446" s="78">
        <f>SUM(E427:E446)</f>
        <v>216</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9"/>
      <c r="N447" s="279"/>
      <c r="O447" s="279"/>
      <c r="P447" s="279"/>
      <c r="Q447" s="279"/>
      <c r="R447" s="279"/>
      <c r="S447" s="279"/>
      <c r="T447" s="279"/>
      <c r="U447" s="280"/>
      <c r="V447" s="103"/>
      <c r="W447" s="84">
        <f t="shared" si="186"/>
        <v>217</v>
      </c>
      <c r="X447" s="84"/>
      <c r="Y447" s="78">
        <f>SUM(E427:E447)</f>
        <v>216</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9"/>
      <c r="N448" s="279"/>
      <c r="O448" s="279"/>
      <c r="P448" s="279"/>
      <c r="Q448" s="279"/>
      <c r="R448" s="279"/>
      <c r="S448" s="279"/>
      <c r="T448" s="279"/>
      <c r="U448" s="280"/>
      <c r="V448" s="103"/>
      <c r="W448" s="84">
        <f t="shared" si="186"/>
        <v>217</v>
      </c>
      <c r="X448" s="84"/>
      <c r="Y448" s="78">
        <f>SUM(E427:E448)</f>
        <v>216</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9"/>
      <c r="N449" s="279"/>
      <c r="O449" s="279"/>
      <c r="P449" s="279"/>
      <c r="Q449" s="279"/>
      <c r="R449" s="279"/>
      <c r="S449" s="279"/>
      <c r="T449" s="279"/>
      <c r="U449" s="280"/>
      <c r="V449" s="103"/>
      <c r="W449" s="84">
        <f t="shared" si="186"/>
        <v>217</v>
      </c>
      <c r="X449" s="84"/>
      <c r="Y449" s="78">
        <f>SUM(E427:E449)</f>
        <v>216</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9"/>
      <c r="N450" s="279"/>
      <c r="O450" s="279"/>
      <c r="P450" s="279"/>
      <c r="Q450" s="279"/>
      <c r="R450" s="279"/>
      <c r="S450" s="279"/>
      <c r="T450" s="279"/>
      <c r="U450" s="280"/>
      <c r="V450" s="103"/>
      <c r="W450" s="84">
        <f t="shared" si="186"/>
        <v>217</v>
      </c>
      <c r="X450" s="84"/>
      <c r="Y450" s="78">
        <f>SUM(E427:E450)</f>
        <v>216</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9"/>
      <c r="N451" s="279"/>
      <c r="O451" s="279"/>
      <c r="P451" s="279"/>
      <c r="Q451" s="279"/>
      <c r="R451" s="279"/>
      <c r="S451" s="279"/>
      <c r="T451" s="279"/>
      <c r="U451" s="280"/>
      <c r="V451" s="103"/>
      <c r="W451" s="72"/>
      <c r="X451" s="72"/>
      <c r="Y451" s="78">
        <f>SUM(E427:E451)</f>
        <v>216</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20" t="s">
        <v>325</v>
      </c>
      <c r="C452" s="321"/>
      <c r="D452" s="79"/>
      <c r="E452" s="80"/>
      <c r="F452" s="80"/>
      <c r="G452" s="81"/>
      <c r="H452" s="192"/>
      <c r="I452" s="192"/>
      <c r="J452" s="192"/>
      <c r="K452" s="82"/>
      <c r="L452" s="320" t="s">
        <v>306</v>
      </c>
      <c r="M452" s="331"/>
      <c r="N452" s="331"/>
      <c r="O452" s="331"/>
      <c r="P452" s="331"/>
      <c r="Q452" s="331"/>
      <c r="R452" s="331"/>
      <c r="S452" s="331"/>
      <c r="T452" s="331"/>
      <c r="U452" s="321"/>
      <c r="V452" s="104"/>
      <c r="W452" s="72"/>
      <c r="X452" s="72"/>
      <c r="Y452" s="72"/>
      <c r="Z452" s="72"/>
      <c r="AA452" s="72" t="str">
        <f t="shared" si="185"/>
        <v/>
      </c>
      <c r="AB452" s="72"/>
      <c r="AC452" s="72">
        <f>SUM(AC427:AC451)</f>
        <v>25</v>
      </c>
      <c r="AD452" s="72">
        <f>SUM(AD427:AD451)</f>
        <v>17</v>
      </c>
      <c r="AM452" s="109">
        <f>SUM(AM427:AM451)</f>
        <v>1</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20" t="s">
        <v>307</v>
      </c>
      <c r="C453" s="321"/>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3" t="s">
        <v>222</v>
      </c>
      <c r="C457" s="314"/>
      <c r="D457" s="315" t="s">
        <v>223</v>
      </c>
      <c r="E457" s="306"/>
      <c r="F457" s="88"/>
      <c r="G457" s="316" t="s">
        <v>224</v>
      </c>
      <c r="H457" s="317"/>
      <c r="I457" s="28">
        <f>SUM(E468:E492)</f>
        <v>12</v>
      </c>
      <c r="J457" s="318" t="s">
        <v>225</v>
      </c>
      <c r="K457" s="319"/>
      <c r="L457" s="306"/>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6" t="s">
        <v>226</v>
      </c>
      <c r="AA457" s="297"/>
      <c r="AB457" s="298"/>
      <c r="AC457" s="25"/>
      <c r="AD457" s="25"/>
      <c r="AH457" s="109">
        <v>2</v>
      </c>
      <c r="AI457" s="109" t="str">
        <f>IF($E458="SS",COUNTIFS($C468:$C492,"FST",$E468:$E492,"2"),"0")</f>
        <v>0</v>
      </c>
      <c r="AJ457" s="109">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1</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RPX</v>
      </c>
      <c r="F458" s="88"/>
      <c r="G458" s="305" t="s">
        <v>230</v>
      </c>
      <c r="H458" s="306"/>
      <c r="I458" s="33">
        <f>E459-I457</f>
        <v>12</v>
      </c>
      <c r="J458" s="290" t="s">
        <v>231</v>
      </c>
      <c r="K458" s="291"/>
      <c r="L458" s="34">
        <f>I462</f>
        <v>757</v>
      </c>
      <c r="M458" s="196">
        <v>4</v>
      </c>
      <c r="N458" s="35">
        <f>SUM(AI458,AI469)</f>
        <v>0</v>
      </c>
      <c r="O458" s="35">
        <v>0</v>
      </c>
      <c r="P458" s="35">
        <f>SUM(AJ458,AJ469)</f>
        <v>1</v>
      </c>
      <c r="Q458" s="35">
        <v>0</v>
      </c>
      <c r="R458" s="35">
        <f>COUNTIFS($E468:$E492,"4",$F468:$F492,"Pole",$C468:$C492,"FST")</f>
        <v>1</v>
      </c>
      <c r="S458" s="35">
        <f>SUM(AL458,AK469)</f>
        <v>0</v>
      </c>
      <c r="T458" s="35">
        <v>0</v>
      </c>
      <c r="U458" s="35">
        <f>SUM(AK458,AL469)</f>
        <v>0</v>
      </c>
      <c r="V458" s="35">
        <v>0</v>
      </c>
      <c r="W458" s="34">
        <f>COUNTIFS($E468:$E492,"4",$F468:$F492,"HH",$C468:$C492,"FST")</f>
        <v>0</v>
      </c>
      <c r="X458" s="35">
        <f>COUNTIFS($E468:$E492,"4",$F468:$F492,"Ped",$C468:$C492,"FST")</f>
        <v>0</v>
      </c>
      <c r="Y458" s="25"/>
      <c r="Z458" s="299" t="s">
        <v>232</v>
      </c>
      <c r="AA458" s="301" t="s">
        <v>233</v>
      </c>
      <c r="AB458" s="302"/>
      <c r="AC458" s="25"/>
      <c r="AD458" s="25"/>
      <c r="AH458" s="109">
        <v>4</v>
      </c>
      <c r="AI458" s="109" t="str">
        <f>IF($E458="SS",COUNTIFS($C468:$C492,"FST",$E468:$E492,"4"),"0")</f>
        <v>0</v>
      </c>
      <c r="AJ458" s="109">
        <f>IF($E458="RPX",COUNTIFS($C468:$C492,"FST",$E468:$E492,"4"),"0")</f>
        <v>1</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24</v>
      </c>
      <c r="F459" s="88"/>
      <c r="G459" s="292" t="s">
        <v>237</v>
      </c>
      <c r="H459" s="293"/>
      <c r="I459" s="35">
        <f>IF(E459=0,0,12-(MOD(I457,12)))</f>
        <v>12</v>
      </c>
      <c r="J459" s="290" t="s">
        <v>238</v>
      </c>
      <c r="K459" s="291"/>
      <c r="L459" s="39">
        <f>I463-I457</f>
        <v>756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0"/>
      <c r="AA459" s="303"/>
      <c r="AB459" s="304"/>
      <c r="AC459" s="25"/>
      <c r="AD459" s="25"/>
      <c r="AH459" s="109">
        <v>6</v>
      </c>
      <c r="AI459" s="109" t="str">
        <f>IF($E458="SS",COUNTIFS($C468:$C492,"FST",$E468:$E492,"6"),"0")</f>
        <v>0</v>
      </c>
      <c r="AJ459" s="109">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12</v>
      </c>
      <c r="F460" s="88"/>
      <c r="G460" s="322" t="s">
        <v>242</v>
      </c>
      <c r="H460" s="43" t="s">
        <v>243</v>
      </c>
      <c r="I460" s="35">
        <f>IF(E460&lt;&gt;0,1,0)</f>
        <v>1</v>
      </c>
      <c r="J460" s="292" t="s">
        <v>244</v>
      </c>
      <c r="K460" s="293"/>
      <c r="L460" s="44">
        <f>'Cable Calculator'!BG3</f>
        <v>649</v>
      </c>
      <c r="M460" s="196">
        <v>8</v>
      </c>
      <c r="N460" s="35">
        <f>SUM(AI460,AI471)</f>
        <v>0</v>
      </c>
      <c r="O460" s="35">
        <v>0</v>
      </c>
      <c r="P460" s="35">
        <f>SUM(AJ460,AJ471)</f>
        <v>1</v>
      </c>
      <c r="Q460" s="35">
        <v>0</v>
      </c>
      <c r="R460" s="35">
        <f>COUNTIFS($E468:$E492,"8",$F468:$F492,"Pole",$C468:$C492,"FST")</f>
        <v>1</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f>IF($E458="RPX",COUNTIFS($C468:$C492,"FST",$E468:$E492,"8"),"0")</f>
        <v>1</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757</v>
      </c>
      <c r="F461" s="88"/>
      <c r="G461" s="323"/>
      <c r="H461" s="47" t="s">
        <v>248</v>
      </c>
      <c r="I461" s="35">
        <f>IF(E460&lt;&gt;0,E460,0)</f>
        <v>12</v>
      </c>
      <c r="J461" s="194"/>
      <c r="K461" s="195"/>
      <c r="L461" s="48"/>
      <c r="M461" s="196">
        <v>12</v>
      </c>
      <c r="N461" s="35" t="str">
        <f>IF($E458="SS",SUM(AI461,AJ472,AM493,AO493,AQ493),"0")</f>
        <v>0</v>
      </c>
      <c r="O461" s="35" t="str">
        <f>IF($E458="SS",SUM(AN493,AP493,AR493),"0")</f>
        <v>0</v>
      </c>
      <c r="P461" s="35">
        <f>IF($E458="RPX",SUM(AJ461,AJ472,AM493,AO493,AQ493),"0")</f>
        <v>0</v>
      </c>
      <c r="Q461" s="35">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322" t="s">
        <v>251</v>
      </c>
      <c r="H462" s="51" t="s">
        <v>252</v>
      </c>
      <c r="I462" s="112">
        <f>E461</f>
        <v>757</v>
      </c>
      <c r="J462" s="324" t="s">
        <v>253</v>
      </c>
      <c r="K462" s="325"/>
      <c r="L462" s="326"/>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323"/>
      <c r="H463" s="47" t="s">
        <v>257</v>
      </c>
      <c r="I463" s="35">
        <f>IF(E461="","0",IF(AND(E458="EUC",E459=432), I462+(203-E460),IF(E461=0,0,(E461+(E459-E460)-1))))</f>
        <v>768</v>
      </c>
      <c r="J463" s="287" t="str">
        <f>IFERROR(IF(OR(E458="EUC",E458="SS"),"---",IF(OR(P457,S457),"NO 2F Tethers for RPX!",IF(OR(P459,S459),"NO 6F Tethers for RPX!","---"))),"---")</f>
        <v>---</v>
      </c>
      <c r="K463" s="288"/>
      <c r="L463" s="289"/>
      <c r="M463" s="287" t="str">
        <f>IF(E460&gt;60,"Dead Count &gt;60: Consider Downsize","---")</f>
        <v>---</v>
      </c>
      <c r="N463" s="288"/>
      <c r="O463" s="288"/>
      <c r="P463" s="288"/>
      <c r="Q463" s="288"/>
      <c r="R463" s="288"/>
      <c r="S463" s="288"/>
      <c r="T463" s="288"/>
      <c r="U463" s="289"/>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12</v>
      </c>
      <c r="D464" s="31" t="s">
        <v>259</v>
      </c>
      <c r="E464" s="101" t="str">
        <f>IF(AS458="Y","DBL",IF(AS459="Y","TRPL",IF(AS460="Y","QUAD","")))</f>
        <v/>
      </c>
      <c r="F464" s="88"/>
      <c r="G464" s="192"/>
      <c r="H464" s="57"/>
      <c r="I464" s="192"/>
      <c r="J464" s="287"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8"/>
      <c r="L464" s="289"/>
      <c r="M464" s="287" t="str">
        <f>IF(AND(OR(E458="SS",E458="RPX",E458="EUC",E458="RPX-T"),(OR(C468="",C468="Field SPL"))),"Cannot have FlexNap cables without tethers","---")</f>
        <v>---</v>
      </c>
      <c r="N464" s="288"/>
      <c r="O464" s="288"/>
      <c r="P464" s="288"/>
      <c r="Q464" s="288"/>
      <c r="R464" s="288"/>
      <c r="S464" s="288"/>
      <c r="T464" s="288"/>
      <c r="U464" s="289"/>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7" t="str">
        <f>IF(AND(OR(E458="RPX", E458="RPX-T", E458="SS"),E459=216),"NO 216 For RPX, RPX-T, OR SS CABLE","---")</f>
        <v>---</v>
      </c>
      <c r="K465" s="288"/>
      <c r="L465" s="289"/>
      <c r="M465" s="287" t="str" cm="1">
        <f t="array" ref="M465">IF(AND(E458="",OR(C468:C492="FST",C468:C492="REV T",C468:C492="DBL REV",C468:C492="TPL REV", C468:C492="QD REV")),"Non-FlexNap cables cannot have tethers","---")</f>
        <v>---</v>
      </c>
      <c r="N465" s="288"/>
      <c r="O465" s="288"/>
      <c r="P465" s="288"/>
      <c r="Q465" s="288"/>
      <c r="R465" s="288"/>
      <c r="S465" s="288"/>
      <c r="T465" s="288"/>
      <c r="U465" s="289"/>
      <c r="V465" s="25"/>
      <c r="W465" s="58"/>
      <c r="X465" s="58"/>
      <c r="Y465" s="25"/>
      <c r="Z465" s="45">
        <v>6</v>
      </c>
      <c r="AA465" s="65">
        <v>61</v>
      </c>
      <c r="AB465" s="65">
        <v>72</v>
      </c>
      <c r="AC465" s="25"/>
      <c r="AD465" s="25"/>
      <c r="BA465" s="226"/>
    </row>
    <row r="466" spans="1:53" ht="15.75" customHeight="1" thickBot="1" x14ac:dyDescent="0.3">
      <c r="A466" s="88"/>
      <c r="B466" s="322" t="s">
        <v>260</v>
      </c>
      <c r="C466" s="294" t="s">
        <v>261</v>
      </c>
      <c r="D466" s="294" t="s">
        <v>262</v>
      </c>
      <c r="E466" s="307" t="s">
        <v>263</v>
      </c>
      <c r="F466" s="294" t="s">
        <v>264</v>
      </c>
      <c r="G466" s="309" t="s">
        <v>265</v>
      </c>
      <c r="H466" s="309" t="s">
        <v>266</v>
      </c>
      <c r="I466" s="309" t="s">
        <v>267</v>
      </c>
      <c r="J466" s="311" t="s">
        <v>268</v>
      </c>
      <c r="K466" s="294" t="s">
        <v>269</v>
      </c>
      <c r="L466" s="281" t="s">
        <v>270</v>
      </c>
      <c r="M466" s="283" t="s">
        <v>271</v>
      </c>
      <c r="N466" s="283"/>
      <c r="O466" s="283"/>
      <c r="P466" s="283"/>
      <c r="Q466" s="283"/>
      <c r="R466" s="283"/>
      <c r="S466" s="283"/>
      <c r="T466" s="283"/>
      <c r="U466" s="284"/>
      <c r="V466" s="107"/>
      <c r="W466" s="72"/>
      <c r="X466" s="72"/>
      <c r="Y466" s="72"/>
      <c r="Z466" s="45">
        <v>7</v>
      </c>
      <c r="AA466" s="65">
        <v>73</v>
      </c>
      <c r="AB466" s="65">
        <v>84</v>
      </c>
      <c r="AC466" s="25"/>
      <c r="AD466" s="25"/>
      <c r="BA466" s="228"/>
    </row>
    <row r="467" spans="1:53" ht="15.75" thickBot="1" x14ac:dyDescent="0.3">
      <c r="A467" s="88"/>
      <c r="B467" s="323"/>
      <c r="C467" s="295"/>
      <c r="D467" s="295"/>
      <c r="E467" s="308"/>
      <c r="F467" s="295"/>
      <c r="G467" s="310"/>
      <c r="H467" s="310"/>
      <c r="I467" s="310"/>
      <c r="J467" s="312"/>
      <c r="K467" s="295"/>
      <c r="L467" s="282"/>
      <c r="M467" s="285"/>
      <c r="N467" s="285"/>
      <c r="O467" s="285"/>
      <c r="P467" s="285"/>
      <c r="Q467" s="285"/>
      <c r="R467" s="285"/>
      <c r="S467" s="285"/>
      <c r="T467" s="285"/>
      <c r="U467" s="286"/>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778</v>
      </c>
      <c r="E468" s="32">
        <v>4</v>
      </c>
      <c r="F468" s="32" t="s">
        <v>483</v>
      </c>
      <c r="G468" s="68" t="s">
        <v>277</v>
      </c>
      <c r="H468" s="69">
        <f>IF(I468=0,0,I468-(E468-1))</f>
        <v>765</v>
      </c>
      <c r="I468" s="70">
        <f>IF(E468=0,0,I463)</f>
        <v>768</v>
      </c>
      <c r="J468" s="71" t="s">
        <v>278</v>
      </c>
      <c r="K468" s="32"/>
      <c r="L468" s="233"/>
      <c r="M468" s="279"/>
      <c r="N468" s="279"/>
      <c r="O468" s="279"/>
      <c r="P468" s="279"/>
      <c r="Q468" s="279"/>
      <c r="R468" s="279"/>
      <c r="S468" s="279"/>
      <c r="T468" s="279"/>
      <c r="U468" s="280"/>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765-768</v>
      </c>
      <c r="AF468" s="109" t="str">
        <f t="shared" ref="AF468:AF492" si="190">IF(C468="Field SPL","N","Y")</f>
        <v>Y</v>
      </c>
      <c r="AG468" s="109" t="str">
        <f t="shared" ref="AG468:AG492" si="191">IF(OR(E$458="RPX",E$458="SS"),"A","B")</f>
        <v>A</v>
      </c>
      <c r="AH468" s="109">
        <v>2</v>
      </c>
      <c r="AI468" s="109" t="str">
        <f>IF(E458="SS",COUNTIFS(C468:C492,"TCF",E468:E492,"2"),"")</f>
        <v/>
      </c>
      <c r="AJ468" s="109">
        <f>IF(E458="RPX",COUNTIFS(C468:C492,"TCF",E468:E492,"2"),"")</f>
        <v>0</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779</v>
      </c>
      <c r="E469" s="32">
        <v>8</v>
      </c>
      <c r="F469" s="32" t="s">
        <v>483</v>
      </c>
      <c r="G469" s="68" t="s">
        <v>277</v>
      </c>
      <c r="H469" s="69">
        <f t="shared" ref="H469:H492" si="196">IF(E469=0,0,I469-(E469-1))</f>
        <v>757</v>
      </c>
      <c r="I469" s="70">
        <f t="shared" ref="I469:I492" si="197">IF(E469=0,0,H468-1)</f>
        <v>764</v>
      </c>
      <c r="J469" s="73" t="str">
        <f>IF(C469="","--",IF(AND(C469&lt;&gt;"FST",C469&lt;&gt;"TCF",BA468&lt;&gt;0),BA468,"--"))</f>
        <v>--</v>
      </c>
      <c r="K469" s="32"/>
      <c r="L469" s="233"/>
      <c r="M469" s="279"/>
      <c r="N469" s="279"/>
      <c r="O469" s="279"/>
      <c r="P469" s="279"/>
      <c r="Q469" s="279"/>
      <c r="R469" s="279"/>
      <c r="S469" s="279"/>
      <c r="T469" s="279"/>
      <c r="U469" s="280"/>
      <c r="V469" s="103"/>
      <c r="W469" s="72"/>
      <c r="X469" s="72"/>
      <c r="Y469" s="72"/>
      <c r="Z469" s="45">
        <v>10</v>
      </c>
      <c r="AA469" s="46">
        <v>109</v>
      </c>
      <c r="AB469" s="46">
        <v>120</v>
      </c>
      <c r="AC469" s="72">
        <f t="shared" si="187"/>
        <v>1</v>
      </c>
      <c r="AD469" s="72">
        <f t="shared" si="188"/>
        <v>0</v>
      </c>
      <c r="AE469" s="109" t="str">
        <f t="shared" si="189"/>
        <v>757-764</v>
      </c>
      <c r="AF469" s="109" t="str">
        <f t="shared" si="190"/>
        <v>Y</v>
      </c>
      <c r="AG469" s="109" t="str">
        <f t="shared" si="191"/>
        <v>A</v>
      </c>
      <c r="AH469" s="109">
        <v>4</v>
      </c>
      <c r="AI469" s="109" t="str">
        <f>IF(E458="SS",COUNTIFS(C468:C492,"TCF",E468:E492,"4"),"")</f>
        <v/>
      </c>
      <c r="AJ469" s="109">
        <f>IF(E458="RPX",COUNTIFS(C468:C492,"TCF",E468:E492,"4"),"")</f>
        <v>0</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3"/>
      <c r="M470" s="279"/>
      <c r="N470" s="279"/>
      <c r="O470" s="279"/>
      <c r="P470" s="279"/>
      <c r="Q470" s="279"/>
      <c r="R470" s="279"/>
      <c r="S470" s="279"/>
      <c r="T470" s="279"/>
      <c r="U470" s="280"/>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A</v>
      </c>
      <c r="AH470" s="109">
        <v>6</v>
      </c>
      <c r="AI470" s="109" t="str">
        <f>IF(E458="SS",COUNTIFS(C468:C492,"TCF",E468:E492,"6"),"")</f>
        <v/>
      </c>
      <c r="AJ470" s="109">
        <f>IF(E458="RPX",COUNTIFS(C468:C492,"TCF",E468:E492,"6"),"")</f>
        <v>0</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79"/>
      <c r="N471" s="279"/>
      <c r="O471" s="279"/>
      <c r="P471" s="279"/>
      <c r="Q471" s="279"/>
      <c r="R471" s="279"/>
      <c r="S471" s="279"/>
      <c r="T471" s="279"/>
      <c r="U471" s="280"/>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A</v>
      </c>
      <c r="AH471" s="109">
        <v>8</v>
      </c>
      <c r="AI471" s="109" t="str">
        <f>IF(E458="SS",COUNTIFS(C468:C492,"TCF",E468:E492,"8"),"")</f>
        <v/>
      </c>
      <c r="AJ471" s="109">
        <f>IF(E458="RPX",COUNTIFS(C468:C492,"TCF",E468:E492,"8"),"")</f>
        <v>0</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79"/>
      <c r="N472" s="279"/>
      <c r="O472" s="279"/>
      <c r="P472" s="279"/>
      <c r="Q472" s="279"/>
      <c r="R472" s="279"/>
      <c r="S472" s="279"/>
      <c r="T472" s="279"/>
      <c r="U472" s="280"/>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A</v>
      </c>
      <c r="AH472" s="109">
        <v>12</v>
      </c>
      <c r="AI472" s="109" t="str">
        <f>IF(E458="SS",COUNTIFS(C468:C492,"TCF",E468:E492,"12"),"")</f>
        <v/>
      </c>
      <c r="AJ472" s="109">
        <f>IF(E458="RPX",COUNTIFS(C468:C492,"TCF",E468:E492,"12"),"")</f>
        <v>0</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79"/>
      <c r="N473" s="279"/>
      <c r="O473" s="279"/>
      <c r="P473" s="279"/>
      <c r="Q473" s="279"/>
      <c r="R473" s="279"/>
      <c r="S473" s="279"/>
      <c r="T473" s="279"/>
      <c r="U473" s="280"/>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A</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79"/>
      <c r="N474" s="279"/>
      <c r="O474" s="279"/>
      <c r="P474" s="279"/>
      <c r="Q474" s="279"/>
      <c r="R474" s="279"/>
      <c r="S474" s="279"/>
      <c r="T474" s="279"/>
      <c r="U474" s="280"/>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A</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79"/>
      <c r="N475" s="279"/>
      <c r="O475" s="279"/>
      <c r="P475" s="279"/>
      <c r="Q475" s="279"/>
      <c r="R475" s="279"/>
      <c r="S475" s="279"/>
      <c r="T475" s="279"/>
      <c r="U475" s="280"/>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A</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79"/>
      <c r="N476" s="279"/>
      <c r="O476" s="279"/>
      <c r="P476" s="279"/>
      <c r="Q476" s="279"/>
      <c r="R476" s="279"/>
      <c r="S476" s="279"/>
      <c r="T476" s="279"/>
      <c r="U476" s="280"/>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A</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79"/>
      <c r="N477" s="279"/>
      <c r="O477" s="279"/>
      <c r="P477" s="279"/>
      <c r="Q477" s="279"/>
      <c r="R477" s="279"/>
      <c r="S477" s="279"/>
      <c r="T477" s="279"/>
      <c r="U477" s="280"/>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A</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79"/>
      <c r="N478" s="279"/>
      <c r="O478" s="279"/>
      <c r="P478" s="279"/>
      <c r="Q478" s="279"/>
      <c r="R478" s="279"/>
      <c r="S478" s="279"/>
      <c r="T478" s="279"/>
      <c r="U478" s="280"/>
      <c r="V478" s="103"/>
      <c r="W478" s="84"/>
      <c r="X478" s="84"/>
      <c r="Y478" s="72"/>
      <c r="Z478" s="72"/>
      <c r="AA478" s="72"/>
      <c r="AB478" s="72"/>
      <c r="AC478" s="72">
        <f t="shared" si="187"/>
        <v>1</v>
      </c>
      <c r="AD478" s="72">
        <f t="shared" si="188"/>
        <v>1</v>
      </c>
      <c r="AE478" s="109" t="str">
        <f t="shared" si="189"/>
        <v>0-0</v>
      </c>
      <c r="AF478" s="109" t="str">
        <f t="shared" si="190"/>
        <v>Y</v>
      </c>
      <c r="AG478" s="109" t="str">
        <f t="shared" si="191"/>
        <v>A</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79"/>
      <c r="N479" s="279"/>
      <c r="O479" s="279"/>
      <c r="P479" s="279"/>
      <c r="Q479" s="279"/>
      <c r="R479" s="279"/>
      <c r="S479" s="279"/>
      <c r="T479" s="279"/>
      <c r="U479" s="280"/>
      <c r="V479" s="103"/>
      <c r="W479" s="84">
        <f>Y479+1</f>
        <v>13</v>
      </c>
      <c r="X479" s="84"/>
      <c r="Y479" s="78">
        <f>SUM(E468:E479)</f>
        <v>12</v>
      </c>
      <c r="Z479" s="72"/>
      <c r="AA479" s="72"/>
      <c r="AB479" s="72"/>
      <c r="AC479" s="72">
        <f t="shared" si="187"/>
        <v>1</v>
      </c>
      <c r="AD479" s="72">
        <f t="shared" si="188"/>
        <v>1</v>
      </c>
      <c r="AE479" s="109" t="str">
        <f t="shared" si="189"/>
        <v>0-0</v>
      </c>
      <c r="AF479" s="109" t="str">
        <f t="shared" si="190"/>
        <v>Y</v>
      </c>
      <c r="AG479" s="109" t="str">
        <f t="shared" si="191"/>
        <v>A</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79"/>
      <c r="N480" s="279"/>
      <c r="O480" s="279"/>
      <c r="P480" s="279"/>
      <c r="Q480" s="279"/>
      <c r="R480" s="279"/>
      <c r="S480" s="279"/>
      <c r="T480" s="279"/>
      <c r="U480" s="280"/>
      <c r="V480" s="103"/>
      <c r="W480" s="84">
        <f>Y480+1</f>
        <v>13</v>
      </c>
      <c r="X480" s="84"/>
      <c r="Y480" s="78">
        <f>SUM(E468:E480)</f>
        <v>12</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A</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79"/>
      <c r="N481" s="279"/>
      <c r="O481" s="279"/>
      <c r="P481" s="279"/>
      <c r="Q481" s="279"/>
      <c r="R481" s="279"/>
      <c r="S481" s="279"/>
      <c r="T481" s="279"/>
      <c r="U481" s="280"/>
      <c r="V481" s="103"/>
      <c r="W481" s="84">
        <f>Y481+1</f>
        <v>13</v>
      </c>
      <c r="X481" s="84"/>
      <c r="Y481" s="78">
        <f>SUM(E468:E481)</f>
        <v>12</v>
      </c>
      <c r="Z481" s="72" t="str">
        <f t="shared" si="201"/>
        <v/>
      </c>
      <c r="AA481" s="72"/>
      <c r="AB481" s="72"/>
      <c r="AC481" s="72">
        <f t="shared" si="187"/>
        <v>1</v>
      </c>
      <c r="AD481" s="72">
        <f t="shared" si="188"/>
        <v>1</v>
      </c>
      <c r="AE481" s="109" t="str">
        <f t="shared" si="189"/>
        <v>0-0</v>
      </c>
      <c r="AF481" s="109" t="str">
        <f t="shared" si="190"/>
        <v>Y</v>
      </c>
      <c r="AG481" s="109" t="str">
        <f t="shared" si="191"/>
        <v>A</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79"/>
      <c r="N482" s="279"/>
      <c r="O482" s="279"/>
      <c r="P482" s="279"/>
      <c r="Q482" s="279"/>
      <c r="R482" s="279"/>
      <c r="S482" s="279"/>
      <c r="T482" s="279"/>
      <c r="U482" s="280"/>
      <c r="V482" s="103"/>
      <c r="W482" s="84">
        <f>Y482+1</f>
        <v>13</v>
      </c>
      <c r="X482" s="84"/>
      <c r="Y482" s="78">
        <f>SUM(E468:E482)</f>
        <v>12</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A</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79"/>
      <c r="N483" s="279"/>
      <c r="O483" s="279"/>
      <c r="P483" s="279"/>
      <c r="Q483" s="279"/>
      <c r="R483" s="279"/>
      <c r="S483" s="279"/>
      <c r="T483" s="279"/>
      <c r="U483" s="280"/>
      <c r="V483" s="103"/>
      <c r="W483" s="84">
        <f t="shared" ref="W483:W491" si="203">Y483+1</f>
        <v>13</v>
      </c>
      <c r="X483" s="84"/>
      <c r="Y483" s="78">
        <f>SUM(E468:E483)</f>
        <v>12</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A</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79"/>
      <c r="N484" s="279"/>
      <c r="O484" s="279"/>
      <c r="P484" s="279"/>
      <c r="Q484" s="279"/>
      <c r="R484" s="279"/>
      <c r="S484" s="279"/>
      <c r="T484" s="279"/>
      <c r="U484" s="280"/>
      <c r="V484" s="103"/>
      <c r="W484" s="84">
        <f t="shared" si="203"/>
        <v>13</v>
      </c>
      <c r="X484" s="84"/>
      <c r="Y484" s="78">
        <f>SUM(E468:E484)</f>
        <v>12</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A</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79"/>
      <c r="N485" s="279"/>
      <c r="O485" s="279"/>
      <c r="P485" s="279"/>
      <c r="Q485" s="279"/>
      <c r="R485" s="279"/>
      <c r="S485" s="279"/>
      <c r="T485" s="279"/>
      <c r="U485" s="280"/>
      <c r="V485" s="103"/>
      <c r="W485" s="84">
        <f t="shared" si="203"/>
        <v>13</v>
      </c>
      <c r="X485" s="84"/>
      <c r="Y485" s="78">
        <f>SUM(E468:E485)</f>
        <v>12</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A</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79"/>
      <c r="N486" s="279"/>
      <c r="O486" s="279"/>
      <c r="P486" s="279"/>
      <c r="Q486" s="279"/>
      <c r="R486" s="279"/>
      <c r="S486" s="279"/>
      <c r="T486" s="279"/>
      <c r="U486" s="280"/>
      <c r="V486" s="103"/>
      <c r="W486" s="84">
        <f t="shared" si="203"/>
        <v>13</v>
      </c>
      <c r="X486" s="84"/>
      <c r="Y486" s="78">
        <f>SUM(E468:E486)</f>
        <v>12</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A</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79"/>
      <c r="N487" s="279"/>
      <c r="O487" s="279"/>
      <c r="P487" s="279"/>
      <c r="Q487" s="279"/>
      <c r="R487" s="279"/>
      <c r="S487" s="279"/>
      <c r="T487" s="279"/>
      <c r="U487" s="280"/>
      <c r="V487" s="103"/>
      <c r="W487" s="84">
        <f t="shared" si="203"/>
        <v>13</v>
      </c>
      <c r="X487" s="84"/>
      <c r="Y487" s="78">
        <f>SUM(E468:E487)</f>
        <v>12</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A</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79"/>
      <c r="N488" s="279"/>
      <c r="O488" s="279"/>
      <c r="P488" s="279"/>
      <c r="Q488" s="279"/>
      <c r="R488" s="279"/>
      <c r="S488" s="279"/>
      <c r="T488" s="279"/>
      <c r="U488" s="280"/>
      <c r="V488" s="103"/>
      <c r="W488" s="84">
        <f t="shared" si="203"/>
        <v>13</v>
      </c>
      <c r="X488" s="84"/>
      <c r="Y488" s="78">
        <f>SUM(E468:E488)</f>
        <v>12</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A</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79"/>
      <c r="N489" s="279"/>
      <c r="O489" s="279"/>
      <c r="P489" s="279"/>
      <c r="Q489" s="279"/>
      <c r="R489" s="279"/>
      <c r="S489" s="279"/>
      <c r="T489" s="279"/>
      <c r="U489" s="280"/>
      <c r="V489" s="103"/>
      <c r="W489" s="84">
        <f t="shared" si="203"/>
        <v>13</v>
      </c>
      <c r="X489" s="84"/>
      <c r="Y489" s="78">
        <f>SUM(E468:E489)</f>
        <v>12</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A</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79"/>
      <c r="N490" s="279"/>
      <c r="O490" s="279"/>
      <c r="P490" s="279"/>
      <c r="Q490" s="279"/>
      <c r="R490" s="279"/>
      <c r="S490" s="279"/>
      <c r="T490" s="279"/>
      <c r="U490" s="280"/>
      <c r="V490" s="103"/>
      <c r="W490" s="84">
        <f t="shared" si="203"/>
        <v>13</v>
      </c>
      <c r="X490" s="84"/>
      <c r="Y490" s="78">
        <f>SUM(E468:E490)</f>
        <v>12</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A</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79"/>
      <c r="N491" s="279"/>
      <c r="O491" s="279"/>
      <c r="P491" s="279"/>
      <c r="Q491" s="279"/>
      <c r="R491" s="279"/>
      <c r="S491" s="279"/>
      <c r="T491" s="279"/>
      <c r="U491" s="280"/>
      <c r="V491" s="103"/>
      <c r="W491" s="84">
        <f t="shared" si="203"/>
        <v>13</v>
      </c>
      <c r="X491" s="84"/>
      <c r="Y491" s="78">
        <f>SUM(E468:E491)</f>
        <v>12</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A</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79"/>
      <c r="N492" s="279"/>
      <c r="O492" s="279"/>
      <c r="P492" s="279"/>
      <c r="Q492" s="279"/>
      <c r="R492" s="279"/>
      <c r="S492" s="279"/>
      <c r="T492" s="279"/>
      <c r="U492" s="280"/>
      <c r="V492" s="103"/>
      <c r="W492" s="72"/>
      <c r="X492" s="72"/>
      <c r="Y492" s="78">
        <f>SUM(E468:E492)</f>
        <v>12</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A</v>
      </c>
      <c r="AM492" s="109">
        <f t="shared" si="192"/>
        <v>0</v>
      </c>
      <c r="AN492" s="109">
        <f t="shared" si="193"/>
        <v>0</v>
      </c>
      <c r="AO492" s="109" t="str">
        <f t="shared" si="194"/>
        <v/>
      </c>
      <c r="AQ492" s="109" t="str">
        <f t="shared" si="195"/>
        <v/>
      </c>
      <c r="BA492" s="228"/>
    </row>
    <row r="493" spans="1:53" ht="16.5" thickBot="1" x14ac:dyDescent="0.3">
      <c r="A493" s="88"/>
      <c r="B493" s="320" t="s">
        <v>327</v>
      </c>
      <c r="C493" s="321"/>
      <c r="D493" s="79"/>
      <c r="E493" s="80"/>
      <c r="F493" s="80"/>
      <c r="G493" s="81"/>
      <c r="H493" s="192"/>
      <c r="I493" s="192"/>
      <c r="J493" s="192"/>
      <c r="K493" s="82"/>
      <c r="L493" s="320" t="s">
        <v>306</v>
      </c>
      <c r="M493" s="331"/>
      <c r="N493" s="331"/>
      <c r="O493" s="331"/>
      <c r="P493" s="331"/>
      <c r="Q493" s="331"/>
      <c r="R493" s="331"/>
      <c r="S493" s="331"/>
      <c r="T493" s="331"/>
      <c r="U493" s="321"/>
      <c r="V493" s="104"/>
      <c r="W493" s="72"/>
      <c r="X493" s="72"/>
      <c r="Y493" s="72"/>
      <c r="Z493" s="72"/>
      <c r="AA493" s="72" t="str">
        <f t="shared" si="202"/>
        <v/>
      </c>
      <c r="AB493" s="72"/>
      <c r="AC493" s="72">
        <f>SUM(AC468:AC492)</f>
        <v>25</v>
      </c>
      <c r="AD493" s="72">
        <f>SUM(AD468:AD492)</f>
        <v>23</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20" t="s">
        <v>307</v>
      </c>
      <c r="C494" s="321"/>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3" t="s">
        <v>222</v>
      </c>
      <c r="C498" s="314"/>
      <c r="D498" s="315" t="s">
        <v>223</v>
      </c>
      <c r="E498" s="306"/>
      <c r="F498" s="88"/>
      <c r="G498" s="316" t="s">
        <v>224</v>
      </c>
      <c r="H498" s="317"/>
      <c r="I498" s="28">
        <f>SUM(E509:E533)</f>
        <v>24</v>
      </c>
      <c r="J498" s="318" t="s">
        <v>225</v>
      </c>
      <c r="K498" s="319"/>
      <c r="L498" s="306"/>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6" t="s">
        <v>226</v>
      </c>
      <c r="AA498" s="297"/>
      <c r="AB498" s="298"/>
      <c r="AC498" s="25"/>
      <c r="AD498" s="25"/>
      <c r="AH498" s="109">
        <v>2</v>
      </c>
      <c r="AI498" s="109" t="str">
        <f>IF($E499="SS",COUNTIFS($C509:$C533,"FST",$E509:$E533,"2"),"0")</f>
        <v>0</v>
      </c>
      <c r="AJ498" s="109" t="str">
        <f>IF($E499="RPX",COUNTIFS($C509:$C533,"FST",$E509:$E533,"2"),"0")</f>
        <v>0</v>
      </c>
      <c r="AK498" s="109">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5" t="s">
        <v>230</v>
      </c>
      <c r="H499" s="306"/>
      <c r="I499" s="33">
        <f>E500-I498</f>
        <v>0</v>
      </c>
      <c r="J499" s="290" t="s">
        <v>231</v>
      </c>
      <c r="K499" s="291"/>
      <c r="L499" s="34">
        <f>I503</f>
        <v>697</v>
      </c>
      <c r="M499" s="196">
        <v>4</v>
      </c>
      <c r="N499" s="35">
        <f>SUM(AI499,AI510)</f>
        <v>0</v>
      </c>
      <c r="O499" s="35">
        <v>0</v>
      </c>
      <c r="P499" s="35">
        <f>SUM(AJ499,AJ510)</f>
        <v>0</v>
      </c>
      <c r="Q499" s="35">
        <v>0</v>
      </c>
      <c r="R499" s="35">
        <f>COUNTIFS($E509:$E533,"4",$F509:$F533,"Pole",$C509:$C533,"FST")</f>
        <v>2</v>
      </c>
      <c r="S499" s="35">
        <f>SUM(AL499,AK510)</f>
        <v>0</v>
      </c>
      <c r="T499" s="35">
        <v>0</v>
      </c>
      <c r="U499" s="35">
        <f>SUM(AK499,AL510)</f>
        <v>2</v>
      </c>
      <c r="V499" s="35">
        <v>0</v>
      </c>
      <c r="W499" s="34">
        <f>COUNTIFS($E509:$E533,"4",$F509:$F533,"HH",$C509:$C533,"FST")</f>
        <v>0</v>
      </c>
      <c r="X499" s="35">
        <f>COUNTIFS($E509:$E533,"4",$F509:$F533,"Ped",$C509:$C533,"FST")</f>
        <v>0</v>
      </c>
      <c r="Y499" s="25"/>
      <c r="Z499" s="299" t="s">
        <v>232</v>
      </c>
      <c r="AA499" s="301" t="s">
        <v>233</v>
      </c>
      <c r="AB499" s="302"/>
      <c r="AC499" s="25"/>
      <c r="AD499" s="25"/>
      <c r="AH499" s="109">
        <v>4</v>
      </c>
      <c r="AI499" s="109" t="str">
        <f>IF($E499="SS",COUNTIFS($C509:$C533,"FST",$E509:$E533,"4"),"0")</f>
        <v>0</v>
      </c>
      <c r="AJ499" s="109" t="str">
        <f>IF($E499="RPX",COUNTIFS($C509:$C533,"FST",$E509:$E533,"4"),"0")</f>
        <v>0</v>
      </c>
      <c r="AK499" s="109">
        <f>IF($E499="EUC",COUNTIFS($C509:$C533,"FST",$E509:$E533,"4"),"0")</f>
        <v>2</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24</v>
      </c>
      <c r="F500" s="88"/>
      <c r="G500" s="292" t="s">
        <v>237</v>
      </c>
      <c r="H500" s="293"/>
      <c r="I500" s="35">
        <f>IF(E500=0,0,12-(MOD(I498,12)))</f>
        <v>12</v>
      </c>
      <c r="J500" s="290" t="s">
        <v>238</v>
      </c>
      <c r="K500" s="291"/>
      <c r="L500" s="39">
        <f>I504-I498</f>
        <v>696</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0"/>
      <c r="AA500" s="303"/>
      <c r="AB500" s="304"/>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0</v>
      </c>
      <c r="F501" s="88"/>
      <c r="G501" s="322" t="s">
        <v>242</v>
      </c>
      <c r="H501" s="43" t="s">
        <v>243</v>
      </c>
      <c r="I501" s="35">
        <f>IF(E501&lt;&gt;0,1,0)</f>
        <v>0</v>
      </c>
      <c r="J501" s="292" t="s">
        <v>244</v>
      </c>
      <c r="K501" s="293"/>
      <c r="L501" s="44">
        <f>'Cable Calculator'!BL3</f>
        <v>2012</v>
      </c>
      <c r="M501" s="196">
        <v>8</v>
      </c>
      <c r="N501" s="35">
        <f>SUM(AI501,AI512)</f>
        <v>0</v>
      </c>
      <c r="O501" s="35">
        <v>0</v>
      </c>
      <c r="P501" s="35">
        <f>SUM(AJ501,AJ512)</f>
        <v>0</v>
      </c>
      <c r="Q501" s="35">
        <v>0</v>
      </c>
      <c r="R501" s="35">
        <f>COUNTIFS($E509:$E533,"8",$F509:$F533,"Pole",$C509:$C533,"FST")</f>
        <v>2</v>
      </c>
      <c r="S501" s="35">
        <f>SUM(AL501,AK512)</f>
        <v>0</v>
      </c>
      <c r="T501" s="35">
        <v>0</v>
      </c>
      <c r="U501" s="35">
        <f>SUM(AK501,AL512)</f>
        <v>2</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2</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697</v>
      </c>
      <c r="F502" s="88"/>
      <c r="G502" s="323"/>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322" t="s">
        <v>251</v>
      </c>
      <c r="H503" s="51" t="s">
        <v>252</v>
      </c>
      <c r="I503" s="112">
        <f>E502</f>
        <v>697</v>
      </c>
      <c r="J503" s="324" t="s">
        <v>253</v>
      </c>
      <c r="K503" s="325"/>
      <c r="L503" s="326"/>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3"/>
      <c r="H504" s="47" t="s">
        <v>257</v>
      </c>
      <c r="I504" s="35">
        <f>IF(E502="","0",IF(AND(E499="EUC",E500=432), I503+(203-E501),IF(E502=0,0,(E502+(E500-E501)-1))))</f>
        <v>720</v>
      </c>
      <c r="J504" s="287" t="str">
        <f>IFERROR(IF(OR(E499="EUC",E499="SS"),"---",IF(OR(P498,S498),"NO 2F Tethers for RPX!",IF(OR(P500,S500),"NO 6F Tethers for RPX!","---"))),"---")</f>
        <v>---</v>
      </c>
      <c r="K504" s="288"/>
      <c r="L504" s="289"/>
      <c r="M504" s="287" t="str">
        <f>IF(E501&gt;60,"Dead Count &gt;60: Consider Downsize","---")</f>
        <v>---</v>
      </c>
      <c r="N504" s="288"/>
      <c r="O504" s="288"/>
      <c r="P504" s="288"/>
      <c r="Q504" s="288"/>
      <c r="R504" s="288"/>
      <c r="S504" s="288"/>
      <c r="T504" s="288"/>
      <c r="U504" s="289"/>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24</v>
      </c>
      <c r="D505" s="31" t="s">
        <v>259</v>
      </c>
      <c r="E505" s="101" t="str">
        <f>IF(AS499="Y","DBL",IF(AS500="Y","TRPL",IF(AS501="Y","QUAD","")))</f>
        <v/>
      </c>
      <c r="F505" s="88"/>
      <c r="G505" s="192"/>
      <c r="H505" s="57"/>
      <c r="I505" s="192"/>
      <c r="J505" s="287"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8"/>
      <c r="L505" s="289"/>
      <c r="M505" s="287" t="str">
        <f>IF(AND(OR(E499="SS",E499="RPX",E499="EUC",E499="RPX-T"),(OR(C509="",C509="Field SPL"))),"Cannot have FlexNap cables without tethers","---")</f>
        <v>---</v>
      </c>
      <c r="N505" s="288"/>
      <c r="O505" s="288"/>
      <c r="P505" s="288"/>
      <c r="Q505" s="288"/>
      <c r="R505" s="288"/>
      <c r="S505" s="288"/>
      <c r="T505" s="288"/>
      <c r="U505" s="289"/>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7" t="str">
        <f>IF(AND(OR(E499="RPX", E499="RPX-T", E499="SS"),E500=216),"NO 216 For RPX, RPX-T, OR SS CABLE","---")</f>
        <v>---</v>
      </c>
      <c r="K506" s="288"/>
      <c r="L506" s="289"/>
      <c r="M506" s="287" t="str" cm="1">
        <f t="array" ref="M506">IF(AND(E499="",OR(C509:C533="FST",C509:C533="REV T",C509:C533="DBL REV",C509:C533="TPL REV", C509:C533="QD REV")),"Non-FlexNap cables cannot have tethers","---")</f>
        <v>---</v>
      </c>
      <c r="N506" s="288"/>
      <c r="O506" s="288"/>
      <c r="P506" s="288"/>
      <c r="Q506" s="288"/>
      <c r="R506" s="288"/>
      <c r="S506" s="288"/>
      <c r="T506" s="288"/>
      <c r="U506" s="289"/>
      <c r="V506" s="25"/>
      <c r="W506" s="58"/>
      <c r="X506" s="58"/>
      <c r="Y506" s="25"/>
      <c r="Z506" s="45">
        <v>6</v>
      </c>
      <c r="AA506" s="65">
        <v>61</v>
      </c>
      <c r="AB506" s="65">
        <v>72</v>
      </c>
      <c r="AC506" s="25"/>
      <c r="AD506" s="25"/>
      <c r="BA506" s="226"/>
    </row>
    <row r="507" spans="1:53" ht="15.75" customHeight="1" thickBot="1" x14ac:dyDescent="0.3">
      <c r="A507" s="88"/>
      <c r="B507" s="322" t="s">
        <v>260</v>
      </c>
      <c r="C507" s="294" t="s">
        <v>261</v>
      </c>
      <c r="D507" s="294" t="s">
        <v>262</v>
      </c>
      <c r="E507" s="307" t="s">
        <v>263</v>
      </c>
      <c r="F507" s="294" t="s">
        <v>264</v>
      </c>
      <c r="G507" s="309" t="s">
        <v>265</v>
      </c>
      <c r="H507" s="309" t="s">
        <v>266</v>
      </c>
      <c r="I507" s="309" t="s">
        <v>267</v>
      </c>
      <c r="J507" s="311" t="s">
        <v>268</v>
      </c>
      <c r="K507" s="294" t="s">
        <v>269</v>
      </c>
      <c r="L507" s="281" t="s">
        <v>270</v>
      </c>
      <c r="M507" s="283" t="s">
        <v>271</v>
      </c>
      <c r="N507" s="283"/>
      <c r="O507" s="283"/>
      <c r="P507" s="283"/>
      <c r="Q507" s="283"/>
      <c r="R507" s="283"/>
      <c r="S507" s="283"/>
      <c r="T507" s="283"/>
      <c r="U507" s="284"/>
      <c r="V507" s="107"/>
      <c r="W507" s="72"/>
      <c r="X507" s="72"/>
      <c r="Y507" s="72"/>
      <c r="Z507" s="45">
        <v>7</v>
      </c>
      <c r="AA507" s="65">
        <v>73</v>
      </c>
      <c r="AB507" s="65">
        <v>84</v>
      </c>
      <c r="AC507" s="25"/>
      <c r="AD507" s="25"/>
      <c r="BA507" s="228"/>
    </row>
    <row r="508" spans="1:53" ht="15.75" thickBot="1" x14ac:dyDescent="0.3">
      <c r="A508" s="88"/>
      <c r="B508" s="323"/>
      <c r="C508" s="295"/>
      <c r="D508" s="295"/>
      <c r="E508" s="308"/>
      <c r="F508" s="295"/>
      <c r="G508" s="310"/>
      <c r="H508" s="310"/>
      <c r="I508" s="310"/>
      <c r="J508" s="312"/>
      <c r="K508" s="295"/>
      <c r="L508" s="282"/>
      <c r="M508" s="285"/>
      <c r="N508" s="285"/>
      <c r="O508" s="285"/>
      <c r="P508" s="285"/>
      <c r="Q508" s="285"/>
      <c r="R508" s="285"/>
      <c r="S508" s="285"/>
      <c r="T508" s="285"/>
      <c r="U508" s="286"/>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780</v>
      </c>
      <c r="E509" s="32">
        <v>4</v>
      </c>
      <c r="F509" s="32" t="s">
        <v>483</v>
      </c>
      <c r="G509" s="68" t="s">
        <v>277</v>
      </c>
      <c r="H509" s="69">
        <f>IF(I509=0,0,I509-(E509-1))</f>
        <v>717</v>
      </c>
      <c r="I509" s="70">
        <f>IF(E509=0,0,I504)</f>
        <v>720</v>
      </c>
      <c r="J509" s="71" t="s">
        <v>278</v>
      </c>
      <c r="K509" s="32"/>
      <c r="L509" s="233"/>
      <c r="M509" s="279"/>
      <c r="N509" s="279"/>
      <c r="O509" s="279"/>
      <c r="P509" s="279"/>
      <c r="Q509" s="279"/>
      <c r="R509" s="279"/>
      <c r="S509" s="279"/>
      <c r="T509" s="279"/>
      <c r="U509" s="280"/>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717-720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781</v>
      </c>
      <c r="E510" s="32">
        <v>4</v>
      </c>
      <c r="F510" s="32" t="s">
        <v>483</v>
      </c>
      <c r="G510" s="68" t="s">
        <v>277</v>
      </c>
      <c r="H510" s="69">
        <f t="shared" ref="H510:H533" si="213">IF(E510=0,0,I510-(E510-1))</f>
        <v>713</v>
      </c>
      <c r="I510" s="70">
        <f t="shared" ref="I510:I533" si="214">IF(E510=0,0,H509-1)</f>
        <v>716</v>
      </c>
      <c r="J510" s="73" t="str">
        <f>IF(C510="","--",IF(AND(C510&lt;&gt;"FST",C510&lt;&gt;"TCF",BA509&lt;&gt;0),BA509,"--"))</f>
        <v>--</v>
      </c>
      <c r="K510" s="32"/>
      <c r="L510" s="233"/>
      <c r="M510" s="279"/>
      <c r="N510" s="279"/>
      <c r="O510" s="279"/>
      <c r="P510" s="279"/>
      <c r="Q510" s="279"/>
      <c r="R510" s="279"/>
      <c r="S510" s="279"/>
      <c r="T510" s="279"/>
      <c r="U510" s="280"/>
      <c r="V510" s="103"/>
      <c r="W510" s="72"/>
      <c r="X510" s="72"/>
      <c r="Y510" s="72"/>
      <c r="Z510" s="45">
        <v>10</v>
      </c>
      <c r="AA510" s="46">
        <v>109</v>
      </c>
      <c r="AB510" s="46">
        <v>120</v>
      </c>
      <c r="AC510" s="72">
        <f t="shared" si="204"/>
        <v>1</v>
      </c>
      <c r="AD510" s="72">
        <f t="shared" si="205"/>
        <v>0</v>
      </c>
      <c r="AE510" s="109" t="str">
        <f t="shared" si="206"/>
        <v>713-716</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8</v>
      </c>
    </row>
    <row r="511" spans="1:53" ht="15.75" thickBot="1" x14ac:dyDescent="0.3">
      <c r="A511" s="88"/>
      <c r="B511" s="74" t="s">
        <v>280</v>
      </c>
      <c r="C511" s="67" t="s">
        <v>484</v>
      </c>
      <c r="D511" s="102" t="s">
        <v>783</v>
      </c>
      <c r="E511" s="32">
        <v>8</v>
      </c>
      <c r="F511" s="32" t="s">
        <v>483</v>
      </c>
      <c r="G511" s="75" t="s">
        <v>277</v>
      </c>
      <c r="H511" s="69">
        <f t="shared" si="213"/>
        <v>705</v>
      </c>
      <c r="I511" s="70">
        <f t="shared" si="214"/>
        <v>712</v>
      </c>
      <c r="J511" s="73" t="str">
        <f t="shared" ref="J511:J533" si="215">IF(C511="","--",IF(AND(C511&lt;&gt;"FST",C511&lt;&gt;"TCF",BA510&lt;&gt;0),BA510,"--"))</f>
        <v>--</v>
      </c>
      <c r="K511" s="32"/>
      <c r="L511" s="233"/>
      <c r="M511" s="279"/>
      <c r="N511" s="279"/>
      <c r="O511" s="279"/>
      <c r="P511" s="279"/>
      <c r="Q511" s="279"/>
      <c r="R511" s="279"/>
      <c r="S511" s="279"/>
      <c r="T511" s="279"/>
      <c r="U511" s="280"/>
      <c r="V511" s="103"/>
      <c r="W511" s="72"/>
      <c r="X511" s="72"/>
      <c r="Y511" s="72"/>
      <c r="Z511" s="45">
        <v>11</v>
      </c>
      <c r="AA511" s="46">
        <v>121</v>
      </c>
      <c r="AB511" s="46">
        <v>132</v>
      </c>
      <c r="AC511" s="72">
        <f t="shared" si="204"/>
        <v>1</v>
      </c>
      <c r="AD511" s="72">
        <f t="shared" si="205"/>
        <v>0</v>
      </c>
      <c r="AE511" s="109" t="str">
        <f t="shared" si="206"/>
        <v>705-712</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782</v>
      </c>
      <c r="E512" s="32">
        <v>8</v>
      </c>
      <c r="F512" s="32" t="s">
        <v>483</v>
      </c>
      <c r="G512" s="68" t="s">
        <v>277</v>
      </c>
      <c r="H512" s="69">
        <f t="shared" si="213"/>
        <v>697</v>
      </c>
      <c r="I512" s="70">
        <f t="shared" si="214"/>
        <v>704</v>
      </c>
      <c r="J512" s="73" t="str">
        <f t="shared" si="215"/>
        <v>--</v>
      </c>
      <c r="K512" s="32"/>
      <c r="L512" s="233"/>
      <c r="M512" s="279"/>
      <c r="N512" s="279"/>
      <c r="O512" s="279"/>
      <c r="P512" s="279"/>
      <c r="Q512" s="279"/>
      <c r="R512" s="279"/>
      <c r="S512" s="279"/>
      <c r="T512" s="279"/>
      <c r="U512" s="280"/>
      <c r="V512" s="103"/>
      <c r="W512" s="72"/>
      <c r="X512" s="72"/>
      <c r="Y512" s="72"/>
      <c r="Z512" s="45">
        <v>12</v>
      </c>
      <c r="AA512" s="76">
        <v>133</v>
      </c>
      <c r="AB512" s="76">
        <v>144</v>
      </c>
      <c r="AC512" s="72">
        <f t="shared" si="204"/>
        <v>1</v>
      </c>
      <c r="AD512" s="72">
        <f t="shared" si="205"/>
        <v>0</v>
      </c>
      <c r="AE512" s="109" t="str">
        <f t="shared" si="206"/>
        <v>697-704</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79"/>
      <c r="N513" s="279"/>
      <c r="O513" s="279"/>
      <c r="P513" s="279"/>
      <c r="Q513" s="279"/>
      <c r="R513" s="279"/>
      <c r="S513" s="279"/>
      <c r="T513" s="279"/>
      <c r="U513" s="280"/>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9"/>
      <c r="N514" s="279"/>
      <c r="O514" s="279"/>
      <c r="P514" s="279"/>
      <c r="Q514" s="279"/>
      <c r="R514" s="279"/>
      <c r="S514" s="279"/>
      <c r="T514" s="279"/>
      <c r="U514" s="280"/>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9"/>
      <c r="N515" s="279"/>
      <c r="O515" s="279"/>
      <c r="P515" s="279"/>
      <c r="Q515" s="279"/>
      <c r="R515" s="279"/>
      <c r="S515" s="279"/>
      <c r="T515" s="279"/>
      <c r="U515" s="280"/>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9"/>
      <c r="N516" s="279"/>
      <c r="O516" s="279"/>
      <c r="P516" s="279"/>
      <c r="Q516" s="279"/>
      <c r="R516" s="279"/>
      <c r="S516" s="279"/>
      <c r="T516" s="279"/>
      <c r="U516" s="280"/>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9"/>
      <c r="N517" s="279"/>
      <c r="O517" s="279"/>
      <c r="P517" s="279"/>
      <c r="Q517" s="279"/>
      <c r="R517" s="279"/>
      <c r="S517" s="279"/>
      <c r="T517" s="279"/>
      <c r="U517" s="280"/>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9"/>
      <c r="N518" s="279"/>
      <c r="O518" s="279"/>
      <c r="P518" s="279"/>
      <c r="Q518" s="279"/>
      <c r="R518" s="279"/>
      <c r="S518" s="279"/>
      <c r="T518" s="279"/>
      <c r="U518" s="280"/>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9"/>
      <c r="N519" s="279"/>
      <c r="O519" s="279"/>
      <c r="P519" s="279"/>
      <c r="Q519" s="279"/>
      <c r="R519" s="279"/>
      <c r="S519" s="279"/>
      <c r="T519" s="279"/>
      <c r="U519" s="280"/>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9"/>
      <c r="N520" s="279"/>
      <c r="O520" s="279"/>
      <c r="P520" s="279"/>
      <c r="Q520" s="279"/>
      <c r="R520" s="279"/>
      <c r="S520" s="279"/>
      <c r="T520" s="279"/>
      <c r="U520" s="280"/>
      <c r="V520" s="103"/>
      <c r="W520" s="84">
        <f>Y520+1</f>
        <v>25</v>
      </c>
      <c r="X520" s="84"/>
      <c r="Y520" s="78">
        <f>SUM(E509:E520)</f>
        <v>24</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9"/>
      <c r="N521" s="279"/>
      <c r="O521" s="279"/>
      <c r="P521" s="279"/>
      <c r="Q521" s="279"/>
      <c r="R521" s="279"/>
      <c r="S521" s="279"/>
      <c r="T521" s="279"/>
      <c r="U521" s="280"/>
      <c r="V521" s="103"/>
      <c r="W521" s="84">
        <f>Y521+1</f>
        <v>25</v>
      </c>
      <c r="X521" s="84"/>
      <c r="Y521" s="78">
        <f>SUM(E509:E521)</f>
        <v>24</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9"/>
      <c r="N522" s="279"/>
      <c r="O522" s="279"/>
      <c r="P522" s="279"/>
      <c r="Q522" s="279"/>
      <c r="R522" s="279"/>
      <c r="S522" s="279"/>
      <c r="T522" s="279"/>
      <c r="U522" s="280"/>
      <c r="V522" s="103"/>
      <c r="W522" s="84">
        <f>Y522+1</f>
        <v>25</v>
      </c>
      <c r="X522" s="84"/>
      <c r="Y522" s="78">
        <f>SUM(E509:E522)</f>
        <v>24</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9"/>
      <c r="N523" s="279"/>
      <c r="O523" s="279"/>
      <c r="P523" s="279"/>
      <c r="Q523" s="279"/>
      <c r="R523" s="279"/>
      <c r="S523" s="279"/>
      <c r="T523" s="279"/>
      <c r="U523" s="280"/>
      <c r="V523" s="103"/>
      <c r="W523" s="84">
        <f>Y523+1</f>
        <v>25</v>
      </c>
      <c r="X523" s="84"/>
      <c r="Y523" s="78">
        <f>SUM(E509:E523)</f>
        <v>24</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9"/>
      <c r="N524" s="279"/>
      <c r="O524" s="279"/>
      <c r="P524" s="279"/>
      <c r="Q524" s="279"/>
      <c r="R524" s="279"/>
      <c r="S524" s="279"/>
      <c r="T524" s="279"/>
      <c r="U524" s="280"/>
      <c r="V524" s="103"/>
      <c r="W524" s="84">
        <f t="shared" ref="W524:W532" si="220">Y524+1</f>
        <v>25</v>
      </c>
      <c r="X524" s="84"/>
      <c r="Y524" s="78">
        <f>SUM(E509:E524)</f>
        <v>24</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9"/>
      <c r="N525" s="279"/>
      <c r="O525" s="279"/>
      <c r="P525" s="279"/>
      <c r="Q525" s="279"/>
      <c r="R525" s="279"/>
      <c r="S525" s="279"/>
      <c r="T525" s="279"/>
      <c r="U525" s="280"/>
      <c r="V525" s="103"/>
      <c r="W525" s="84">
        <f t="shared" si="220"/>
        <v>25</v>
      </c>
      <c r="X525" s="84"/>
      <c r="Y525" s="78">
        <f>SUM(E509:E525)</f>
        <v>24</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9"/>
      <c r="N526" s="279"/>
      <c r="O526" s="279"/>
      <c r="P526" s="279"/>
      <c r="Q526" s="279"/>
      <c r="R526" s="279"/>
      <c r="S526" s="279"/>
      <c r="T526" s="279"/>
      <c r="U526" s="280"/>
      <c r="V526" s="103"/>
      <c r="W526" s="84">
        <f t="shared" si="220"/>
        <v>25</v>
      </c>
      <c r="X526" s="84"/>
      <c r="Y526" s="78">
        <f>SUM(E509:E526)</f>
        <v>24</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9"/>
      <c r="N527" s="279"/>
      <c r="O527" s="279"/>
      <c r="P527" s="279"/>
      <c r="Q527" s="279"/>
      <c r="R527" s="279"/>
      <c r="S527" s="279"/>
      <c r="T527" s="279"/>
      <c r="U527" s="280"/>
      <c r="V527" s="103"/>
      <c r="W527" s="84">
        <f t="shared" si="220"/>
        <v>25</v>
      </c>
      <c r="X527" s="84"/>
      <c r="Y527" s="78">
        <f>SUM(E509:E527)</f>
        <v>24</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9"/>
      <c r="N528" s="279"/>
      <c r="O528" s="279"/>
      <c r="P528" s="279"/>
      <c r="Q528" s="279"/>
      <c r="R528" s="279"/>
      <c r="S528" s="279"/>
      <c r="T528" s="279"/>
      <c r="U528" s="280"/>
      <c r="V528" s="103"/>
      <c r="W528" s="84">
        <f t="shared" si="220"/>
        <v>25</v>
      </c>
      <c r="X528" s="84"/>
      <c r="Y528" s="78">
        <f>SUM(E509:E528)</f>
        <v>24</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9"/>
      <c r="N529" s="279"/>
      <c r="O529" s="279"/>
      <c r="P529" s="279"/>
      <c r="Q529" s="279"/>
      <c r="R529" s="279"/>
      <c r="S529" s="279"/>
      <c r="T529" s="279"/>
      <c r="U529" s="280"/>
      <c r="V529" s="103"/>
      <c r="W529" s="84">
        <f t="shared" si="220"/>
        <v>25</v>
      </c>
      <c r="X529" s="84"/>
      <c r="Y529" s="78">
        <f>SUM(E509:E529)</f>
        <v>24</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9"/>
      <c r="N530" s="279"/>
      <c r="O530" s="279"/>
      <c r="P530" s="279"/>
      <c r="Q530" s="279"/>
      <c r="R530" s="279"/>
      <c r="S530" s="279"/>
      <c r="T530" s="279"/>
      <c r="U530" s="280"/>
      <c r="V530" s="103"/>
      <c r="W530" s="84">
        <f t="shared" si="220"/>
        <v>25</v>
      </c>
      <c r="X530" s="84"/>
      <c r="Y530" s="78">
        <f>SUM(E509:E530)</f>
        <v>24</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9"/>
      <c r="N531" s="279"/>
      <c r="O531" s="279"/>
      <c r="P531" s="279"/>
      <c r="Q531" s="279"/>
      <c r="R531" s="279"/>
      <c r="S531" s="279"/>
      <c r="T531" s="279"/>
      <c r="U531" s="280"/>
      <c r="V531" s="103"/>
      <c r="W531" s="84">
        <f t="shared" si="220"/>
        <v>25</v>
      </c>
      <c r="X531" s="84"/>
      <c r="Y531" s="78">
        <f>SUM(E509:E531)</f>
        <v>24</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9"/>
      <c r="N532" s="279"/>
      <c r="O532" s="279"/>
      <c r="P532" s="279"/>
      <c r="Q532" s="279"/>
      <c r="R532" s="279"/>
      <c r="S532" s="279"/>
      <c r="T532" s="279"/>
      <c r="U532" s="280"/>
      <c r="V532" s="103"/>
      <c r="W532" s="84">
        <f t="shared" si="220"/>
        <v>25</v>
      </c>
      <c r="X532" s="84"/>
      <c r="Y532" s="78">
        <f>SUM(E509:E532)</f>
        <v>24</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9"/>
      <c r="N533" s="279"/>
      <c r="O533" s="279"/>
      <c r="P533" s="279"/>
      <c r="Q533" s="279"/>
      <c r="R533" s="279"/>
      <c r="S533" s="279"/>
      <c r="T533" s="279"/>
      <c r="U533" s="280"/>
      <c r="V533" s="103"/>
      <c r="W533" s="72"/>
      <c r="X533" s="72"/>
      <c r="Y533" s="78">
        <f>SUM(E509:E533)</f>
        <v>24</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20" t="s">
        <v>329</v>
      </c>
      <c r="C534" s="321"/>
      <c r="D534" s="79"/>
      <c r="E534" s="80"/>
      <c r="F534" s="80"/>
      <c r="G534" s="81"/>
      <c r="H534" s="192"/>
      <c r="I534" s="192"/>
      <c r="J534" s="192"/>
      <c r="K534" s="82"/>
      <c r="L534" s="320" t="s">
        <v>306</v>
      </c>
      <c r="M534" s="331"/>
      <c r="N534" s="331"/>
      <c r="O534" s="331"/>
      <c r="P534" s="331"/>
      <c r="Q534" s="331"/>
      <c r="R534" s="331"/>
      <c r="S534" s="331"/>
      <c r="T534" s="331"/>
      <c r="U534" s="321"/>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20" t="s">
        <v>307</v>
      </c>
      <c r="C535" s="321"/>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3" t="s">
        <v>222</v>
      </c>
      <c r="C539" s="314"/>
      <c r="D539" s="315" t="s">
        <v>223</v>
      </c>
      <c r="E539" s="306"/>
      <c r="F539" s="88"/>
      <c r="G539" s="316" t="s">
        <v>224</v>
      </c>
      <c r="H539" s="317"/>
      <c r="I539" s="28">
        <f>SUM(E550:E574)</f>
        <v>24</v>
      </c>
      <c r="J539" s="318" t="s">
        <v>225</v>
      </c>
      <c r="K539" s="319"/>
      <c r="L539" s="306"/>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6" t="s">
        <v>226</v>
      </c>
      <c r="AA539" s="297"/>
      <c r="AB539" s="298"/>
      <c r="AC539" s="25"/>
      <c r="AD539" s="25"/>
      <c r="AH539" s="109">
        <v>2</v>
      </c>
      <c r="AI539" s="109" t="str">
        <f>IF($E540="SS",COUNTIFS($C550:$C574,"FST",$E550:$E574,"2"),"0")</f>
        <v>0</v>
      </c>
      <c r="AJ539" s="109">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RPX</v>
      </c>
      <c r="F540" s="88"/>
      <c r="G540" s="305" t="s">
        <v>230</v>
      </c>
      <c r="H540" s="306"/>
      <c r="I540" s="33">
        <f>E541-I539</f>
        <v>0</v>
      </c>
      <c r="J540" s="290" t="s">
        <v>231</v>
      </c>
      <c r="K540" s="291"/>
      <c r="L540" s="34">
        <f>I544</f>
        <v>673</v>
      </c>
      <c r="M540" s="196">
        <v>4</v>
      </c>
      <c r="N540" s="35">
        <f>SUM(AI540,AI551)</f>
        <v>0</v>
      </c>
      <c r="O540" s="35">
        <v>0</v>
      </c>
      <c r="P540" s="35">
        <f>SUM(AJ540,AJ551)</f>
        <v>3</v>
      </c>
      <c r="Q540" s="35">
        <v>0</v>
      </c>
      <c r="R540" s="35">
        <f>COUNTIFS($E550:$E574,"4",$F550:$F574,"Pole",$C550:$C574,"FST")</f>
        <v>3</v>
      </c>
      <c r="S540" s="35">
        <f>SUM(AL540,AK551)</f>
        <v>0</v>
      </c>
      <c r="T540" s="35">
        <v>0</v>
      </c>
      <c r="U540" s="35">
        <f>SUM(AK540,AL551)</f>
        <v>0</v>
      </c>
      <c r="V540" s="35">
        <v>0</v>
      </c>
      <c r="W540" s="34">
        <f>COUNTIFS($E550:$E574,"4",$F550:$F574,"HH",$C550:$C574,"FST")</f>
        <v>0</v>
      </c>
      <c r="X540" s="35">
        <f>COUNTIFS($E550:$E574,"4",$F550:$F574,"Ped",$C550:$C574,"FST")</f>
        <v>0</v>
      </c>
      <c r="Y540" s="25"/>
      <c r="Z540" s="299" t="s">
        <v>232</v>
      </c>
      <c r="AA540" s="301" t="s">
        <v>233</v>
      </c>
      <c r="AB540" s="302"/>
      <c r="AC540" s="25"/>
      <c r="AD540" s="25"/>
      <c r="AH540" s="109">
        <v>4</v>
      </c>
      <c r="AI540" s="109" t="str">
        <f>IF($E540="SS",COUNTIFS($C550:$C574,"FST",$E550:$E574,"4"),"0")</f>
        <v>0</v>
      </c>
      <c r="AJ540" s="109">
        <f>IF($E540="RPX",COUNTIFS($C550:$C574,"FST",$E550:$E574,"4"),"0")</f>
        <v>3</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24</v>
      </c>
      <c r="F541" s="88"/>
      <c r="G541" s="292" t="s">
        <v>237</v>
      </c>
      <c r="H541" s="293"/>
      <c r="I541" s="35">
        <f>IF(E541=0,0,12-(MOD(I539,12)))</f>
        <v>12</v>
      </c>
      <c r="J541" s="290" t="s">
        <v>238</v>
      </c>
      <c r="K541" s="291"/>
      <c r="L541" s="39">
        <f>I545-I539</f>
        <v>672</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0"/>
      <c r="AA541" s="303"/>
      <c r="AB541" s="304"/>
      <c r="AC541" s="25"/>
      <c r="AD541" s="25"/>
      <c r="AH541" s="109">
        <v>6</v>
      </c>
      <c r="AI541" s="109" t="str">
        <f>IF($E540="SS",COUNTIFS($C550:$C574,"FST",$E550:$E574,"6"),"0")</f>
        <v>0</v>
      </c>
      <c r="AJ541" s="109">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0</v>
      </c>
      <c r="F542" s="88"/>
      <c r="G542" s="322" t="s">
        <v>242</v>
      </c>
      <c r="H542" s="43" t="s">
        <v>243</v>
      </c>
      <c r="I542" s="35">
        <f>IF(E542&lt;&gt;0,1,0)</f>
        <v>0</v>
      </c>
      <c r="J542" s="292" t="s">
        <v>244</v>
      </c>
      <c r="K542" s="293"/>
      <c r="L542" s="44">
        <f>'Cable Calculator'!BQ3</f>
        <v>1126</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673</v>
      </c>
      <c r="F543" s="88"/>
      <c r="G543" s="323"/>
      <c r="H543" s="47" t="s">
        <v>248</v>
      </c>
      <c r="I543" s="35">
        <f>IF(E542&lt;&gt;0,E542,0)</f>
        <v>0</v>
      </c>
      <c r="J543" s="194"/>
      <c r="K543" s="195"/>
      <c r="L543" s="48"/>
      <c r="M543" s="196">
        <v>12</v>
      </c>
      <c r="N543" s="35" t="str">
        <f>IF($E540="SS",SUM(AI543,AJ554,AM575,AO575,AQ575),"0")</f>
        <v>0</v>
      </c>
      <c r="O543" s="35" t="str">
        <f>IF($E540="SS",SUM(AN575,AP575,AR575),"0")</f>
        <v>0</v>
      </c>
      <c r="P543" s="35">
        <f>IF($E540="RPX",SUM(AJ543,AJ554,AM575,AO575,AQ575),"0")</f>
        <v>0</v>
      </c>
      <c r="Q543" s="35">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2</v>
      </c>
      <c r="F544" s="88"/>
      <c r="G544" s="322" t="s">
        <v>251</v>
      </c>
      <c r="H544" s="51" t="s">
        <v>252</v>
      </c>
      <c r="I544" s="112">
        <f>E543</f>
        <v>673</v>
      </c>
      <c r="J544" s="324" t="s">
        <v>253</v>
      </c>
      <c r="K544" s="325"/>
      <c r="L544" s="326"/>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3"/>
      <c r="H545" s="47" t="s">
        <v>257</v>
      </c>
      <c r="I545" s="35">
        <f>IF(E543="","0",IF(AND(E540="EUC",E541=432), I544+(203-E542),IF(E543=0,0,(E543+(E541-E542)-1))))</f>
        <v>696</v>
      </c>
      <c r="J545" s="287" t="str">
        <f>IFERROR(IF(OR(E540="EUC",E540="SS"),"---",IF(OR(P539,S539),"NO 2F Tethers for RPX!",IF(OR(P541,S541),"NO 6F Tethers for RPX!","---"))),"---")</f>
        <v>---</v>
      </c>
      <c r="K545" s="288"/>
      <c r="L545" s="289"/>
      <c r="M545" s="287" t="str">
        <f>IF(E542&gt;60,"Dead Count &gt;60: Consider Downsize","---")</f>
        <v>---</v>
      </c>
      <c r="N545" s="288"/>
      <c r="O545" s="288"/>
      <c r="P545" s="288"/>
      <c r="Q545" s="288"/>
      <c r="R545" s="288"/>
      <c r="S545" s="288"/>
      <c r="T545" s="288"/>
      <c r="U545" s="289"/>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24</v>
      </c>
      <c r="D546" s="31" t="s">
        <v>259</v>
      </c>
      <c r="E546" s="101" t="str">
        <f>IF(AS540="Y","DBL",IF(AS541="Y","TRPL",IF(AS542="Y","QUAD","")))</f>
        <v/>
      </c>
      <c r="F546" s="88"/>
      <c r="G546" s="192"/>
      <c r="H546" s="57"/>
      <c r="I546" s="192"/>
      <c r="J546" s="287"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8"/>
      <c r="L546" s="289"/>
      <c r="M546" s="287" t="str">
        <f>IF(AND(OR(E540="SS",E540="RPX",E540="EUC",E540="RPX-T"),(OR(C550="",C550="Field SPL"))),"Cannot have FlexNap cables without tethers","---")</f>
        <v>---</v>
      </c>
      <c r="N546" s="288"/>
      <c r="O546" s="288"/>
      <c r="P546" s="288"/>
      <c r="Q546" s="288"/>
      <c r="R546" s="288"/>
      <c r="S546" s="288"/>
      <c r="T546" s="288"/>
      <c r="U546" s="289"/>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7" t="str">
        <f>IF(AND(OR(E540="RPX", E540="RPX-T", E540="SS"),E541=216),"NO 216 For RPX, RPX-T, OR SS CABLE","---")</f>
        <v>---</v>
      </c>
      <c r="K547" s="288"/>
      <c r="L547" s="289"/>
      <c r="M547" s="287" t="str" cm="1">
        <f t="array" ref="M547">IF(AND(E540="",OR(C550:C574="FST",C550:C574="REV T",C550:C574="DBL REV",C550:C574="TPL REV", C550:C574="QD REV")),"Non-FlexNap cables cannot have tethers","---")</f>
        <v>---</v>
      </c>
      <c r="N547" s="288"/>
      <c r="O547" s="288"/>
      <c r="P547" s="288"/>
      <c r="Q547" s="288"/>
      <c r="R547" s="288"/>
      <c r="S547" s="288"/>
      <c r="T547" s="288"/>
      <c r="U547" s="289"/>
      <c r="V547" s="25"/>
      <c r="W547" s="58"/>
      <c r="X547" s="58"/>
      <c r="Y547" s="25"/>
      <c r="Z547" s="45">
        <v>6</v>
      </c>
      <c r="AA547" s="65">
        <v>61</v>
      </c>
      <c r="AB547" s="65">
        <v>72</v>
      </c>
      <c r="AC547" s="25"/>
      <c r="AD547" s="25"/>
      <c r="BA547" s="226"/>
    </row>
    <row r="548" spans="1:53" ht="15.75" customHeight="1" thickBot="1" x14ac:dyDescent="0.3">
      <c r="A548" s="88"/>
      <c r="B548" s="322" t="s">
        <v>260</v>
      </c>
      <c r="C548" s="294" t="s">
        <v>261</v>
      </c>
      <c r="D548" s="294" t="s">
        <v>262</v>
      </c>
      <c r="E548" s="307" t="s">
        <v>263</v>
      </c>
      <c r="F548" s="294" t="s">
        <v>264</v>
      </c>
      <c r="G548" s="309" t="s">
        <v>265</v>
      </c>
      <c r="H548" s="309" t="s">
        <v>266</v>
      </c>
      <c r="I548" s="309" t="s">
        <v>267</v>
      </c>
      <c r="J548" s="311" t="s">
        <v>268</v>
      </c>
      <c r="K548" s="294" t="s">
        <v>269</v>
      </c>
      <c r="L548" s="281" t="s">
        <v>270</v>
      </c>
      <c r="M548" s="283" t="s">
        <v>271</v>
      </c>
      <c r="N548" s="283"/>
      <c r="O548" s="283"/>
      <c r="P548" s="283"/>
      <c r="Q548" s="283"/>
      <c r="R548" s="283"/>
      <c r="S548" s="283"/>
      <c r="T548" s="283"/>
      <c r="U548" s="284"/>
      <c r="V548" s="107"/>
      <c r="W548" s="72"/>
      <c r="X548" s="72"/>
      <c r="Y548" s="72"/>
      <c r="Z548" s="45">
        <v>7</v>
      </c>
      <c r="AA548" s="65">
        <v>73</v>
      </c>
      <c r="AB548" s="65">
        <v>84</v>
      </c>
      <c r="AC548" s="25"/>
      <c r="AD548" s="25"/>
      <c r="BA548" s="228"/>
    </row>
    <row r="549" spans="1:53" ht="15.75" thickBot="1" x14ac:dyDescent="0.3">
      <c r="A549" s="88"/>
      <c r="B549" s="323"/>
      <c r="C549" s="295"/>
      <c r="D549" s="295"/>
      <c r="E549" s="308"/>
      <c r="F549" s="295"/>
      <c r="G549" s="310"/>
      <c r="H549" s="310"/>
      <c r="I549" s="310"/>
      <c r="J549" s="312"/>
      <c r="K549" s="295"/>
      <c r="L549" s="282"/>
      <c r="M549" s="285"/>
      <c r="N549" s="285"/>
      <c r="O549" s="285"/>
      <c r="P549" s="285"/>
      <c r="Q549" s="285"/>
      <c r="R549" s="285"/>
      <c r="S549" s="285"/>
      <c r="T549" s="285"/>
      <c r="U549" s="286"/>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784</v>
      </c>
      <c r="E550" s="32">
        <v>4</v>
      </c>
      <c r="F550" s="32" t="s">
        <v>483</v>
      </c>
      <c r="G550" s="68" t="s">
        <v>277</v>
      </c>
      <c r="H550" s="69">
        <f>IF(I550=0,0,I550-(E550-1))</f>
        <v>693</v>
      </c>
      <c r="I550" s="70">
        <f>IF(E550=0,0,I545)</f>
        <v>696</v>
      </c>
      <c r="J550" s="71" t="s">
        <v>278</v>
      </c>
      <c r="K550" s="32"/>
      <c r="L550" s="233"/>
      <c r="M550" s="279"/>
      <c r="N550" s="279"/>
      <c r="O550" s="279"/>
      <c r="P550" s="279"/>
      <c r="Q550" s="279"/>
      <c r="R550" s="279"/>
      <c r="S550" s="279"/>
      <c r="T550" s="279"/>
      <c r="U550" s="280"/>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693-696</v>
      </c>
      <c r="AF550" s="109" t="str">
        <f t="shared" ref="AF550:AF574" si="224">IF(C550="Field SPL","N","Y")</f>
        <v>Y</v>
      </c>
      <c r="AG550" s="109" t="str">
        <f t="shared" ref="AG550:AG574" si="225">IF(OR(E$540="RPX",E$540="SS"),"A","B")</f>
        <v>A</v>
      </c>
      <c r="AH550" s="109">
        <v>2</v>
      </c>
      <c r="AI550" s="109" t="str">
        <f>IF(E540="SS",COUNTIFS(C550:C574,"TCF",E550:E574,"2"),"")</f>
        <v/>
      </c>
      <c r="AJ550" s="109">
        <f>IF(E540="RPX",COUNTIFS(C550:C574,"TCF",E550:E574,"2"),"")</f>
        <v>0</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825</v>
      </c>
      <c r="E551" s="32">
        <v>4</v>
      </c>
      <c r="F551" s="32" t="s">
        <v>483</v>
      </c>
      <c r="G551" s="68" t="s">
        <v>277</v>
      </c>
      <c r="H551" s="69">
        <f t="shared" ref="H551:H574" si="230">IF(E551=0,0,I551-(E551-1))</f>
        <v>689</v>
      </c>
      <c r="I551" s="70">
        <f t="shared" ref="I551:I574" si="231">IF(E551=0,0,H550-1)</f>
        <v>692</v>
      </c>
      <c r="J551" s="73" t="str">
        <f>IF(C551="","--",IF(AND(C551&lt;&gt;"FST",C551&lt;&gt;"TCF",BA550&lt;&gt;0),BA550,"--"))</f>
        <v>--</v>
      </c>
      <c r="K551" s="32"/>
      <c r="L551" s="233"/>
      <c r="M551" s="279"/>
      <c r="N551" s="279"/>
      <c r="O551" s="279"/>
      <c r="P551" s="279"/>
      <c r="Q551" s="279"/>
      <c r="R551" s="279"/>
      <c r="S551" s="279"/>
      <c r="T551" s="279"/>
      <c r="U551" s="280"/>
      <c r="V551" s="103"/>
      <c r="W551" s="72"/>
      <c r="X551" s="72"/>
      <c r="Y551" s="72"/>
      <c r="Z551" s="45">
        <v>10</v>
      </c>
      <c r="AA551" s="46">
        <v>109</v>
      </c>
      <c r="AB551" s="46">
        <v>120</v>
      </c>
      <c r="AC551" s="72">
        <f t="shared" si="221"/>
        <v>1</v>
      </c>
      <c r="AD551" s="72">
        <f t="shared" si="222"/>
        <v>0</v>
      </c>
      <c r="AE551" s="109" t="str">
        <f t="shared" si="223"/>
        <v>689-692</v>
      </c>
      <c r="AF551" s="109" t="str">
        <f t="shared" si="224"/>
        <v>Y</v>
      </c>
      <c r="AG551" s="109" t="str">
        <f t="shared" si="225"/>
        <v>A</v>
      </c>
      <c r="AH551" s="109">
        <v>4</v>
      </c>
      <c r="AI551" s="109" t="str">
        <f>IF(E540="SS",COUNTIFS(C550:C574,"TCF",E550:E574,"4"),"")</f>
        <v/>
      </c>
      <c r="AJ551" s="109">
        <f>IF(E540="RPX",COUNTIFS(C550:C574,"TCF",E550:E574,"4"),"")</f>
        <v>0</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785</v>
      </c>
      <c r="E552" s="32">
        <v>4</v>
      </c>
      <c r="F552" s="32" t="s">
        <v>483</v>
      </c>
      <c r="G552" s="75" t="s">
        <v>277</v>
      </c>
      <c r="H552" s="69">
        <f t="shared" si="230"/>
        <v>685</v>
      </c>
      <c r="I552" s="70">
        <f t="shared" si="231"/>
        <v>688</v>
      </c>
      <c r="J552" s="73" t="str">
        <f t="shared" ref="J552:J574" si="232">IF(C552="","--",IF(AND(C552&lt;&gt;"FST",C552&lt;&gt;"TCF",BA551&lt;&gt;0),BA551,"--"))</f>
        <v>--</v>
      </c>
      <c r="K552" s="32"/>
      <c r="L552" s="233"/>
      <c r="M552" s="279"/>
      <c r="N552" s="279"/>
      <c r="O552" s="279"/>
      <c r="P552" s="279"/>
      <c r="Q552" s="279"/>
      <c r="R552" s="279"/>
      <c r="S552" s="279"/>
      <c r="T552" s="279"/>
      <c r="U552" s="280"/>
      <c r="V552" s="103"/>
      <c r="W552" s="72"/>
      <c r="X552" s="72"/>
      <c r="Y552" s="72"/>
      <c r="Z552" s="45">
        <v>11</v>
      </c>
      <c r="AA552" s="46">
        <v>121</v>
      </c>
      <c r="AB552" s="46">
        <v>132</v>
      </c>
      <c r="AC552" s="72">
        <f t="shared" si="221"/>
        <v>1</v>
      </c>
      <c r="AD552" s="72">
        <f t="shared" si="222"/>
        <v>0</v>
      </c>
      <c r="AE552" s="109" t="str">
        <f t="shared" si="223"/>
        <v>685-688</v>
      </c>
      <c r="AF552" s="109" t="str">
        <f t="shared" si="224"/>
        <v>Y</v>
      </c>
      <c r="AG552" s="109" t="str">
        <f t="shared" si="225"/>
        <v>A</v>
      </c>
      <c r="AH552" s="109">
        <v>6</v>
      </c>
      <c r="AI552" s="109" t="str">
        <f>IF(E540="SS",COUNTIFS(C550:C574,"TCF",E550:E574,"6"),"")</f>
        <v/>
      </c>
      <c r="AJ552" s="109">
        <f>IF(E540="RPX",COUNTIFS(C550:C574,"TCF",E550:E574,"6"),"")</f>
        <v>0</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502</v>
      </c>
      <c r="D553" s="102"/>
      <c r="E553" s="32">
        <v>12</v>
      </c>
      <c r="F553" s="32"/>
      <c r="G553" s="68" t="s">
        <v>277</v>
      </c>
      <c r="H553" s="69">
        <f t="shared" si="230"/>
        <v>673</v>
      </c>
      <c r="I553" s="70">
        <f t="shared" si="231"/>
        <v>684</v>
      </c>
      <c r="J553" s="73" t="str">
        <f t="shared" si="232"/>
        <v>--</v>
      </c>
      <c r="K553" s="32"/>
      <c r="L553" s="233"/>
      <c r="M553" s="279" t="s">
        <v>420</v>
      </c>
      <c r="N553" s="279"/>
      <c r="O553" s="279"/>
      <c r="P553" s="279"/>
      <c r="Q553" s="279"/>
      <c r="R553" s="279"/>
      <c r="S553" s="279"/>
      <c r="T553" s="279"/>
      <c r="U553" s="280"/>
      <c r="V553" s="103"/>
      <c r="W553" s="72"/>
      <c r="X553" s="72"/>
      <c r="Y553" s="72"/>
      <c r="Z553" s="45">
        <v>12</v>
      </c>
      <c r="AA553" s="76">
        <v>133</v>
      </c>
      <c r="AB553" s="76">
        <v>144</v>
      </c>
      <c r="AC553" s="72">
        <f t="shared" si="221"/>
        <v>1</v>
      </c>
      <c r="AD553" s="72">
        <f t="shared" si="222"/>
        <v>1</v>
      </c>
      <c r="AE553" s="109" t="str">
        <f t="shared" si="223"/>
        <v>673-684</v>
      </c>
      <c r="AF553" s="109" t="str">
        <f t="shared" si="224"/>
        <v>N</v>
      </c>
      <c r="AG553" s="109" t="str">
        <f t="shared" si="225"/>
        <v>A</v>
      </c>
      <c r="AH553" s="109">
        <v>8</v>
      </c>
      <c r="AI553" s="109" t="str">
        <f>IF(E540="SS",COUNTIFS(C550:C574,"TCF",E550:E574,"8"),"")</f>
        <v/>
      </c>
      <c r="AJ553" s="109">
        <f>IF(E540="RPX",COUNTIFS(C550:C574,"TCF",E550:E574,"8"),"")</f>
        <v>0</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79"/>
      <c r="N554" s="279"/>
      <c r="O554" s="279"/>
      <c r="P554" s="279"/>
      <c r="Q554" s="279"/>
      <c r="R554" s="279"/>
      <c r="S554" s="279"/>
      <c r="T554" s="279"/>
      <c r="U554" s="280"/>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A</v>
      </c>
      <c r="AH554" s="109">
        <v>12</v>
      </c>
      <c r="AI554" s="109" t="str">
        <f>IF(E540="SS",COUNTIFS(C550:C574,"TCF",E550:E574,"12"),"")</f>
        <v/>
      </c>
      <c r="AJ554" s="109">
        <f>IF(E540="RPX",COUNTIFS(C550:C574,"TCF",E550:E574,"12"),"")</f>
        <v>0</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79"/>
      <c r="N555" s="279"/>
      <c r="O555" s="279"/>
      <c r="P555" s="279"/>
      <c r="Q555" s="279"/>
      <c r="R555" s="279"/>
      <c r="S555" s="279"/>
      <c r="T555" s="279"/>
      <c r="U555" s="280"/>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A</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79"/>
      <c r="N556" s="279"/>
      <c r="O556" s="279"/>
      <c r="P556" s="279"/>
      <c r="Q556" s="279"/>
      <c r="R556" s="279"/>
      <c r="S556" s="279"/>
      <c r="T556" s="279"/>
      <c r="U556" s="280"/>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A</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79"/>
      <c r="N557" s="279"/>
      <c r="O557" s="279"/>
      <c r="P557" s="279"/>
      <c r="Q557" s="279"/>
      <c r="R557" s="279"/>
      <c r="S557" s="279"/>
      <c r="T557" s="279"/>
      <c r="U557" s="280"/>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A</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9"/>
      <c r="N558" s="279"/>
      <c r="O558" s="279"/>
      <c r="P558" s="279"/>
      <c r="Q558" s="279"/>
      <c r="R558" s="279"/>
      <c r="S558" s="279"/>
      <c r="T558" s="279"/>
      <c r="U558" s="280"/>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A</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9"/>
      <c r="N559" s="279"/>
      <c r="O559" s="279"/>
      <c r="P559" s="279"/>
      <c r="Q559" s="279"/>
      <c r="R559" s="279"/>
      <c r="S559" s="279"/>
      <c r="T559" s="279"/>
      <c r="U559" s="280"/>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A</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9"/>
      <c r="N560" s="279"/>
      <c r="O560" s="279"/>
      <c r="P560" s="279"/>
      <c r="Q560" s="279"/>
      <c r="R560" s="279"/>
      <c r="S560" s="279"/>
      <c r="T560" s="279"/>
      <c r="U560" s="280"/>
      <c r="V560" s="103"/>
      <c r="W560" s="84"/>
      <c r="X560" s="84"/>
      <c r="Y560" s="72"/>
      <c r="Z560" s="72"/>
      <c r="AA560" s="72"/>
      <c r="AB560" s="72"/>
      <c r="AC560" s="72">
        <f t="shared" si="221"/>
        <v>1</v>
      </c>
      <c r="AD560" s="72">
        <f t="shared" si="222"/>
        <v>1</v>
      </c>
      <c r="AE560" s="109" t="str">
        <f t="shared" si="223"/>
        <v>0-0</v>
      </c>
      <c r="AF560" s="109" t="str">
        <f t="shared" si="224"/>
        <v>Y</v>
      </c>
      <c r="AG560" s="109" t="str">
        <f t="shared" si="225"/>
        <v>A</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9"/>
      <c r="N561" s="279"/>
      <c r="O561" s="279"/>
      <c r="P561" s="279"/>
      <c r="Q561" s="279"/>
      <c r="R561" s="279"/>
      <c r="S561" s="279"/>
      <c r="T561" s="279"/>
      <c r="U561" s="280"/>
      <c r="V561" s="103"/>
      <c r="W561" s="84">
        <f>Y561+1</f>
        <v>25</v>
      </c>
      <c r="X561" s="84"/>
      <c r="Y561" s="78">
        <f>SUM(E550:E561)</f>
        <v>24</v>
      </c>
      <c r="Z561" s="72"/>
      <c r="AA561" s="72"/>
      <c r="AB561" s="72"/>
      <c r="AC561" s="72">
        <f t="shared" si="221"/>
        <v>1</v>
      </c>
      <c r="AD561" s="72">
        <f t="shared" si="222"/>
        <v>1</v>
      </c>
      <c r="AE561" s="109" t="str">
        <f t="shared" si="223"/>
        <v>0-0</v>
      </c>
      <c r="AF561" s="109" t="str">
        <f t="shared" si="224"/>
        <v>Y</v>
      </c>
      <c r="AG561" s="109" t="str">
        <f t="shared" si="225"/>
        <v>A</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9"/>
      <c r="N562" s="279"/>
      <c r="O562" s="279"/>
      <c r="P562" s="279"/>
      <c r="Q562" s="279"/>
      <c r="R562" s="279"/>
      <c r="S562" s="279"/>
      <c r="T562" s="279"/>
      <c r="U562" s="280"/>
      <c r="V562" s="103"/>
      <c r="W562" s="84">
        <f>Y562+1</f>
        <v>25</v>
      </c>
      <c r="X562" s="84"/>
      <c r="Y562" s="78">
        <f>SUM(E550:E562)</f>
        <v>24</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A</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9"/>
      <c r="N563" s="279"/>
      <c r="O563" s="279"/>
      <c r="P563" s="279"/>
      <c r="Q563" s="279"/>
      <c r="R563" s="279"/>
      <c r="S563" s="279"/>
      <c r="T563" s="279"/>
      <c r="U563" s="280"/>
      <c r="V563" s="103"/>
      <c r="W563" s="84">
        <f>Y563+1</f>
        <v>25</v>
      </c>
      <c r="X563" s="84"/>
      <c r="Y563" s="78">
        <f>SUM(E550:E563)</f>
        <v>24</v>
      </c>
      <c r="Z563" s="72" t="str">
        <f t="shared" si="235"/>
        <v/>
      </c>
      <c r="AA563" s="72"/>
      <c r="AB563" s="72"/>
      <c r="AC563" s="72">
        <f t="shared" si="221"/>
        <v>1</v>
      </c>
      <c r="AD563" s="72">
        <f t="shared" si="222"/>
        <v>1</v>
      </c>
      <c r="AE563" s="109" t="str">
        <f t="shared" si="223"/>
        <v>0-0</v>
      </c>
      <c r="AF563" s="109" t="str">
        <f t="shared" si="224"/>
        <v>Y</v>
      </c>
      <c r="AG563" s="109" t="str">
        <f t="shared" si="225"/>
        <v>A</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9"/>
      <c r="N564" s="279"/>
      <c r="O564" s="279"/>
      <c r="P564" s="279"/>
      <c r="Q564" s="279"/>
      <c r="R564" s="279"/>
      <c r="S564" s="279"/>
      <c r="T564" s="279"/>
      <c r="U564" s="280"/>
      <c r="V564" s="103"/>
      <c r="W564" s="84">
        <f>Y564+1</f>
        <v>25</v>
      </c>
      <c r="X564" s="84"/>
      <c r="Y564" s="78">
        <f>SUM(E550:E564)</f>
        <v>24</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A</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9"/>
      <c r="N565" s="279"/>
      <c r="O565" s="279"/>
      <c r="P565" s="279"/>
      <c r="Q565" s="279"/>
      <c r="R565" s="279"/>
      <c r="S565" s="279"/>
      <c r="T565" s="279"/>
      <c r="U565" s="280"/>
      <c r="V565" s="103"/>
      <c r="W565" s="84">
        <f t="shared" ref="W565:W573" si="237">Y565+1</f>
        <v>25</v>
      </c>
      <c r="X565" s="84"/>
      <c r="Y565" s="78">
        <f>SUM(E550:E565)</f>
        <v>24</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A</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9"/>
      <c r="N566" s="279"/>
      <c r="O566" s="279"/>
      <c r="P566" s="279"/>
      <c r="Q566" s="279"/>
      <c r="R566" s="279"/>
      <c r="S566" s="279"/>
      <c r="T566" s="279"/>
      <c r="U566" s="280"/>
      <c r="V566" s="103"/>
      <c r="W566" s="84">
        <f t="shared" si="237"/>
        <v>25</v>
      </c>
      <c r="X566" s="84"/>
      <c r="Y566" s="78">
        <f>SUM(E550:E566)</f>
        <v>24</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A</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9"/>
      <c r="N567" s="279"/>
      <c r="O567" s="279"/>
      <c r="P567" s="279"/>
      <c r="Q567" s="279"/>
      <c r="R567" s="279"/>
      <c r="S567" s="279"/>
      <c r="T567" s="279"/>
      <c r="U567" s="280"/>
      <c r="V567" s="103"/>
      <c r="W567" s="84">
        <f t="shared" si="237"/>
        <v>25</v>
      </c>
      <c r="X567" s="84"/>
      <c r="Y567" s="78">
        <f>SUM(E550:E567)</f>
        <v>24</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A</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9"/>
      <c r="N568" s="279"/>
      <c r="O568" s="279"/>
      <c r="P568" s="279"/>
      <c r="Q568" s="279"/>
      <c r="R568" s="279"/>
      <c r="S568" s="279"/>
      <c r="T568" s="279"/>
      <c r="U568" s="280"/>
      <c r="V568" s="103"/>
      <c r="W568" s="84">
        <f t="shared" si="237"/>
        <v>25</v>
      </c>
      <c r="X568" s="84"/>
      <c r="Y568" s="78">
        <f>SUM(E550:E568)</f>
        <v>24</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A</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9"/>
      <c r="N569" s="279"/>
      <c r="O569" s="279"/>
      <c r="P569" s="279"/>
      <c r="Q569" s="279"/>
      <c r="R569" s="279"/>
      <c r="S569" s="279"/>
      <c r="T569" s="279"/>
      <c r="U569" s="280"/>
      <c r="V569" s="103"/>
      <c r="W569" s="84">
        <f t="shared" si="237"/>
        <v>25</v>
      </c>
      <c r="X569" s="84"/>
      <c r="Y569" s="78">
        <f>SUM(E550:E569)</f>
        <v>24</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A</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9"/>
      <c r="N570" s="279"/>
      <c r="O570" s="279"/>
      <c r="P570" s="279"/>
      <c r="Q570" s="279"/>
      <c r="R570" s="279"/>
      <c r="S570" s="279"/>
      <c r="T570" s="279"/>
      <c r="U570" s="280"/>
      <c r="V570" s="103"/>
      <c r="W570" s="84">
        <f t="shared" si="237"/>
        <v>25</v>
      </c>
      <c r="X570" s="84"/>
      <c r="Y570" s="78">
        <f>SUM(E550:E570)</f>
        <v>24</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A</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9"/>
      <c r="N571" s="279"/>
      <c r="O571" s="279"/>
      <c r="P571" s="279"/>
      <c r="Q571" s="279"/>
      <c r="R571" s="279"/>
      <c r="S571" s="279"/>
      <c r="T571" s="279"/>
      <c r="U571" s="280"/>
      <c r="V571" s="103"/>
      <c r="W571" s="84">
        <f t="shared" si="237"/>
        <v>25</v>
      </c>
      <c r="X571" s="84"/>
      <c r="Y571" s="78">
        <f>SUM(E550:E571)</f>
        <v>24</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A</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9"/>
      <c r="N572" s="279"/>
      <c r="O572" s="279"/>
      <c r="P572" s="279"/>
      <c r="Q572" s="279"/>
      <c r="R572" s="279"/>
      <c r="S572" s="279"/>
      <c r="T572" s="279"/>
      <c r="U572" s="280"/>
      <c r="V572" s="103"/>
      <c r="W572" s="84">
        <f t="shared" si="237"/>
        <v>25</v>
      </c>
      <c r="X572" s="84"/>
      <c r="Y572" s="78">
        <f>SUM(E550:E572)</f>
        <v>24</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A</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9"/>
      <c r="N573" s="279"/>
      <c r="O573" s="279"/>
      <c r="P573" s="279"/>
      <c r="Q573" s="279"/>
      <c r="R573" s="279"/>
      <c r="S573" s="279"/>
      <c r="T573" s="279"/>
      <c r="U573" s="280"/>
      <c r="V573" s="103"/>
      <c r="W573" s="84">
        <f t="shared" si="237"/>
        <v>25</v>
      </c>
      <c r="X573" s="84"/>
      <c r="Y573" s="78">
        <f>SUM(E550:E573)</f>
        <v>24</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A</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9"/>
      <c r="N574" s="279"/>
      <c r="O574" s="279"/>
      <c r="P574" s="279"/>
      <c r="Q574" s="279"/>
      <c r="R574" s="279"/>
      <c r="S574" s="279"/>
      <c r="T574" s="279"/>
      <c r="U574" s="280"/>
      <c r="V574" s="103"/>
      <c r="W574" s="72"/>
      <c r="X574" s="72"/>
      <c r="Y574" s="78">
        <f>SUM(E550:E574)</f>
        <v>24</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A</v>
      </c>
      <c r="AM574" s="109">
        <f t="shared" si="226"/>
        <v>0</v>
      </c>
      <c r="AN574" s="109">
        <f t="shared" si="227"/>
        <v>0</v>
      </c>
      <c r="AO574" s="109" t="str">
        <f t="shared" si="228"/>
        <v/>
      </c>
      <c r="AQ574" s="109" t="str">
        <f t="shared" si="229"/>
        <v/>
      </c>
      <c r="BA574" s="228"/>
    </row>
    <row r="575" spans="1:53" ht="16.5" thickBot="1" x14ac:dyDescent="0.3">
      <c r="A575" s="88"/>
      <c r="B575" s="320" t="s">
        <v>331</v>
      </c>
      <c r="C575" s="321"/>
      <c r="D575" s="79"/>
      <c r="E575" s="80"/>
      <c r="F575" s="80"/>
      <c r="G575" s="81"/>
      <c r="H575" s="192"/>
      <c r="I575" s="192"/>
      <c r="J575" s="192"/>
      <c r="K575" s="82"/>
      <c r="L575" s="320" t="s">
        <v>306</v>
      </c>
      <c r="M575" s="331"/>
      <c r="N575" s="331"/>
      <c r="O575" s="331"/>
      <c r="P575" s="331"/>
      <c r="Q575" s="331"/>
      <c r="R575" s="331"/>
      <c r="S575" s="331"/>
      <c r="T575" s="331"/>
      <c r="U575" s="321"/>
      <c r="V575" s="104"/>
      <c r="W575" s="72"/>
      <c r="X575" s="72"/>
      <c r="Y575" s="72"/>
      <c r="Z575" s="72"/>
      <c r="AA575" s="72" t="str">
        <f t="shared" si="236"/>
        <v/>
      </c>
      <c r="AB575" s="72"/>
      <c r="AC575" s="72">
        <f>SUM(AC550:AC574)</f>
        <v>25</v>
      </c>
      <c r="AD575" s="72">
        <f>SUM(AD550:AD574)</f>
        <v>22</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20" t="s">
        <v>307</v>
      </c>
      <c r="C576" s="321"/>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3" t="s">
        <v>222</v>
      </c>
      <c r="C580" s="314"/>
      <c r="D580" s="315" t="s">
        <v>223</v>
      </c>
      <c r="E580" s="306"/>
      <c r="F580" s="88"/>
      <c r="G580" s="316" t="s">
        <v>224</v>
      </c>
      <c r="H580" s="317"/>
      <c r="I580" s="28">
        <f>SUM(E591:E615)</f>
        <v>12</v>
      </c>
      <c r="J580" s="318" t="s">
        <v>225</v>
      </c>
      <c r="K580" s="319"/>
      <c r="L580" s="306"/>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6" t="s">
        <v>226</v>
      </c>
      <c r="AA580" s="297"/>
      <c r="AB580" s="298"/>
      <c r="AC580" s="25"/>
      <c r="AD580" s="25"/>
      <c r="AH580" s="109">
        <v>2</v>
      </c>
      <c r="AI580" s="109" t="str">
        <f>IF($E581="SS",COUNTIFS($C591:$C615,"FST",$E591:$E615,"2"),"0")</f>
        <v>0</v>
      </c>
      <c r="AJ580" s="109">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1</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RPX</v>
      </c>
      <c r="F581" s="88"/>
      <c r="G581" s="305" t="s">
        <v>230</v>
      </c>
      <c r="H581" s="306"/>
      <c r="I581" s="33">
        <f>E582-I580</f>
        <v>12</v>
      </c>
      <c r="J581" s="290" t="s">
        <v>231</v>
      </c>
      <c r="K581" s="291"/>
      <c r="L581" s="34">
        <f>I585</f>
        <v>577</v>
      </c>
      <c r="M581" s="196">
        <v>4</v>
      </c>
      <c r="N581" s="35">
        <f>SUM(AI581,AI592)</f>
        <v>0</v>
      </c>
      <c r="O581" s="35">
        <v>0</v>
      </c>
      <c r="P581" s="35">
        <f>SUM(AJ581,AJ592)</f>
        <v>3</v>
      </c>
      <c r="Q581" s="35">
        <v>0</v>
      </c>
      <c r="R581" s="35">
        <f>COUNTIFS($E591:$E615,"4",$F591:$F615,"Pole",$C591:$C615,"FST")</f>
        <v>3</v>
      </c>
      <c r="S581" s="35">
        <f>SUM(AL581,AK592)</f>
        <v>0</v>
      </c>
      <c r="T581" s="35">
        <v>0</v>
      </c>
      <c r="U581" s="35">
        <f>SUM(AK581,AL592)</f>
        <v>0</v>
      </c>
      <c r="V581" s="35">
        <v>0</v>
      </c>
      <c r="W581" s="34">
        <f>COUNTIFS($E591:$E615,"4",$F591:$F615,"HH",$C591:$C615,"FST")</f>
        <v>0</v>
      </c>
      <c r="X581" s="35">
        <f>COUNTIFS($E591:$E615,"4",$F591:$F615,"Ped",$C591:$C615,"FST")</f>
        <v>0</v>
      </c>
      <c r="Y581" s="25"/>
      <c r="Z581" s="299" t="s">
        <v>232</v>
      </c>
      <c r="AA581" s="301" t="s">
        <v>233</v>
      </c>
      <c r="AB581" s="302"/>
      <c r="AC581" s="25"/>
      <c r="AD581" s="25"/>
      <c r="AH581" s="109">
        <v>4</v>
      </c>
      <c r="AI581" s="109" t="str">
        <f>IF($E581="SS",COUNTIFS($C591:$C615,"FST",$E591:$E615,"4"),"0")</f>
        <v>0</v>
      </c>
      <c r="AJ581" s="109">
        <f>IF($E581="RPX",COUNTIFS($C591:$C615,"FST",$E591:$E615,"4"),"0")</f>
        <v>3</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292" t="s">
        <v>237</v>
      </c>
      <c r="H582" s="293"/>
      <c r="I582" s="35">
        <f>IF(E582=0,0,12-(MOD(I580,12)))</f>
        <v>12</v>
      </c>
      <c r="J582" s="290" t="s">
        <v>238</v>
      </c>
      <c r="K582" s="291"/>
      <c r="L582" s="39">
        <f>I586-I580</f>
        <v>576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0"/>
      <c r="AA582" s="303"/>
      <c r="AB582" s="304"/>
      <c r="AC582" s="25"/>
      <c r="AD582" s="25"/>
      <c r="AH582" s="109">
        <v>6</v>
      </c>
      <c r="AI582" s="109" t="str">
        <f>IF($E581="SS",COUNTIFS($C591:$C615,"FST",$E591:$E615,"6"),"0")</f>
        <v>0</v>
      </c>
      <c r="AJ582" s="109">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322" t="s">
        <v>242</v>
      </c>
      <c r="H583" s="43" t="s">
        <v>243</v>
      </c>
      <c r="I583" s="35">
        <f>IF(E583&lt;&gt;0,1,0)</f>
        <v>1</v>
      </c>
      <c r="J583" s="292" t="s">
        <v>244</v>
      </c>
      <c r="K583" s="293"/>
      <c r="L583" s="44">
        <f>'Cable Calculator'!BV3</f>
        <v>978</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577</v>
      </c>
      <c r="F584" s="88"/>
      <c r="G584" s="323"/>
      <c r="H584" s="47" t="s">
        <v>248</v>
      </c>
      <c r="I584" s="35">
        <f>IF(E583&lt;&gt;0,E583,0)</f>
        <v>12</v>
      </c>
      <c r="J584" s="194"/>
      <c r="K584" s="195"/>
      <c r="L584" s="48"/>
      <c r="M584" s="196">
        <v>12</v>
      </c>
      <c r="N584" s="35" t="str">
        <f>IF($E581="SS",SUM(AI584,AJ595,AM616,AO616,AQ616),"0")</f>
        <v>0</v>
      </c>
      <c r="O584" s="35" t="str">
        <f>IF($E581="SS",SUM(AN616,AP616,AR616),"0")</f>
        <v>0</v>
      </c>
      <c r="P584" s="35">
        <f>IF($E581="RPX",SUM(AJ584,AJ595,AM616,AO616,AQ616),"0")</f>
        <v>0</v>
      </c>
      <c r="Q584" s="35">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322" t="s">
        <v>251</v>
      </c>
      <c r="H585" s="51" t="s">
        <v>252</v>
      </c>
      <c r="I585" s="112">
        <f>E584</f>
        <v>577</v>
      </c>
      <c r="J585" s="324" t="s">
        <v>253</v>
      </c>
      <c r="K585" s="325"/>
      <c r="L585" s="326"/>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Y</v>
      </c>
      <c r="F586" s="88"/>
      <c r="G586" s="323"/>
      <c r="H586" s="47" t="s">
        <v>257</v>
      </c>
      <c r="I586" s="35">
        <f>IF(E584="","0",IF(AND(E581="EUC",E582=432), I585+(203-E583),IF(E584=0,0,(E584+(E582-E583)-1))))</f>
        <v>588</v>
      </c>
      <c r="J586" s="287" t="str">
        <f>IFERROR(IF(OR(E581="EUC",E581="SS"),"---",IF(OR(P580,S580),"NO 2F Tethers for RPX!",IF(OR(P582,S582),"NO 6F Tethers for RPX!","---"))),"---")</f>
        <v>---</v>
      </c>
      <c r="K586" s="288"/>
      <c r="L586" s="289"/>
      <c r="M586" s="287" t="str">
        <f>IF(E583&gt;60,"Dead Count &gt;60: Consider Downsize","---")</f>
        <v>---</v>
      </c>
      <c r="N586" s="288"/>
      <c r="O586" s="288"/>
      <c r="P586" s="288"/>
      <c r="Q586" s="288"/>
      <c r="R586" s="288"/>
      <c r="S586" s="288"/>
      <c r="T586" s="288"/>
      <c r="U586" s="289"/>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12</v>
      </c>
      <c r="D587" s="31" t="s">
        <v>259</v>
      </c>
      <c r="E587" s="101" t="str">
        <f>IF(AS581="Y","DBL",IF(AS582="Y","TRPL",IF(AS583="Y","QUAD","")))</f>
        <v/>
      </c>
      <c r="F587" s="88"/>
      <c r="G587" s="192"/>
      <c r="H587" s="57"/>
      <c r="I587" s="192"/>
      <c r="J587" s="287"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8"/>
      <c r="L587" s="289"/>
      <c r="M587" s="287" t="str">
        <f>IF(AND(OR(E581="SS",E581="RPX",E581="EUC",E581="RPX-T"),(OR(C591="",C591="Field SPL"))),"Cannot have FlexNap cables without tethers","---")</f>
        <v>---</v>
      </c>
      <c r="N587" s="288"/>
      <c r="O587" s="288"/>
      <c r="P587" s="288"/>
      <c r="Q587" s="288"/>
      <c r="R587" s="288"/>
      <c r="S587" s="288"/>
      <c r="T587" s="288"/>
      <c r="U587" s="289"/>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7" t="str">
        <f>IF(AND(OR(E581="RPX", E581="RPX-T", E581="SS"),E582=216),"NO 216 For RPX, RPX-T, OR SS CABLE","---")</f>
        <v>---</v>
      </c>
      <c r="K588" s="288"/>
      <c r="L588" s="289"/>
      <c r="M588" s="287" t="str" cm="1">
        <f t="array" ref="M588">IF(AND(E581="",OR(C591:C615="FST",C591:C615="REV T",C591:C615="DBL REV",C591:C615="TPL REV", C591:C615="QD REV")),"Non-FlexNap cables cannot have tethers","---")</f>
        <v>---</v>
      </c>
      <c r="N588" s="288"/>
      <c r="O588" s="288"/>
      <c r="P588" s="288"/>
      <c r="Q588" s="288"/>
      <c r="R588" s="288"/>
      <c r="S588" s="288"/>
      <c r="T588" s="288"/>
      <c r="U588" s="289"/>
      <c r="V588" s="25"/>
      <c r="W588" s="58"/>
      <c r="X588" s="58"/>
      <c r="Y588" s="25"/>
      <c r="Z588" s="45">
        <v>6</v>
      </c>
      <c r="AA588" s="65">
        <v>61</v>
      </c>
      <c r="AB588" s="65">
        <v>72</v>
      </c>
      <c r="AC588" s="25"/>
      <c r="AD588" s="25"/>
      <c r="BA588" s="226"/>
    </row>
    <row r="589" spans="1:53" ht="15.75" customHeight="1" thickBot="1" x14ac:dyDescent="0.3">
      <c r="A589" s="88"/>
      <c r="B589" s="322" t="s">
        <v>260</v>
      </c>
      <c r="C589" s="294" t="s">
        <v>261</v>
      </c>
      <c r="D589" s="294" t="s">
        <v>262</v>
      </c>
      <c r="E589" s="307" t="s">
        <v>263</v>
      </c>
      <c r="F589" s="294" t="s">
        <v>264</v>
      </c>
      <c r="G589" s="309" t="s">
        <v>265</v>
      </c>
      <c r="H589" s="309" t="s">
        <v>266</v>
      </c>
      <c r="I589" s="309" t="s">
        <v>267</v>
      </c>
      <c r="J589" s="311" t="s">
        <v>268</v>
      </c>
      <c r="K589" s="294" t="s">
        <v>269</v>
      </c>
      <c r="L589" s="281" t="s">
        <v>270</v>
      </c>
      <c r="M589" s="283" t="s">
        <v>271</v>
      </c>
      <c r="N589" s="283"/>
      <c r="O589" s="283"/>
      <c r="P589" s="283"/>
      <c r="Q589" s="283"/>
      <c r="R589" s="283"/>
      <c r="S589" s="283"/>
      <c r="T589" s="283"/>
      <c r="U589" s="284"/>
      <c r="V589" s="107"/>
      <c r="W589" s="72"/>
      <c r="X589" s="72"/>
      <c r="Y589" s="72"/>
      <c r="Z589" s="45">
        <v>7</v>
      </c>
      <c r="AA589" s="65">
        <v>73</v>
      </c>
      <c r="AB589" s="65">
        <v>84</v>
      </c>
      <c r="AC589" s="25"/>
      <c r="AD589" s="25"/>
      <c r="BA589" s="228"/>
    </row>
    <row r="590" spans="1:53" ht="15.75" thickBot="1" x14ac:dyDescent="0.3">
      <c r="A590" s="88"/>
      <c r="B590" s="323"/>
      <c r="C590" s="295"/>
      <c r="D590" s="295"/>
      <c r="E590" s="308"/>
      <c r="F590" s="295"/>
      <c r="G590" s="310"/>
      <c r="H590" s="310"/>
      <c r="I590" s="310"/>
      <c r="J590" s="312"/>
      <c r="K590" s="295"/>
      <c r="L590" s="282"/>
      <c r="M590" s="285"/>
      <c r="N590" s="285"/>
      <c r="O590" s="285"/>
      <c r="P590" s="285"/>
      <c r="Q590" s="285"/>
      <c r="R590" s="285"/>
      <c r="S590" s="285"/>
      <c r="T590" s="285"/>
      <c r="U590" s="286"/>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786</v>
      </c>
      <c r="E591" s="32">
        <v>4</v>
      </c>
      <c r="F591" s="32" t="s">
        <v>483</v>
      </c>
      <c r="G591" s="68" t="s">
        <v>277</v>
      </c>
      <c r="H591" s="69">
        <f>IF(I591=0,0,I591-(E591-1))</f>
        <v>585</v>
      </c>
      <c r="I591" s="70">
        <f>IF(E591=0,0,I586)</f>
        <v>588</v>
      </c>
      <c r="J591" s="71" t="s">
        <v>278</v>
      </c>
      <c r="K591" s="32"/>
      <c r="L591" s="233"/>
      <c r="M591" s="279"/>
      <c r="N591" s="279"/>
      <c r="O591" s="279"/>
      <c r="P591" s="279"/>
      <c r="Q591" s="279"/>
      <c r="R591" s="279"/>
      <c r="S591" s="279"/>
      <c r="T591" s="279"/>
      <c r="U591" s="280"/>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585-588</v>
      </c>
      <c r="AF591" s="109" t="str">
        <f t="shared" ref="AF591:AF615" si="241">IF(C591="Field SPL","N","Y")</f>
        <v>Y</v>
      </c>
      <c r="AG591" s="109" t="str">
        <f t="shared" ref="AG591:AG615" si="242">IF(OR(E$581="RPX",E$581="SS"),"A","B")</f>
        <v>A</v>
      </c>
      <c r="AH591" s="109">
        <v>2</v>
      </c>
      <c r="AI591" s="109" t="str">
        <f>IF(E581="SS",COUNTIFS(C591:C615,"TCF",E591:E615,"2"),"")</f>
        <v/>
      </c>
      <c r="AJ591" s="109">
        <f>IF(E581="RPX",COUNTIFS(C591:C615,"TCF",E591:E615,"2"),"")</f>
        <v>0</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4</v>
      </c>
    </row>
    <row r="592" spans="1:53" ht="15.75" thickBot="1" x14ac:dyDescent="0.3">
      <c r="A592" s="88"/>
      <c r="B592" s="66" t="s">
        <v>279</v>
      </c>
      <c r="C592" s="67" t="s">
        <v>484</v>
      </c>
      <c r="D592" s="102" t="s">
        <v>787</v>
      </c>
      <c r="E592" s="32">
        <v>4</v>
      </c>
      <c r="F592" s="32" t="s">
        <v>483</v>
      </c>
      <c r="G592" s="68" t="s">
        <v>277</v>
      </c>
      <c r="H592" s="69">
        <f t="shared" ref="H592:H615" si="247">IF(E592=0,0,I592-(E592-1))</f>
        <v>581</v>
      </c>
      <c r="I592" s="70">
        <f t="shared" ref="I592:I615" si="248">IF(E592=0,0,H591-1)</f>
        <v>584</v>
      </c>
      <c r="J592" s="73" t="str">
        <f>IF(C592="","--",IF(AND(C592&lt;&gt;"FST",C592&lt;&gt;"TCF",BA591&lt;&gt;0),BA591,"--"))</f>
        <v>--</v>
      </c>
      <c r="K592" s="32"/>
      <c r="L592" s="233"/>
      <c r="M592" s="279"/>
      <c r="N592" s="279"/>
      <c r="O592" s="279"/>
      <c r="P592" s="279"/>
      <c r="Q592" s="279"/>
      <c r="R592" s="279"/>
      <c r="S592" s="279"/>
      <c r="T592" s="279"/>
      <c r="U592" s="280"/>
      <c r="V592" s="103"/>
      <c r="W592" s="72"/>
      <c r="X592" s="72"/>
      <c r="Y592" s="72"/>
      <c r="Z592" s="45">
        <v>10</v>
      </c>
      <c r="AA592" s="46">
        <v>109</v>
      </c>
      <c r="AB592" s="46">
        <v>120</v>
      </c>
      <c r="AC592" s="72">
        <f t="shared" si="238"/>
        <v>1</v>
      </c>
      <c r="AD592" s="72">
        <f t="shared" si="239"/>
        <v>0</v>
      </c>
      <c r="AE592" s="109" t="str">
        <f t="shared" si="240"/>
        <v>581-584</v>
      </c>
      <c r="AF592" s="109" t="str">
        <f t="shared" si="241"/>
        <v>Y</v>
      </c>
      <c r="AG592" s="109" t="str">
        <f t="shared" si="242"/>
        <v>A</v>
      </c>
      <c r="AH592" s="109">
        <v>4</v>
      </c>
      <c r="AI592" s="109" t="str">
        <f>IF(E581="SS",COUNTIFS(C591:C615,"TCF",E591:E615,"4"),"")</f>
        <v/>
      </c>
      <c r="AJ592" s="109">
        <f>IF(E581="RPX",COUNTIFS(C591:C615,"TCF",E591:E615,"4"),"")</f>
        <v>0</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8</v>
      </c>
    </row>
    <row r="593" spans="1:53" ht="15.75" thickBot="1" x14ac:dyDescent="0.3">
      <c r="A593" s="88"/>
      <c r="B593" s="74" t="s">
        <v>280</v>
      </c>
      <c r="C593" s="67" t="s">
        <v>484</v>
      </c>
      <c r="D593" s="102" t="s">
        <v>788</v>
      </c>
      <c r="E593" s="32">
        <v>4</v>
      </c>
      <c r="F593" s="32" t="s">
        <v>483</v>
      </c>
      <c r="G593" s="75" t="s">
        <v>277</v>
      </c>
      <c r="H593" s="69">
        <f t="shared" si="247"/>
        <v>577</v>
      </c>
      <c r="I593" s="70">
        <f t="shared" si="248"/>
        <v>580</v>
      </c>
      <c r="J593" s="73" t="str">
        <f t="shared" ref="J593:J615" si="249">IF(C593="","--",IF(AND(C593&lt;&gt;"FST",C593&lt;&gt;"TCF",BA592&lt;&gt;0),BA592,"--"))</f>
        <v>--</v>
      </c>
      <c r="K593" s="32"/>
      <c r="L593" s="233"/>
      <c r="M593" s="279"/>
      <c r="N593" s="279"/>
      <c r="O593" s="279"/>
      <c r="P593" s="279"/>
      <c r="Q593" s="279"/>
      <c r="R593" s="279"/>
      <c r="S593" s="279"/>
      <c r="T593" s="279"/>
      <c r="U593" s="280"/>
      <c r="V593" s="103"/>
      <c r="W593" s="72"/>
      <c r="X593" s="72"/>
      <c r="Y593" s="72"/>
      <c r="Z593" s="45">
        <v>11</v>
      </c>
      <c r="AA593" s="46">
        <v>121</v>
      </c>
      <c r="AB593" s="46">
        <v>132</v>
      </c>
      <c r="AC593" s="72">
        <f t="shared" si="238"/>
        <v>1</v>
      </c>
      <c r="AD593" s="72">
        <f t="shared" si="239"/>
        <v>0</v>
      </c>
      <c r="AE593" s="109" t="str">
        <f t="shared" si="240"/>
        <v>577-580</v>
      </c>
      <c r="AF593" s="109" t="str">
        <f t="shared" si="241"/>
        <v>Y</v>
      </c>
      <c r="AG593" s="109" t="str">
        <f t="shared" si="242"/>
        <v>A</v>
      </c>
      <c r="AH593" s="109">
        <v>6</v>
      </c>
      <c r="AI593" s="109" t="str">
        <f>IF(E581="SS",COUNTIFS(C591:C615,"TCF",E591:E615,"6"),"")</f>
        <v/>
      </c>
      <c r="AJ593" s="109">
        <f>IF(E581="RPX",COUNTIFS(C591:C615,"TCF",E591:E615,"6"),"")</f>
        <v>0</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79"/>
      <c r="N594" s="279"/>
      <c r="O594" s="279"/>
      <c r="P594" s="279"/>
      <c r="Q594" s="279"/>
      <c r="R594" s="279"/>
      <c r="S594" s="279"/>
      <c r="T594" s="279"/>
      <c r="U594" s="280"/>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A</v>
      </c>
      <c r="AH594" s="109">
        <v>8</v>
      </c>
      <c r="AI594" s="109" t="str">
        <f>IF(E581="SS",COUNTIFS(C591:C615,"TCF",E591:E615,"8"),"")</f>
        <v/>
      </c>
      <c r="AJ594" s="109">
        <f>IF(E581="RPX",COUNTIFS(C591:C615,"TCF",E591:E615,"8"),"")</f>
        <v>0</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79"/>
      <c r="N595" s="279"/>
      <c r="O595" s="279"/>
      <c r="P595" s="279"/>
      <c r="Q595" s="279"/>
      <c r="R595" s="279"/>
      <c r="S595" s="279"/>
      <c r="T595" s="279"/>
      <c r="U595" s="280"/>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A</v>
      </c>
      <c r="AH595" s="109">
        <v>12</v>
      </c>
      <c r="AI595" s="109" t="str">
        <f>IF(E581="SS",COUNTIFS(C591:C615,"TCF",E591:E615,"12"),"")</f>
        <v/>
      </c>
      <c r="AJ595" s="109">
        <f>IF(E581="RPX",COUNTIFS(C591:C615,"TCF",E591:E615,"12"),"")</f>
        <v>0</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79"/>
      <c r="N596" s="279"/>
      <c r="O596" s="279"/>
      <c r="P596" s="279"/>
      <c r="Q596" s="279"/>
      <c r="R596" s="279"/>
      <c r="S596" s="279"/>
      <c r="T596" s="279"/>
      <c r="U596" s="280"/>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A</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79"/>
      <c r="N597" s="279"/>
      <c r="O597" s="279"/>
      <c r="P597" s="279"/>
      <c r="Q597" s="279"/>
      <c r="R597" s="279"/>
      <c r="S597" s="279"/>
      <c r="T597" s="279"/>
      <c r="U597" s="280"/>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A</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79"/>
      <c r="N598" s="279"/>
      <c r="O598" s="279"/>
      <c r="P598" s="279"/>
      <c r="Q598" s="279"/>
      <c r="R598" s="279"/>
      <c r="S598" s="279"/>
      <c r="T598" s="279"/>
      <c r="U598" s="280"/>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A</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9"/>
      <c r="N599" s="279"/>
      <c r="O599" s="279"/>
      <c r="P599" s="279"/>
      <c r="Q599" s="279"/>
      <c r="R599" s="279"/>
      <c r="S599" s="279"/>
      <c r="T599" s="279"/>
      <c r="U599" s="280"/>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A</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9"/>
      <c r="N600" s="279"/>
      <c r="O600" s="279"/>
      <c r="P600" s="279"/>
      <c r="Q600" s="279"/>
      <c r="R600" s="279"/>
      <c r="S600" s="279"/>
      <c r="T600" s="279"/>
      <c r="U600" s="280"/>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A</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9"/>
      <c r="N601" s="279"/>
      <c r="O601" s="279"/>
      <c r="P601" s="279"/>
      <c r="Q601" s="279"/>
      <c r="R601" s="279"/>
      <c r="S601" s="279"/>
      <c r="T601" s="279"/>
      <c r="U601" s="280"/>
      <c r="V601" s="103"/>
      <c r="W601" s="84"/>
      <c r="X601" s="84"/>
      <c r="Y601" s="72"/>
      <c r="Z601" s="72"/>
      <c r="AA601" s="72"/>
      <c r="AB601" s="72"/>
      <c r="AC601" s="72">
        <f t="shared" si="238"/>
        <v>1</v>
      </c>
      <c r="AD601" s="72">
        <f t="shared" si="239"/>
        <v>1</v>
      </c>
      <c r="AE601" s="109" t="str">
        <f t="shared" si="240"/>
        <v>0-0</v>
      </c>
      <c r="AF601" s="109" t="str">
        <f t="shared" si="241"/>
        <v>Y</v>
      </c>
      <c r="AG601" s="109" t="str">
        <f t="shared" si="242"/>
        <v>A</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9"/>
      <c r="N602" s="279"/>
      <c r="O602" s="279"/>
      <c r="P602" s="279"/>
      <c r="Q602" s="279"/>
      <c r="R602" s="279"/>
      <c r="S602" s="279"/>
      <c r="T602" s="279"/>
      <c r="U602" s="280"/>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A</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9"/>
      <c r="N603" s="279"/>
      <c r="O603" s="279"/>
      <c r="P603" s="279"/>
      <c r="Q603" s="279"/>
      <c r="R603" s="279"/>
      <c r="S603" s="279"/>
      <c r="T603" s="279"/>
      <c r="U603" s="280"/>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A</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9"/>
      <c r="N604" s="279"/>
      <c r="O604" s="279"/>
      <c r="P604" s="279"/>
      <c r="Q604" s="279"/>
      <c r="R604" s="279"/>
      <c r="S604" s="279"/>
      <c r="T604" s="279"/>
      <c r="U604" s="280"/>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A</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9"/>
      <c r="N605" s="279"/>
      <c r="O605" s="279"/>
      <c r="P605" s="279"/>
      <c r="Q605" s="279"/>
      <c r="R605" s="279"/>
      <c r="S605" s="279"/>
      <c r="T605" s="279"/>
      <c r="U605" s="280"/>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A</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9"/>
      <c r="N606" s="279"/>
      <c r="O606" s="279"/>
      <c r="P606" s="279"/>
      <c r="Q606" s="279"/>
      <c r="R606" s="279"/>
      <c r="S606" s="279"/>
      <c r="T606" s="279"/>
      <c r="U606" s="280"/>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A</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9"/>
      <c r="N607" s="279"/>
      <c r="O607" s="279"/>
      <c r="P607" s="279"/>
      <c r="Q607" s="279"/>
      <c r="R607" s="279"/>
      <c r="S607" s="279"/>
      <c r="T607" s="279"/>
      <c r="U607" s="280"/>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A</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9"/>
      <c r="N608" s="279"/>
      <c r="O608" s="279"/>
      <c r="P608" s="279"/>
      <c r="Q608" s="279"/>
      <c r="R608" s="279"/>
      <c r="S608" s="279"/>
      <c r="T608" s="279"/>
      <c r="U608" s="280"/>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A</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9"/>
      <c r="N609" s="279"/>
      <c r="O609" s="279"/>
      <c r="P609" s="279"/>
      <c r="Q609" s="279"/>
      <c r="R609" s="279"/>
      <c r="S609" s="279"/>
      <c r="T609" s="279"/>
      <c r="U609" s="280"/>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A</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9"/>
      <c r="N610" s="279"/>
      <c r="O610" s="279"/>
      <c r="P610" s="279"/>
      <c r="Q610" s="279"/>
      <c r="R610" s="279"/>
      <c r="S610" s="279"/>
      <c r="T610" s="279"/>
      <c r="U610" s="280"/>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A</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9"/>
      <c r="N611" s="279"/>
      <c r="O611" s="279"/>
      <c r="P611" s="279"/>
      <c r="Q611" s="279"/>
      <c r="R611" s="279"/>
      <c r="S611" s="279"/>
      <c r="T611" s="279"/>
      <c r="U611" s="280"/>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A</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9"/>
      <c r="N612" s="279"/>
      <c r="O612" s="279"/>
      <c r="P612" s="279"/>
      <c r="Q612" s="279"/>
      <c r="R612" s="279"/>
      <c r="S612" s="279"/>
      <c r="T612" s="279"/>
      <c r="U612" s="280"/>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A</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9"/>
      <c r="N613" s="279"/>
      <c r="O613" s="279"/>
      <c r="P613" s="279"/>
      <c r="Q613" s="279"/>
      <c r="R613" s="279"/>
      <c r="S613" s="279"/>
      <c r="T613" s="279"/>
      <c r="U613" s="280"/>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A</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9"/>
      <c r="N614" s="279"/>
      <c r="O614" s="279"/>
      <c r="P614" s="279"/>
      <c r="Q614" s="279"/>
      <c r="R614" s="279"/>
      <c r="S614" s="279"/>
      <c r="T614" s="279"/>
      <c r="U614" s="280"/>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A</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9"/>
      <c r="N615" s="279"/>
      <c r="O615" s="279"/>
      <c r="P615" s="279"/>
      <c r="Q615" s="279"/>
      <c r="R615" s="279"/>
      <c r="S615" s="279"/>
      <c r="T615" s="279"/>
      <c r="U615" s="280"/>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A</v>
      </c>
      <c r="AM615" s="109">
        <f t="shared" si="243"/>
        <v>0</v>
      </c>
      <c r="AN615" s="109">
        <f t="shared" si="244"/>
        <v>0</v>
      </c>
      <c r="AO615" s="109" t="str">
        <f t="shared" si="245"/>
        <v/>
      </c>
      <c r="AQ615" s="109" t="str">
        <f t="shared" si="246"/>
        <v/>
      </c>
      <c r="BA615" s="228"/>
    </row>
    <row r="616" spans="1:53" ht="16.5" thickBot="1" x14ac:dyDescent="0.3">
      <c r="A616" s="88"/>
      <c r="B616" s="320" t="s">
        <v>333</v>
      </c>
      <c r="C616" s="321"/>
      <c r="D616" s="79"/>
      <c r="E616" s="80"/>
      <c r="F616" s="80"/>
      <c r="G616" s="81"/>
      <c r="H616" s="192"/>
      <c r="I616" s="192"/>
      <c r="J616" s="192"/>
      <c r="K616" s="82"/>
      <c r="L616" s="320" t="s">
        <v>306</v>
      </c>
      <c r="M616" s="331"/>
      <c r="N616" s="331"/>
      <c r="O616" s="331"/>
      <c r="P616" s="331"/>
      <c r="Q616" s="331"/>
      <c r="R616" s="331"/>
      <c r="S616" s="331"/>
      <c r="T616" s="331"/>
      <c r="U616" s="321"/>
      <c r="V616" s="104"/>
      <c r="W616" s="72"/>
      <c r="X616" s="72"/>
      <c r="Y616" s="72"/>
      <c r="Z616" s="72"/>
      <c r="AA616" s="72" t="str">
        <f t="shared" si="253"/>
        <v/>
      </c>
      <c r="AB616" s="72"/>
      <c r="AC616" s="72">
        <f>SUM(AC591:AC615)</f>
        <v>25</v>
      </c>
      <c r="AD616" s="72">
        <f>SUM(AD591:AD615)</f>
        <v>22</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20" t="s">
        <v>307</v>
      </c>
      <c r="C617" s="321"/>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3" t="s">
        <v>222</v>
      </c>
      <c r="C621" s="314"/>
      <c r="D621" s="315" t="s">
        <v>223</v>
      </c>
      <c r="E621" s="306"/>
      <c r="F621" s="88"/>
      <c r="G621" s="316" t="s">
        <v>224</v>
      </c>
      <c r="H621" s="317"/>
      <c r="I621" s="28">
        <f>SUM(E632:E656)</f>
        <v>36</v>
      </c>
      <c r="J621" s="318" t="s">
        <v>225</v>
      </c>
      <c r="K621" s="319"/>
      <c r="L621" s="306"/>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6" t="s">
        <v>226</v>
      </c>
      <c r="AA621" s="297"/>
      <c r="AB621" s="298"/>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5" t="s">
        <v>230</v>
      </c>
      <c r="H622" s="306"/>
      <c r="I622" s="33">
        <f>E623-I621</f>
        <v>12</v>
      </c>
      <c r="J622" s="290" t="s">
        <v>231</v>
      </c>
      <c r="K622" s="291"/>
      <c r="L622" s="34">
        <f>I626</f>
        <v>529</v>
      </c>
      <c r="M622" s="196">
        <v>4</v>
      </c>
      <c r="N622" s="35">
        <f>SUM(AI622,AI633)</f>
        <v>0</v>
      </c>
      <c r="O622" s="35">
        <v>0</v>
      </c>
      <c r="P622" s="35">
        <f>SUM(AJ622,AJ633)</f>
        <v>0</v>
      </c>
      <c r="Q622" s="35">
        <v>0</v>
      </c>
      <c r="R622" s="35">
        <f>COUNTIFS($E632:$E656,"4",$F632:$F656,"Pole",$C632:$C656,"FST")</f>
        <v>0</v>
      </c>
      <c r="S622" s="35">
        <f>SUM(AL622,AK633)</f>
        <v>0</v>
      </c>
      <c r="T622" s="35">
        <v>0</v>
      </c>
      <c r="U622" s="35">
        <f>SUM(AK622,AL633)</f>
        <v>3</v>
      </c>
      <c r="V622" s="35">
        <v>0</v>
      </c>
      <c r="W622" s="34">
        <f>COUNTIFS($E632:$E656,"4",$F632:$F656,"HH",$C632:$C656,"FST")</f>
        <v>3</v>
      </c>
      <c r="X622" s="35">
        <f>COUNTIFS($E632:$E656,"4",$F632:$F656,"Ped",$C632:$C656,"FST")</f>
        <v>0</v>
      </c>
      <c r="Y622" s="25"/>
      <c r="Z622" s="299" t="s">
        <v>232</v>
      </c>
      <c r="AA622" s="301" t="s">
        <v>233</v>
      </c>
      <c r="AB622" s="302"/>
      <c r="AC622" s="25"/>
      <c r="AD622" s="25"/>
      <c r="AH622" s="109">
        <v>4</v>
      </c>
      <c r="AI622" s="109" t="str">
        <f>IF($E622="SS",COUNTIFS($C632:$C656,"FST",$E632:$E656,"4"),"0")</f>
        <v>0</v>
      </c>
      <c r="AJ622" s="109" t="str">
        <f>IF($E622="RPX",COUNTIFS($C632:$C656,"FST",$E632:$E656,"4"),"0")</f>
        <v>0</v>
      </c>
      <c r="AK622" s="109">
        <f>IF($E622="EUC",COUNTIFS($C632:$C656,"FST",$E632:$E656,"4"),"0")</f>
        <v>3</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48</v>
      </c>
      <c r="F623" s="88"/>
      <c r="G623" s="292" t="s">
        <v>237</v>
      </c>
      <c r="H623" s="293"/>
      <c r="I623" s="35">
        <f>IF(E623=0,0,12-(MOD(I621,12)))</f>
        <v>12</v>
      </c>
      <c r="J623" s="290" t="s">
        <v>238</v>
      </c>
      <c r="K623" s="291"/>
      <c r="L623" s="39">
        <f>I627-I621</f>
        <v>528</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0"/>
      <c r="AA623" s="303"/>
      <c r="AB623" s="304"/>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322" t="s">
        <v>242</v>
      </c>
      <c r="H624" s="43" t="s">
        <v>243</v>
      </c>
      <c r="I624" s="35">
        <f>IF(E624&lt;&gt;0,1,0)</f>
        <v>1</v>
      </c>
      <c r="J624" s="292" t="s">
        <v>244</v>
      </c>
      <c r="K624" s="293"/>
      <c r="L624" s="44">
        <f>'Cable Calculator'!CA3</f>
        <v>1728</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529</v>
      </c>
      <c r="F625" s="88"/>
      <c r="G625" s="323"/>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4</v>
      </c>
      <c r="F626" s="88"/>
      <c r="G626" s="322" t="s">
        <v>251</v>
      </c>
      <c r="H626" s="51" t="s">
        <v>252</v>
      </c>
      <c r="I626" s="112">
        <f>E625</f>
        <v>529</v>
      </c>
      <c r="J626" s="324" t="s">
        <v>253</v>
      </c>
      <c r="K626" s="325"/>
      <c r="L626" s="326"/>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323"/>
      <c r="H627" s="47" t="s">
        <v>257</v>
      </c>
      <c r="I627" s="35">
        <f>IF(E625="","0",IF(AND(E622="EUC",E623=432), I626+(203-E624),IF(E625=0,0,(E625+(E623-E624)-1))))</f>
        <v>564</v>
      </c>
      <c r="J627" s="287" t="str">
        <f>IFERROR(IF(OR(E622="EUC",E622="SS"),"---",IF(OR(P621,S621),"NO 2F Tethers for RPX!",IF(OR(P623,S623),"NO 6F Tethers for RPX!","---"))),"---")</f>
        <v>---</v>
      </c>
      <c r="K627" s="288"/>
      <c r="L627" s="289"/>
      <c r="M627" s="287" t="str">
        <f>IF(E624&gt;60,"Dead Count &gt;60: Consider Downsize","---")</f>
        <v>---</v>
      </c>
      <c r="N627" s="288"/>
      <c r="O627" s="288"/>
      <c r="P627" s="288"/>
      <c r="Q627" s="288"/>
      <c r="R627" s="288"/>
      <c r="S627" s="288"/>
      <c r="T627" s="288"/>
      <c r="U627" s="289"/>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36</v>
      </c>
      <c r="D628" s="31" t="s">
        <v>259</v>
      </c>
      <c r="E628" s="101" t="str">
        <f>IF(AS622="Y","DBL",IF(AS623="Y","TRPL",IF(AS624="Y","QUAD","")))</f>
        <v/>
      </c>
      <c r="F628" s="88"/>
      <c r="G628" s="192"/>
      <c r="H628" s="57"/>
      <c r="I628" s="192"/>
      <c r="J628" s="287"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8"/>
      <c r="L628" s="289"/>
      <c r="M628" s="287" t="str">
        <f>IF(AND(OR(E622="SS",E622="RPX",E622="EUC",E622="RPX-T"),(OR(C632="",C632="Field SPL"))),"Cannot have FlexNap cables without tethers","---")</f>
        <v>---</v>
      </c>
      <c r="N628" s="288"/>
      <c r="O628" s="288"/>
      <c r="P628" s="288"/>
      <c r="Q628" s="288"/>
      <c r="R628" s="288"/>
      <c r="S628" s="288"/>
      <c r="T628" s="288"/>
      <c r="U628" s="289"/>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7" t="str">
        <f>IF(AND(OR(E622="RPX", E622="RPX-T", E622="SS"),E623=216),"NO 216 For RPX, RPX-T, OR SS CABLE","---")</f>
        <v>---</v>
      </c>
      <c r="K629" s="288"/>
      <c r="L629" s="289"/>
      <c r="M629" s="287" t="str" cm="1">
        <f t="array" ref="M629">IF(AND(E622="",OR(C632:C656="FST",C632:C656="REV T",C632:C656="DBL REV",C632:C656="TPL REV", C632:C656="QD REV")),"Non-FlexNap cables cannot have tethers","---")</f>
        <v>---</v>
      </c>
      <c r="N629" s="288"/>
      <c r="O629" s="288"/>
      <c r="P629" s="288"/>
      <c r="Q629" s="288"/>
      <c r="R629" s="288"/>
      <c r="S629" s="288"/>
      <c r="T629" s="288"/>
      <c r="U629" s="289"/>
      <c r="V629" s="25"/>
      <c r="W629" s="58"/>
      <c r="X629" s="58"/>
      <c r="Y629" s="25"/>
      <c r="Z629" s="45">
        <v>6</v>
      </c>
      <c r="AA629" s="65">
        <v>61</v>
      </c>
      <c r="AB629" s="65">
        <v>72</v>
      </c>
      <c r="AC629" s="25"/>
      <c r="AD629" s="25"/>
      <c r="BA629" s="226"/>
    </row>
    <row r="630" spans="1:53" ht="15.75" customHeight="1" thickBot="1" x14ac:dyDescent="0.3">
      <c r="A630" s="88"/>
      <c r="B630" s="322" t="s">
        <v>260</v>
      </c>
      <c r="C630" s="294" t="s">
        <v>261</v>
      </c>
      <c r="D630" s="294" t="s">
        <v>262</v>
      </c>
      <c r="E630" s="307" t="s">
        <v>263</v>
      </c>
      <c r="F630" s="294" t="s">
        <v>264</v>
      </c>
      <c r="G630" s="309" t="s">
        <v>265</v>
      </c>
      <c r="H630" s="309" t="s">
        <v>266</v>
      </c>
      <c r="I630" s="309" t="s">
        <v>267</v>
      </c>
      <c r="J630" s="311" t="s">
        <v>268</v>
      </c>
      <c r="K630" s="294" t="s">
        <v>269</v>
      </c>
      <c r="L630" s="281" t="s">
        <v>270</v>
      </c>
      <c r="M630" s="283" t="s">
        <v>271</v>
      </c>
      <c r="N630" s="283"/>
      <c r="O630" s="283"/>
      <c r="P630" s="283"/>
      <c r="Q630" s="283"/>
      <c r="R630" s="283"/>
      <c r="S630" s="283"/>
      <c r="T630" s="283"/>
      <c r="U630" s="284"/>
      <c r="V630" s="107"/>
      <c r="W630" s="72"/>
      <c r="X630" s="72"/>
      <c r="Y630" s="72"/>
      <c r="Z630" s="45">
        <v>7</v>
      </c>
      <c r="AA630" s="65">
        <v>73</v>
      </c>
      <c r="AB630" s="65">
        <v>84</v>
      </c>
      <c r="AC630" s="25"/>
      <c r="AD630" s="25"/>
      <c r="BA630" s="228"/>
    </row>
    <row r="631" spans="1:53" ht="15.75" thickBot="1" x14ac:dyDescent="0.3">
      <c r="A631" s="88"/>
      <c r="B631" s="323"/>
      <c r="C631" s="295"/>
      <c r="D631" s="295"/>
      <c r="E631" s="308"/>
      <c r="F631" s="295"/>
      <c r="G631" s="310"/>
      <c r="H631" s="310"/>
      <c r="I631" s="310"/>
      <c r="J631" s="312"/>
      <c r="K631" s="295"/>
      <c r="L631" s="282"/>
      <c r="M631" s="285"/>
      <c r="N631" s="285"/>
      <c r="O631" s="285"/>
      <c r="P631" s="285"/>
      <c r="Q631" s="285"/>
      <c r="R631" s="285"/>
      <c r="S631" s="285"/>
      <c r="T631" s="285"/>
      <c r="U631" s="286"/>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789</v>
      </c>
      <c r="E632" s="32">
        <v>4</v>
      </c>
      <c r="F632" s="32" t="s">
        <v>488</v>
      </c>
      <c r="G632" s="68" t="s">
        <v>277</v>
      </c>
      <c r="H632" s="69">
        <f>IF(I632=0,0,I632-(E632-1))</f>
        <v>561</v>
      </c>
      <c r="I632" s="70">
        <f>IF(E632=0,0,I627)</f>
        <v>564</v>
      </c>
      <c r="J632" s="71" t="s">
        <v>278</v>
      </c>
      <c r="K632" s="32"/>
      <c r="L632" s="233"/>
      <c r="M632" s="279"/>
      <c r="N632" s="279"/>
      <c r="O632" s="279"/>
      <c r="P632" s="279"/>
      <c r="Q632" s="279"/>
      <c r="R632" s="279"/>
      <c r="S632" s="279"/>
      <c r="T632" s="279"/>
      <c r="U632" s="280"/>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561-564</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790</v>
      </c>
      <c r="E633" s="32">
        <v>4</v>
      </c>
      <c r="F633" s="32" t="s">
        <v>488</v>
      </c>
      <c r="G633" s="68" t="s">
        <v>277</v>
      </c>
      <c r="H633" s="69">
        <f t="shared" ref="H633:H656" si="264">IF(E633=0,0,I633-(E633-1))</f>
        <v>557</v>
      </c>
      <c r="I633" s="70">
        <f t="shared" ref="I633:I656" si="265">IF(E633=0,0,H632-1)</f>
        <v>560</v>
      </c>
      <c r="J633" s="73" t="str">
        <f>IF(C633="","--",IF(AND(C633&lt;&gt;"FST",C633&lt;&gt;"TCF",BA632&lt;&gt;0),BA632,"--"))</f>
        <v>--</v>
      </c>
      <c r="K633" s="32"/>
      <c r="L633" s="233"/>
      <c r="M633" s="279"/>
      <c r="N633" s="279"/>
      <c r="O633" s="279"/>
      <c r="P633" s="279"/>
      <c r="Q633" s="279"/>
      <c r="R633" s="279"/>
      <c r="S633" s="279"/>
      <c r="T633" s="279"/>
      <c r="U633" s="280"/>
      <c r="V633" s="103"/>
      <c r="W633" s="72"/>
      <c r="X633" s="72"/>
      <c r="Y633" s="72"/>
      <c r="Z633" s="45">
        <v>10</v>
      </c>
      <c r="AA633" s="46">
        <v>109</v>
      </c>
      <c r="AB633" s="46">
        <v>120</v>
      </c>
      <c r="AC633" s="72">
        <f t="shared" si="255"/>
        <v>1</v>
      </c>
      <c r="AD633" s="72">
        <f t="shared" si="256"/>
        <v>0</v>
      </c>
      <c r="AE633" s="109" t="str">
        <f t="shared" si="257"/>
        <v>557-560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8</v>
      </c>
    </row>
    <row r="634" spans="1:53" ht="15.75" thickBot="1" x14ac:dyDescent="0.3">
      <c r="A634" s="88"/>
      <c r="B634" s="74" t="s">
        <v>280</v>
      </c>
      <c r="C634" s="67" t="s">
        <v>484</v>
      </c>
      <c r="D634" s="102" t="s">
        <v>791</v>
      </c>
      <c r="E634" s="32">
        <v>4</v>
      </c>
      <c r="F634" s="32" t="s">
        <v>488</v>
      </c>
      <c r="G634" s="75" t="s">
        <v>277</v>
      </c>
      <c r="H634" s="69">
        <f t="shared" si="264"/>
        <v>553</v>
      </c>
      <c r="I634" s="70">
        <f t="shared" si="265"/>
        <v>556</v>
      </c>
      <c r="J634" s="73" t="str">
        <f t="shared" ref="J634:J656" si="266">IF(C634="","--",IF(AND(C634&lt;&gt;"FST",C634&lt;&gt;"TCF",BA633&lt;&gt;0),BA633,"--"))</f>
        <v>--</v>
      </c>
      <c r="K634" s="32"/>
      <c r="L634" s="233"/>
      <c r="M634" s="279"/>
      <c r="N634" s="279"/>
      <c r="O634" s="279"/>
      <c r="P634" s="279"/>
      <c r="Q634" s="279"/>
      <c r="R634" s="279"/>
      <c r="S634" s="279"/>
      <c r="T634" s="279"/>
      <c r="U634" s="280"/>
      <c r="V634" s="103"/>
      <c r="W634" s="72"/>
      <c r="X634" s="72"/>
      <c r="Y634" s="72"/>
      <c r="Z634" s="45">
        <v>11</v>
      </c>
      <c r="AA634" s="46">
        <v>121</v>
      </c>
      <c r="AB634" s="46">
        <v>132</v>
      </c>
      <c r="AC634" s="72">
        <f t="shared" si="255"/>
        <v>1</v>
      </c>
      <c r="AD634" s="72">
        <f t="shared" si="256"/>
        <v>0</v>
      </c>
      <c r="AE634" s="109" t="str">
        <f t="shared" si="257"/>
        <v>553-556</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502</v>
      </c>
      <c r="D635" s="102"/>
      <c r="E635" s="32">
        <v>24</v>
      </c>
      <c r="F635" s="32"/>
      <c r="G635" s="68" t="s">
        <v>277</v>
      </c>
      <c r="H635" s="69">
        <f t="shared" si="264"/>
        <v>529</v>
      </c>
      <c r="I635" s="70">
        <f t="shared" si="265"/>
        <v>552</v>
      </c>
      <c r="J635" s="73" t="str">
        <f t="shared" si="266"/>
        <v>--</v>
      </c>
      <c r="K635" s="32"/>
      <c r="L635" s="233"/>
      <c r="M635" s="279" t="s">
        <v>421</v>
      </c>
      <c r="N635" s="279"/>
      <c r="O635" s="279"/>
      <c r="P635" s="279"/>
      <c r="Q635" s="279"/>
      <c r="R635" s="279"/>
      <c r="S635" s="279"/>
      <c r="T635" s="279"/>
      <c r="U635" s="280"/>
      <c r="V635" s="103"/>
      <c r="W635" s="72"/>
      <c r="X635" s="72"/>
      <c r="Y635" s="72"/>
      <c r="Z635" s="45">
        <v>12</v>
      </c>
      <c r="AA635" s="76">
        <v>133</v>
      </c>
      <c r="AB635" s="76">
        <v>144</v>
      </c>
      <c r="AC635" s="72">
        <f t="shared" si="255"/>
        <v>1</v>
      </c>
      <c r="AD635" s="72">
        <f t="shared" si="256"/>
        <v>1</v>
      </c>
      <c r="AE635" s="109" t="str">
        <f t="shared" si="257"/>
        <v>529-552</v>
      </c>
      <c r="AF635" s="109" t="str">
        <f t="shared" si="258"/>
        <v>N</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79"/>
      <c r="N636" s="279"/>
      <c r="O636" s="279"/>
      <c r="P636" s="279"/>
      <c r="Q636" s="279"/>
      <c r="R636" s="279"/>
      <c r="S636" s="279"/>
      <c r="T636" s="279"/>
      <c r="U636" s="280"/>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79"/>
      <c r="N637" s="279"/>
      <c r="O637" s="279"/>
      <c r="P637" s="279"/>
      <c r="Q637" s="279"/>
      <c r="R637" s="279"/>
      <c r="S637" s="279"/>
      <c r="T637" s="279"/>
      <c r="U637" s="280"/>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79"/>
      <c r="N638" s="279"/>
      <c r="O638" s="279"/>
      <c r="P638" s="279"/>
      <c r="Q638" s="279"/>
      <c r="R638" s="279"/>
      <c r="S638" s="279"/>
      <c r="T638" s="279"/>
      <c r="U638" s="280"/>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79"/>
      <c r="N639" s="279"/>
      <c r="O639" s="279"/>
      <c r="P639" s="279"/>
      <c r="Q639" s="279"/>
      <c r="R639" s="279"/>
      <c r="S639" s="279"/>
      <c r="T639" s="279"/>
      <c r="U639" s="280"/>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79"/>
      <c r="N640" s="279"/>
      <c r="O640" s="279"/>
      <c r="P640" s="279"/>
      <c r="Q640" s="279"/>
      <c r="R640" s="279"/>
      <c r="S640" s="279"/>
      <c r="T640" s="279"/>
      <c r="U640" s="280"/>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79"/>
      <c r="N641" s="279"/>
      <c r="O641" s="279"/>
      <c r="P641" s="279"/>
      <c r="Q641" s="279"/>
      <c r="R641" s="279"/>
      <c r="S641" s="279"/>
      <c r="T641" s="279"/>
      <c r="U641" s="280"/>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79"/>
      <c r="N642" s="279"/>
      <c r="O642" s="279"/>
      <c r="P642" s="279"/>
      <c r="Q642" s="279"/>
      <c r="R642" s="279"/>
      <c r="S642" s="279"/>
      <c r="T642" s="279"/>
      <c r="U642" s="280"/>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79"/>
      <c r="N643" s="279"/>
      <c r="O643" s="279"/>
      <c r="P643" s="279"/>
      <c r="Q643" s="279"/>
      <c r="R643" s="279"/>
      <c r="S643" s="279"/>
      <c r="T643" s="279"/>
      <c r="U643" s="280"/>
      <c r="V643" s="103"/>
      <c r="W643" s="84">
        <f>Y643+1</f>
        <v>37</v>
      </c>
      <c r="X643" s="84"/>
      <c r="Y643" s="78">
        <f>SUM(E632:E643)</f>
        <v>36</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9"/>
      <c r="N644" s="279"/>
      <c r="O644" s="279"/>
      <c r="P644" s="279"/>
      <c r="Q644" s="279"/>
      <c r="R644" s="279"/>
      <c r="S644" s="279"/>
      <c r="T644" s="279"/>
      <c r="U644" s="280"/>
      <c r="V644" s="103"/>
      <c r="W644" s="84">
        <f>Y644+1</f>
        <v>37</v>
      </c>
      <c r="X644" s="84"/>
      <c r="Y644" s="78">
        <f>SUM(E632:E644)</f>
        <v>36</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9"/>
      <c r="N645" s="279"/>
      <c r="O645" s="279"/>
      <c r="P645" s="279"/>
      <c r="Q645" s="279"/>
      <c r="R645" s="279"/>
      <c r="S645" s="279"/>
      <c r="T645" s="279"/>
      <c r="U645" s="280"/>
      <c r="V645" s="103"/>
      <c r="W645" s="84">
        <f>Y645+1</f>
        <v>37</v>
      </c>
      <c r="X645" s="84"/>
      <c r="Y645" s="78">
        <f>SUM(E632:E645)</f>
        <v>36</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9"/>
      <c r="N646" s="279"/>
      <c r="O646" s="279"/>
      <c r="P646" s="279"/>
      <c r="Q646" s="279"/>
      <c r="R646" s="279"/>
      <c r="S646" s="279"/>
      <c r="T646" s="279"/>
      <c r="U646" s="280"/>
      <c r="V646" s="103"/>
      <c r="W646" s="84">
        <f>Y646+1</f>
        <v>37</v>
      </c>
      <c r="X646" s="84"/>
      <c r="Y646" s="78">
        <f>SUM(E632:E646)</f>
        <v>36</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9"/>
      <c r="N647" s="279"/>
      <c r="O647" s="279"/>
      <c r="P647" s="279"/>
      <c r="Q647" s="279"/>
      <c r="R647" s="279"/>
      <c r="S647" s="279"/>
      <c r="T647" s="279"/>
      <c r="U647" s="280"/>
      <c r="V647" s="103"/>
      <c r="W647" s="84">
        <f t="shared" ref="W647:W655" si="271">Y647+1</f>
        <v>37</v>
      </c>
      <c r="X647" s="84"/>
      <c r="Y647" s="78">
        <f>SUM(E632:E647)</f>
        <v>36</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9"/>
      <c r="N648" s="279"/>
      <c r="O648" s="279"/>
      <c r="P648" s="279"/>
      <c r="Q648" s="279"/>
      <c r="R648" s="279"/>
      <c r="S648" s="279"/>
      <c r="T648" s="279"/>
      <c r="U648" s="280"/>
      <c r="V648" s="103"/>
      <c r="W648" s="84">
        <f t="shared" si="271"/>
        <v>37</v>
      </c>
      <c r="X648" s="84"/>
      <c r="Y648" s="78">
        <f>SUM(E632:E648)</f>
        <v>36</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9"/>
      <c r="N649" s="279"/>
      <c r="O649" s="279"/>
      <c r="P649" s="279"/>
      <c r="Q649" s="279"/>
      <c r="R649" s="279"/>
      <c r="S649" s="279"/>
      <c r="T649" s="279"/>
      <c r="U649" s="280"/>
      <c r="V649" s="103"/>
      <c r="W649" s="84">
        <f t="shared" si="271"/>
        <v>37</v>
      </c>
      <c r="X649" s="84"/>
      <c r="Y649" s="78">
        <f>SUM(E632:E649)</f>
        <v>36</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9"/>
      <c r="N650" s="279"/>
      <c r="O650" s="279"/>
      <c r="P650" s="279"/>
      <c r="Q650" s="279"/>
      <c r="R650" s="279"/>
      <c r="S650" s="279"/>
      <c r="T650" s="279"/>
      <c r="U650" s="280"/>
      <c r="V650" s="103"/>
      <c r="W650" s="84">
        <f t="shared" si="271"/>
        <v>37</v>
      </c>
      <c r="X650" s="84"/>
      <c r="Y650" s="78">
        <f>SUM(E632:E650)</f>
        <v>36</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9"/>
      <c r="N651" s="279"/>
      <c r="O651" s="279"/>
      <c r="P651" s="279"/>
      <c r="Q651" s="279"/>
      <c r="R651" s="279"/>
      <c r="S651" s="279"/>
      <c r="T651" s="279"/>
      <c r="U651" s="280"/>
      <c r="V651" s="103"/>
      <c r="W651" s="84">
        <f t="shared" si="271"/>
        <v>37</v>
      </c>
      <c r="X651" s="84"/>
      <c r="Y651" s="78">
        <f>SUM(E632:E651)</f>
        <v>36</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9"/>
      <c r="N652" s="279"/>
      <c r="O652" s="279"/>
      <c r="P652" s="279"/>
      <c r="Q652" s="279"/>
      <c r="R652" s="279"/>
      <c r="S652" s="279"/>
      <c r="T652" s="279"/>
      <c r="U652" s="280"/>
      <c r="V652" s="103"/>
      <c r="W652" s="84">
        <f t="shared" si="271"/>
        <v>37</v>
      </c>
      <c r="X652" s="84"/>
      <c r="Y652" s="78">
        <f>SUM(E632:E652)</f>
        <v>36</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9"/>
      <c r="N653" s="279"/>
      <c r="O653" s="279"/>
      <c r="P653" s="279"/>
      <c r="Q653" s="279"/>
      <c r="R653" s="279"/>
      <c r="S653" s="279"/>
      <c r="T653" s="279"/>
      <c r="U653" s="280"/>
      <c r="V653" s="103"/>
      <c r="W653" s="84">
        <f t="shared" si="271"/>
        <v>37</v>
      </c>
      <c r="X653" s="84"/>
      <c r="Y653" s="78">
        <f>SUM(E632:E653)</f>
        <v>36</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9"/>
      <c r="N654" s="279"/>
      <c r="O654" s="279"/>
      <c r="P654" s="279"/>
      <c r="Q654" s="279"/>
      <c r="R654" s="279"/>
      <c r="S654" s="279"/>
      <c r="T654" s="279"/>
      <c r="U654" s="280"/>
      <c r="V654" s="103"/>
      <c r="W654" s="84">
        <f t="shared" si="271"/>
        <v>37</v>
      </c>
      <c r="X654" s="84"/>
      <c r="Y654" s="78">
        <f>SUM(E632:E654)</f>
        <v>36</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9"/>
      <c r="N655" s="279"/>
      <c r="O655" s="279"/>
      <c r="P655" s="279"/>
      <c r="Q655" s="279"/>
      <c r="R655" s="279"/>
      <c r="S655" s="279"/>
      <c r="T655" s="279"/>
      <c r="U655" s="280"/>
      <c r="V655" s="103"/>
      <c r="W655" s="84">
        <f t="shared" si="271"/>
        <v>37</v>
      </c>
      <c r="X655" s="84"/>
      <c r="Y655" s="78">
        <f>SUM(E632:E655)</f>
        <v>36</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9"/>
      <c r="N656" s="279"/>
      <c r="O656" s="279"/>
      <c r="P656" s="279"/>
      <c r="Q656" s="279"/>
      <c r="R656" s="279"/>
      <c r="S656" s="279"/>
      <c r="T656" s="279"/>
      <c r="U656" s="280"/>
      <c r="V656" s="103"/>
      <c r="W656" s="72"/>
      <c r="X656" s="72"/>
      <c r="Y656" s="78">
        <f>SUM(E632:E656)</f>
        <v>36</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20" t="s">
        <v>335</v>
      </c>
      <c r="C657" s="321"/>
      <c r="D657" s="79"/>
      <c r="E657" s="80"/>
      <c r="F657" s="80"/>
      <c r="G657" s="81"/>
      <c r="H657" s="192"/>
      <c r="I657" s="192"/>
      <c r="J657" s="192"/>
      <c r="K657" s="82"/>
      <c r="L657" s="320" t="s">
        <v>306</v>
      </c>
      <c r="M657" s="331"/>
      <c r="N657" s="331"/>
      <c r="O657" s="331"/>
      <c r="P657" s="331"/>
      <c r="Q657" s="331"/>
      <c r="R657" s="331"/>
      <c r="S657" s="331"/>
      <c r="T657" s="331"/>
      <c r="U657" s="321"/>
      <c r="V657" s="104"/>
      <c r="W657" s="72"/>
      <c r="X657" s="72"/>
      <c r="Y657" s="72"/>
      <c r="Z657" s="72"/>
      <c r="AA657" s="72" t="str">
        <f t="shared" si="270"/>
        <v/>
      </c>
      <c r="AB657" s="72"/>
      <c r="AC657" s="72">
        <f>SUM(AC632:AC656)</f>
        <v>25</v>
      </c>
      <c r="AD657" s="72">
        <f>SUM(AD632:AD656)</f>
        <v>22</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20" t="s">
        <v>307</v>
      </c>
      <c r="C658" s="321"/>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3" t="s">
        <v>222</v>
      </c>
      <c r="C662" s="314"/>
      <c r="D662" s="315" t="s">
        <v>223</v>
      </c>
      <c r="E662" s="306"/>
      <c r="F662" s="88"/>
      <c r="G662" s="316" t="s">
        <v>224</v>
      </c>
      <c r="H662" s="317"/>
      <c r="I662" s="28">
        <f>SUM(E673:E697)</f>
        <v>132</v>
      </c>
      <c r="J662" s="318" t="s">
        <v>225</v>
      </c>
      <c r="K662" s="319"/>
      <c r="L662" s="306"/>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6" t="s">
        <v>226</v>
      </c>
      <c r="AA662" s="297"/>
      <c r="AB662" s="298"/>
      <c r="AC662" s="25"/>
      <c r="AD662" s="25"/>
      <c r="AH662" s="109">
        <v>2</v>
      </c>
      <c r="AI662" s="109" t="str">
        <f>IF($E663="SS",COUNTIFS($C673:$C697,"FST",$E673:$E697,"2"),"0")</f>
        <v>0</v>
      </c>
      <c r="AJ662" s="109">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RPX</v>
      </c>
      <c r="F663" s="88"/>
      <c r="G663" s="305" t="s">
        <v>230</v>
      </c>
      <c r="H663" s="306"/>
      <c r="I663" s="33">
        <f>E664-I662</f>
        <v>12</v>
      </c>
      <c r="J663" s="290" t="s">
        <v>231</v>
      </c>
      <c r="K663" s="291"/>
      <c r="L663" s="34">
        <f>I667</f>
        <v>397</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299" t="s">
        <v>232</v>
      </c>
      <c r="AA663" s="301" t="s">
        <v>233</v>
      </c>
      <c r="AB663" s="302"/>
      <c r="AC663" s="25"/>
      <c r="AD663" s="25"/>
      <c r="AH663" s="109">
        <v>4</v>
      </c>
      <c r="AI663" s="109" t="str">
        <f>IF($E663="SS",COUNTIFS($C673:$C697,"FST",$E673:$E697,"4"),"0")</f>
        <v>0</v>
      </c>
      <c r="AJ663" s="109">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144</v>
      </c>
      <c r="F664" s="88"/>
      <c r="G664" s="292" t="s">
        <v>237</v>
      </c>
      <c r="H664" s="293"/>
      <c r="I664" s="35">
        <f>IF(E664=0,0,12-(MOD(I662,12)))</f>
        <v>12</v>
      </c>
      <c r="J664" s="290" t="s">
        <v>238</v>
      </c>
      <c r="K664" s="291"/>
      <c r="L664" s="39">
        <f>I668-I662</f>
        <v>396</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0"/>
      <c r="AA664" s="303"/>
      <c r="AB664" s="304"/>
      <c r="AC664" s="25"/>
      <c r="AD664" s="25"/>
      <c r="AH664" s="109">
        <v>6</v>
      </c>
      <c r="AI664" s="109" t="str">
        <f>IF($E663="SS",COUNTIFS($C673:$C697,"FST",$E673:$E697,"6"),"0")</f>
        <v>0</v>
      </c>
      <c r="AJ664" s="109">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12</v>
      </c>
      <c r="F665" s="88"/>
      <c r="G665" s="322" t="s">
        <v>242</v>
      </c>
      <c r="H665" s="43" t="s">
        <v>243</v>
      </c>
      <c r="I665" s="35">
        <f>IF(E665&lt;&gt;0,1,0)</f>
        <v>1</v>
      </c>
      <c r="J665" s="292" t="s">
        <v>244</v>
      </c>
      <c r="K665" s="293"/>
      <c r="L665" s="44">
        <f>'Cable Calculator'!CF3</f>
        <v>1879</v>
      </c>
      <c r="M665" s="196">
        <v>8</v>
      </c>
      <c r="N665" s="35">
        <f>SUM(AI665,AI676)</f>
        <v>0</v>
      </c>
      <c r="O665" s="35">
        <v>0</v>
      </c>
      <c r="P665" s="35">
        <f>SUM(AJ665,AJ676)</f>
        <v>3</v>
      </c>
      <c r="Q665" s="35">
        <v>0</v>
      </c>
      <c r="R665" s="35">
        <f>COUNTIFS($E673:$E697,"8",$F673:$F697,"Pole",$C673:$C697,"FST")</f>
        <v>3</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f>IF($E663="RPX",COUNTIFS($C673:$C697,"FST",$E673:$E697,"8"),"0")</f>
        <v>3</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397</v>
      </c>
      <c r="F666" s="88"/>
      <c r="G666" s="323"/>
      <c r="H666" s="47" t="s">
        <v>248</v>
      </c>
      <c r="I666" s="35">
        <f>IF(E665&lt;&gt;0,E665,0)</f>
        <v>12</v>
      </c>
      <c r="J666" s="194"/>
      <c r="K666" s="195"/>
      <c r="L666" s="48"/>
      <c r="M666" s="196">
        <v>12</v>
      </c>
      <c r="N666" s="35" t="str">
        <f>IF($E663="SS",SUM(AI666,AJ677,AM698,AO698,AQ698),"0")</f>
        <v>0</v>
      </c>
      <c r="O666" s="35" t="str">
        <f>IF($E663="SS",SUM(AN698,AP698,AR698),"0")</f>
        <v>0</v>
      </c>
      <c r="P666" s="35">
        <f>IF($E663="RPX",SUM(AJ666,AJ677,AM698,AO698,AQ698),"0")</f>
        <v>0</v>
      </c>
      <c r="Q666" s="35">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12</v>
      </c>
      <c r="F667" s="88"/>
      <c r="G667" s="322" t="s">
        <v>251</v>
      </c>
      <c r="H667" s="51" t="s">
        <v>252</v>
      </c>
      <c r="I667" s="112">
        <f>E666</f>
        <v>397</v>
      </c>
      <c r="J667" s="324" t="s">
        <v>253</v>
      </c>
      <c r="K667" s="325"/>
      <c r="L667" s="326"/>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323"/>
      <c r="H668" s="47" t="s">
        <v>257</v>
      </c>
      <c r="I668" s="35">
        <f>IF(E666="","0",IF(AND(E663="EUC",E664=432), I667+(203-E665),IF(E666=0,0,(E666+(E664-E665)-1))))</f>
        <v>528</v>
      </c>
      <c r="J668" s="287" t="str">
        <f>IFERROR(IF(OR(E663="EUC",E663="SS"),"---",IF(OR(P662,S662),"NO 2F Tethers for RPX!",IF(OR(P664,S664),"NO 6F Tethers for RPX!","---"))),"---")</f>
        <v>---</v>
      </c>
      <c r="K668" s="288"/>
      <c r="L668" s="289"/>
      <c r="M668" s="287" t="str">
        <f>IF(E665&gt;60,"Dead Count &gt;60: Consider Downsize","---")</f>
        <v>---</v>
      </c>
      <c r="N668" s="288"/>
      <c r="O668" s="288"/>
      <c r="P668" s="288"/>
      <c r="Q668" s="288"/>
      <c r="R668" s="288"/>
      <c r="S668" s="288"/>
      <c r="T668" s="288"/>
      <c r="U668" s="289"/>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132</v>
      </c>
      <c r="D669" s="31" t="s">
        <v>259</v>
      </c>
      <c r="E669" s="101" t="str">
        <f>IF(AS663="Y","DBL",IF(AS664="Y","TRPL",IF(AS665="Y","QUAD","")))</f>
        <v/>
      </c>
      <c r="F669" s="88"/>
      <c r="G669" s="192"/>
      <c r="H669" s="57"/>
      <c r="I669" s="192"/>
      <c r="J669" s="287"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8"/>
      <c r="L669" s="289"/>
      <c r="M669" s="287" t="str">
        <f>IF(AND(OR(E663="SS",E663="RPX",E663="EUC",E663="RPX-T"),(OR(C673="",C673="Field SPL"))),"Cannot have FlexNap cables without tethers","---")</f>
        <v>---</v>
      </c>
      <c r="N669" s="288"/>
      <c r="O669" s="288"/>
      <c r="P669" s="288"/>
      <c r="Q669" s="288"/>
      <c r="R669" s="288"/>
      <c r="S669" s="288"/>
      <c r="T669" s="288"/>
      <c r="U669" s="289"/>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7" t="str">
        <f>IF(AND(OR(E663="RPX", E663="RPX-T", E663="SS"),E664=216),"NO 216 For RPX, RPX-T, OR SS CABLE","---")</f>
        <v>---</v>
      </c>
      <c r="K670" s="288"/>
      <c r="L670" s="289"/>
      <c r="M670" s="287" t="str" cm="1">
        <f t="array" ref="M670">IF(AND(E663="",OR(C673:C697="FST",C673:C697="REV T",C673:C697="DBL REV",C673:C697="TPL REV", C673:C697="QD REV")),"Non-FlexNap cables cannot have tethers","---")</f>
        <v>---</v>
      </c>
      <c r="N670" s="288"/>
      <c r="O670" s="288"/>
      <c r="P670" s="288"/>
      <c r="Q670" s="288"/>
      <c r="R670" s="288"/>
      <c r="S670" s="288"/>
      <c r="T670" s="288"/>
      <c r="U670" s="289"/>
      <c r="V670" s="25"/>
      <c r="W670" s="58"/>
      <c r="X670" s="58"/>
      <c r="Y670" s="25"/>
      <c r="Z670" s="45">
        <v>6</v>
      </c>
      <c r="AA670" s="65">
        <v>61</v>
      </c>
      <c r="AB670" s="65">
        <v>72</v>
      </c>
      <c r="AC670" s="25"/>
      <c r="AD670" s="25"/>
      <c r="BA670" s="226"/>
    </row>
    <row r="671" spans="1:53" ht="15.75" customHeight="1" thickBot="1" x14ac:dyDescent="0.3">
      <c r="A671" s="88"/>
      <c r="B671" s="322" t="s">
        <v>260</v>
      </c>
      <c r="C671" s="294" t="s">
        <v>261</v>
      </c>
      <c r="D671" s="294" t="s">
        <v>262</v>
      </c>
      <c r="E671" s="307" t="s">
        <v>263</v>
      </c>
      <c r="F671" s="294" t="s">
        <v>264</v>
      </c>
      <c r="G671" s="309" t="s">
        <v>265</v>
      </c>
      <c r="H671" s="309" t="s">
        <v>266</v>
      </c>
      <c r="I671" s="309" t="s">
        <v>267</v>
      </c>
      <c r="J671" s="311" t="s">
        <v>268</v>
      </c>
      <c r="K671" s="294" t="s">
        <v>269</v>
      </c>
      <c r="L671" s="281" t="s">
        <v>270</v>
      </c>
      <c r="M671" s="283" t="s">
        <v>271</v>
      </c>
      <c r="N671" s="283"/>
      <c r="O671" s="283"/>
      <c r="P671" s="283"/>
      <c r="Q671" s="283"/>
      <c r="R671" s="283"/>
      <c r="S671" s="283"/>
      <c r="T671" s="283"/>
      <c r="U671" s="284"/>
      <c r="V671" s="107"/>
      <c r="W671" s="72"/>
      <c r="X671" s="72"/>
      <c r="Y671" s="72"/>
      <c r="Z671" s="45">
        <v>7</v>
      </c>
      <c r="AA671" s="65">
        <v>73</v>
      </c>
      <c r="AB671" s="65">
        <v>84</v>
      </c>
      <c r="AC671" s="25"/>
      <c r="AD671" s="25"/>
      <c r="BA671" s="228"/>
    </row>
    <row r="672" spans="1:53" ht="15.75" thickBot="1" x14ac:dyDescent="0.3">
      <c r="A672" s="88"/>
      <c r="B672" s="323"/>
      <c r="C672" s="295"/>
      <c r="D672" s="295"/>
      <c r="E672" s="308"/>
      <c r="F672" s="295"/>
      <c r="G672" s="310"/>
      <c r="H672" s="310"/>
      <c r="I672" s="310"/>
      <c r="J672" s="312"/>
      <c r="K672" s="295"/>
      <c r="L672" s="282"/>
      <c r="M672" s="285"/>
      <c r="N672" s="285"/>
      <c r="O672" s="285"/>
      <c r="P672" s="285"/>
      <c r="Q672" s="285"/>
      <c r="R672" s="285"/>
      <c r="S672" s="285"/>
      <c r="T672" s="285"/>
      <c r="U672" s="286"/>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826</v>
      </c>
      <c r="E673" s="32">
        <v>8</v>
      </c>
      <c r="F673" s="32" t="s">
        <v>483</v>
      </c>
      <c r="G673" s="68" t="s">
        <v>277</v>
      </c>
      <c r="H673" s="69">
        <f>IF(I673=0,0,I673-(E673-1))</f>
        <v>521</v>
      </c>
      <c r="I673" s="70">
        <f>IF(E673=0,0,I668)</f>
        <v>528</v>
      </c>
      <c r="J673" s="71" t="s">
        <v>278</v>
      </c>
      <c r="K673" s="32"/>
      <c r="L673" s="233"/>
      <c r="M673" s="279"/>
      <c r="N673" s="279"/>
      <c r="O673" s="279"/>
      <c r="P673" s="279"/>
      <c r="Q673" s="279"/>
      <c r="R673" s="279"/>
      <c r="S673" s="279"/>
      <c r="T673" s="279"/>
      <c r="U673" s="280"/>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521-528</v>
      </c>
      <c r="AF673" s="109" t="str">
        <f t="shared" ref="AF673:AF697" si="275">IF(C673="Field SPL","N","Y")</f>
        <v>Y</v>
      </c>
      <c r="AG673" s="109" t="str">
        <f t="shared" ref="AG673:AG697" si="276">IF(OR(E$663="RPX",E$663="SS"),"A","B")</f>
        <v>A</v>
      </c>
      <c r="AH673" s="109">
        <v>2</v>
      </c>
      <c r="AI673" s="109" t="str">
        <f>IF(E663="SS",COUNTIFS(C673:C697,"TCF",E673:E697,"2"),"")</f>
        <v/>
      </c>
      <c r="AJ673" s="109">
        <f>IF(E663="RPX",COUNTIFS(C673:C697,"TCF",E673:E697,"2"),"")</f>
        <v>0</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8</v>
      </c>
    </row>
    <row r="674" spans="1:53" ht="15.75" thickBot="1" x14ac:dyDescent="0.3">
      <c r="A674" s="88"/>
      <c r="B674" s="66" t="s">
        <v>279</v>
      </c>
      <c r="C674" s="67" t="s">
        <v>484</v>
      </c>
      <c r="D674" s="102" t="s">
        <v>792</v>
      </c>
      <c r="E674" s="32">
        <v>8</v>
      </c>
      <c r="F674" s="32" t="s">
        <v>483</v>
      </c>
      <c r="G674" s="68" t="s">
        <v>277</v>
      </c>
      <c r="H674" s="69">
        <f t="shared" ref="H674:H697" si="281">IF(E674=0,0,I674-(E674-1))</f>
        <v>513</v>
      </c>
      <c r="I674" s="70">
        <f t="shared" ref="I674:I697" si="282">IF(E674=0,0,H673-1)</f>
        <v>520</v>
      </c>
      <c r="J674" s="73" t="str">
        <f>IF(C674="","--",IF(AND(C674&lt;&gt;"FST",C674&lt;&gt;"TCF",BA673&lt;&gt;0),BA673,"--"))</f>
        <v>--</v>
      </c>
      <c r="K674" s="32"/>
      <c r="L674" s="233"/>
      <c r="M674" s="279"/>
      <c r="N674" s="279"/>
      <c r="O674" s="279"/>
      <c r="P674" s="279"/>
      <c r="Q674" s="279"/>
      <c r="R674" s="279"/>
      <c r="S674" s="279"/>
      <c r="T674" s="279"/>
      <c r="U674" s="280"/>
      <c r="V674" s="103"/>
      <c r="W674" s="72"/>
      <c r="X674" s="72"/>
      <c r="Y674" s="72"/>
      <c r="Z674" s="45">
        <v>10</v>
      </c>
      <c r="AA674" s="46">
        <v>109</v>
      </c>
      <c r="AB674" s="46">
        <v>120</v>
      </c>
      <c r="AC674" s="72">
        <f t="shared" si="272"/>
        <v>1</v>
      </c>
      <c r="AD674" s="72">
        <f t="shared" si="273"/>
        <v>0</v>
      </c>
      <c r="AE674" s="109" t="str">
        <f t="shared" si="274"/>
        <v>513-520</v>
      </c>
      <c r="AF674" s="109" t="str">
        <f t="shared" si="275"/>
        <v>Y</v>
      </c>
      <c r="AG674" s="109" t="str">
        <f t="shared" si="276"/>
        <v>A</v>
      </c>
      <c r="AH674" s="109">
        <v>4</v>
      </c>
      <c r="AI674" s="109" t="str">
        <f>IF(E663="SS",COUNTIFS(C673:C697,"TCF",E673:E697,"4"),"")</f>
        <v/>
      </c>
      <c r="AJ674" s="109">
        <f>IF(E663="RPX",COUNTIFS(C673:C697,"TCF",E673:E697,"4"),"")</f>
        <v>0</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4</v>
      </c>
    </row>
    <row r="675" spans="1:53" ht="15.75" thickBot="1" x14ac:dyDescent="0.3">
      <c r="A675" s="88"/>
      <c r="B675" s="74" t="s">
        <v>280</v>
      </c>
      <c r="C675" s="67" t="s">
        <v>484</v>
      </c>
      <c r="D675" s="102" t="s">
        <v>793</v>
      </c>
      <c r="E675" s="32">
        <v>8</v>
      </c>
      <c r="F675" s="32" t="s">
        <v>483</v>
      </c>
      <c r="G675" s="75" t="s">
        <v>277</v>
      </c>
      <c r="H675" s="69">
        <f t="shared" si="281"/>
        <v>505</v>
      </c>
      <c r="I675" s="70">
        <f t="shared" si="282"/>
        <v>512</v>
      </c>
      <c r="J675" s="73" t="str">
        <f t="shared" ref="J675:J697" si="283">IF(C675="","--",IF(AND(C675&lt;&gt;"FST",C675&lt;&gt;"TCF",BA674&lt;&gt;0),BA674,"--"))</f>
        <v>--</v>
      </c>
      <c r="K675" s="32"/>
      <c r="L675" s="233"/>
      <c r="M675" s="279"/>
      <c r="N675" s="279"/>
      <c r="O675" s="279"/>
      <c r="P675" s="279"/>
      <c r="Q675" s="279"/>
      <c r="R675" s="279"/>
      <c r="S675" s="279"/>
      <c r="T675" s="279"/>
      <c r="U675" s="280"/>
      <c r="V675" s="103"/>
      <c r="W675" s="72"/>
      <c r="X675" s="72"/>
      <c r="Y675" s="72"/>
      <c r="Z675" s="45">
        <v>11</v>
      </c>
      <c r="AA675" s="46">
        <v>121</v>
      </c>
      <c r="AB675" s="46">
        <v>132</v>
      </c>
      <c r="AC675" s="72">
        <f t="shared" si="272"/>
        <v>1</v>
      </c>
      <c r="AD675" s="72">
        <f t="shared" si="273"/>
        <v>0</v>
      </c>
      <c r="AE675" s="109" t="str">
        <f t="shared" si="274"/>
        <v>505-512</v>
      </c>
      <c r="AF675" s="109" t="str">
        <f t="shared" si="275"/>
        <v>Y</v>
      </c>
      <c r="AG675" s="109" t="str">
        <f t="shared" si="276"/>
        <v>A</v>
      </c>
      <c r="AH675" s="109">
        <v>6</v>
      </c>
      <c r="AI675" s="109" t="str">
        <f>IF(E663="SS",COUNTIFS(C673:C697,"TCF",E673:E697,"6"),"")</f>
        <v/>
      </c>
      <c r="AJ675" s="109">
        <f>IF(E663="RPX",COUNTIFS(C673:C697,"TCF",E673:E697,"6"),"")</f>
        <v>0</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t="s">
        <v>502</v>
      </c>
      <c r="D676" s="102"/>
      <c r="E676" s="32">
        <v>48</v>
      </c>
      <c r="F676" s="32"/>
      <c r="G676" s="68" t="s">
        <v>277</v>
      </c>
      <c r="H676" s="69">
        <f t="shared" si="281"/>
        <v>457</v>
      </c>
      <c r="I676" s="70">
        <f t="shared" si="282"/>
        <v>504</v>
      </c>
      <c r="J676" s="73" t="str">
        <f t="shared" si="283"/>
        <v>--</v>
      </c>
      <c r="K676" s="32"/>
      <c r="L676" s="233"/>
      <c r="M676" s="279" t="s">
        <v>422</v>
      </c>
      <c r="N676" s="279"/>
      <c r="O676" s="279"/>
      <c r="P676" s="279"/>
      <c r="Q676" s="279"/>
      <c r="R676" s="279"/>
      <c r="S676" s="279"/>
      <c r="T676" s="279"/>
      <c r="U676" s="280"/>
      <c r="V676" s="103"/>
      <c r="W676" s="72"/>
      <c r="X676" s="72"/>
      <c r="Y676" s="72"/>
      <c r="Z676" s="45">
        <v>12</v>
      </c>
      <c r="AA676" s="76">
        <v>133</v>
      </c>
      <c r="AB676" s="76">
        <v>144</v>
      </c>
      <c r="AC676" s="72">
        <f t="shared" si="272"/>
        <v>1</v>
      </c>
      <c r="AD676" s="72">
        <f t="shared" si="273"/>
        <v>1</v>
      </c>
      <c r="AE676" s="109" t="str">
        <f t="shared" si="274"/>
        <v>457-504</v>
      </c>
      <c r="AF676" s="109" t="str">
        <f t="shared" si="275"/>
        <v>N</v>
      </c>
      <c r="AG676" s="109" t="str">
        <f t="shared" si="276"/>
        <v>A</v>
      </c>
      <c r="AH676" s="109">
        <v>8</v>
      </c>
      <c r="AI676" s="109" t="str">
        <f>IF(E663="SS",COUNTIFS(C673:C697,"TCF",E673:E697,"8"),"")</f>
        <v/>
      </c>
      <c r="AJ676" s="109">
        <f>IF(E663="RPX",COUNTIFS(C673:C697,"TCF",E673:E697,"8"),"")</f>
        <v>0</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t="s">
        <v>502</v>
      </c>
      <c r="D677" s="102"/>
      <c r="E677" s="32">
        <v>60</v>
      </c>
      <c r="F677" s="32"/>
      <c r="G677" s="68" t="s">
        <v>277</v>
      </c>
      <c r="H677" s="69">
        <f t="shared" si="281"/>
        <v>397</v>
      </c>
      <c r="I677" s="70">
        <f t="shared" si="282"/>
        <v>456</v>
      </c>
      <c r="J677" s="73" t="str">
        <f t="shared" si="283"/>
        <v>--</v>
      </c>
      <c r="K677" s="32"/>
      <c r="L677" s="233"/>
      <c r="M677" s="279" t="s">
        <v>423</v>
      </c>
      <c r="N677" s="279"/>
      <c r="O677" s="279"/>
      <c r="P677" s="279"/>
      <c r="Q677" s="279"/>
      <c r="R677" s="279"/>
      <c r="S677" s="279"/>
      <c r="T677" s="279"/>
      <c r="U677" s="280"/>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397-456</v>
      </c>
      <c r="AF677" s="109" t="str">
        <f t="shared" si="275"/>
        <v>N</v>
      </c>
      <c r="AG677" s="109" t="str">
        <f t="shared" si="276"/>
        <v>A</v>
      </c>
      <c r="AH677" s="109">
        <v>12</v>
      </c>
      <c r="AI677" s="109" t="str">
        <f>IF(E663="SS",COUNTIFS(C673:C697,"TCF",E673:E697,"12"),"")</f>
        <v/>
      </c>
      <c r="AJ677" s="109">
        <f>IF(E663="RPX",COUNTIFS(C673:C697,"TCF",E673:E697,"12"),"")</f>
        <v>0</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79"/>
      <c r="N678" s="279"/>
      <c r="O678" s="279"/>
      <c r="P678" s="279"/>
      <c r="Q678" s="279"/>
      <c r="R678" s="279"/>
      <c r="S678" s="279"/>
      <c r="T678" s="279"/>
      <c r="U678" s="280"/>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A</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79"/>
      <c r="N679" s="279"/>
      <c r="O679" s="279"/>
      <c r="P679" s="279"/>
      <c r="Q679" s="279"/>
      <c r="R679" s="279"/>
      <c r="S679" s="279"/>
      <c r="T679" s="279"/>
      <c r="U679" s="280"/>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A</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79"/>
      <c r="N680" s="279"/>
      <c r="O680" s="279"/>
      <c r="P680" s="279"/>
      <c r="Q680" s="279"/>
      <c r="R680" s="279"/>
      <c r="S680" s="279"/>
      <c r="T680" s="279"/>
      <c r="U680" s="280"/>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A</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79"/>
      <c r="N681" s="279"/>
      <c r="O681" s="279"/>
      <c r="P681" s="279"/>
      <c r="Q681" s="279"/>
      <c r="R681" s="279"/>
      <c r="S681" s="279"/>
      <c r="T681" s="279"/>
      <c r="U681" s="280"/>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A</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79"/>
      <c r="N682" s="279"/>
      <c r="O682" s="279"/>
      <c r="P682" s="279"/>
      <c r="Q682" s="279"/>
      <c r="R682" s="279"/>
      <c r="S682" s="279"/>
      <c r="T682" s="279"/>
      <c r="U682" s="280"/>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A</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9"/>
      <c r="N683" s="279"/>
      <c r="O683" s="279"/>
      <c r="P683" s="279"/>
      <c r="Q683" s="279"/>
      <c r="R683" s="279"/>
      <c r="S683" s="279"/>
      <c r="T683" s="279"/>
      <c r="U683" s="280"/>
      <c r="V683" s="103"/>
      <c r="W683" s="84"/>
      <c r="X683" s="84"/>
      <c r="Y683" s="72"/>
      <c r="Z683" s="72"/>
      <c r="AA683" s="72"/>
      <c r="AB683" s="72"/>
      <c r="AC683" s="72">
        <f t="shared" si="272"/>
        <v>1</v>
      </c>
      <c r="AD683" s="72">
        <f t="shared" si="273"/>
        <v>1</v>
      </c>
      <c r="AE683" s="109" t="str">
        <f t="shared" si="274"/>
        <v>0-0</v>
      </c>
      <c r="AF683" s="109" t="str">
        <f t="shared" si="275"/>
        <v>Y</v>
      </c>
      <c r="AG683" s="109" t="str">
        <f t="shared" si="276"/>
        <v>A</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9"/>
      <c r="N684" s="279"/>
      <c r="O684" s="279"/>
      <c r="P684" s="279"/>
      <c r="Q684" s="279"/>
      <c r="R684" s="279"/>
      <c r="S684" s="279"/>
      <c r="T684" s="279"/>
      <c r="U684" s="280"/>
      <c r="V684" s="103"/>
      <c r="W684" s="84">
        <f>Y684+1</f>
        <v>133</v>
      </c>
      <c r="X684" s="84"/>
      <c r="Y684" s="78">
        <f>SUM(E673:E684)</f>
        <v>132</v>
      </c>
      <c r="Z684" s="72"/>
      <c r="AA684" s="72"/>
      <c r="AB684" s="72"/>
      <c r="AC684" s="72">
        <f t="shared" si="272"/>
        <v>1</v>
      </c>
      <c r="AD684" s="72">
        <f t="shared" si="273"/>
        <v>1</v>
      </c>
      <c r="AE684" s="109" t="str">
        <f t="shared" si="274"/>
        <v>0-0</v>
      </c>
      <c r="AF684" s="109" t="str">
        <f t="shared" si="275"/>
        <v>Y</v>
      </c>
      <c r="AG684" s="109" t="str">
        <f t="shared" si="276"/>
        <v>A</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9"/>
      <c r="N685" s="279"/>
      <c r="O685" s="279"/>
      <c r="P685" s="279"/>
      <c r="Q685" s="279"/>
      <c r="R685" s="279"/>
      <c r="S685" s="279"/>
      <c r="T685" s="279"/>
      <c r="U685" s="280"/>
      <c r="V685" s="103"/>
      <c r="W685" s="84">
        <f>Y685+1</f>
        <v>133</v>
      </c>
      <c r="X685" s="84"/>
      <c r="Y685" s="78">
        <f>SUM(E673:E685)</f>
        <v>132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A</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9"/>
      <c r="N686" s="279"/>
      <c r="O686" s="279"/>
      <c r="P686" s="279"/>
      <c r="Q686" s="279"/>
      <c r="R686" s="279"/>
      <c r="S686" s="279"/>
      <c r="T686" s="279"/>
      <c r="U686" s="280"/>
      <c r="V686" s="103"/>
      <c r="W686" s="84">
        <f>Y686+1</f>
        <v>133</v>
      </c>
      <c r="X686" s="84"/>
      <c r="Y686" s="78">
        <f>SUM(E673:E686)</f>
        <v>132</v>
      </c>
      <c r="Z686" s="72" t="str">
        <f t="shared" si="286"/>
        <v/>
      </c>
      <c r="AA686" s="72"/>
      <c r="AB686" s="72"/>
      <c r="AC686" s="72">
        <f t="shared" si="272"/>
        <v>1</v>
      </c>
      <c r="AD686" s="72">
        <f t="shared" si="273"/>
        <v>1</v>
      </c>
      <c r="AE686" s="109" t="str">
        <f t="shared" si="274"/>
        <v>0-0</v>
      </c>
      <c r="AF686" s="109" t="str">
        <f t="shared" si="275"/>
        <v>Y</v>
      </c>
      <c r="AG686" s="109" t="str">
        <f t="shared" si="276"/>
        <v>A</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9"/>
      <c r="N687" s="279"/>
      <c r="O687" s="279"/>
      <c r="P687" s="279"/>
      <c r="Q687" s="279"/>
      <c r="R687" s="279"/>
      <c r="S687" s="279"/>
      <c r="T687" s="279"/>
      <c r="U687" s="280"/>
      <c r="V687" s="103"/>
      <c r="W687" s="84">
        <f>Y687+1</f>
        <v>133</v>
      </c>
      <c r="X687" s="84"/>
      <c r="Y687" s="78">
        <f>SUM(E673:E687)</f>
        <v>132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A</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9"/>
      <c r="N688" s="279"/>
      <c r="O688" s="279"/>
      <c r="P688" s="279"/>
      <c r="Q688" s="279"/>
      <c r="R688" s="279"/>
      <c r="S688" s="279"/>
      <c r="T688" s="279"/>
      <c r="U688" s="280"/>
      <c r="V688" s="103"/>
      <c r="W688" s="84">
        <f t="shared" ref="W688:W696" si="288">Y688+1</f>
        <v>133</v>
      </c>
      <c r="X688" s="84"/>
      <c r="Y688" s="78">
        <f>SUM(E673:E688)</f>
        <v>132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A</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9"/>
      <c r="N689" s="279"/>
      <c r="O689" s="279"/>
      <c r="P689" s="279"/>
      <c r="Q689" s="279"/>
      <c r="R689" s="279"/>
      <c r="S689" s="279"/>
      <c r="T689" s="279"/>
      <c r="U689" s="280"/>
      <c r="V689" s="103"/>
      <c r="W689" s="84">
        <f t="shared" si="288"/>
        <v>133</v>
      </c>
      <c r="X689" s="84"/>
      <c r="Y689" s="78">
        <f>SUM(E673:E689)</f>
        <v>132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A</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9"/>
      <c r="N690" s="279"/>
      <c r="O690" s="279"/>
      <c r="P690" s="279"/>
      <c r="Q690" s="279"/>
      <c r="R690" s="279"/>
      <c r="S690" s="279"/>
      <c r="T690" s="279"/>
      <c r="U690" s="280"/>
      <c r="V690" s="103"/>
      <c r="W690" s="84">
        <f t="shared" si="288"/>
        <v>133</v>
      </c>
      <c r="X690" s="84"/>
      <c r="Y690" s="78">
        <f>SUM(E673:E690)</f>
        <v>132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A</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9"/>
      <c r="N691" s="279"/>
      <c r="O691" s="279"/>
      <c r="P691" s="279"/>
      <c r="Q691" s="279"/>
      <c r="R691" s="279"/>
      <c r="S691" s="279"/>
      <c r="T691" s="279"/>
      <c r="U691" s="280"/>
      <c r="V691" s="103"/>
      <c r="W691" s="84">
        <f t="shared" si="288"/>
        <v>133</v>
      </c>
      <c r="X691" s="84"/>
      <c r="Y691" s="78">
        <f>SUM(E673:E691)</f>
        <v>132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A</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9"/>
      <c r="N692" s="279"/>
      <c r="O692" s="279"/>
      <c r="P692" s="279"/>
      <c r="Q692" s="279"/>
      <c r="R692" s="279"/>
      <c r="S692" s="279"/>
      <c r="T692" s="279"/>
      <c r="U692" s="280"/>
      <c r="V692" s="103"/>
      <c r="W692" s="84">
        <f t="shared" si="288"/>
        <v>133</v>
      </c>
      <c r="X692" s="84"/>
      <c r="Y692" s="78">
        <f>SUM(E673:E692)</f>
        <v>132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A</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9"/>
      <c r="N693" s="279"/>
      <c r="O693" s="279"/>
      <c r="P693" s="279"/>
      <c r="Q693" s="279"/>
      <c r="R693" s="279"/>
      <c r="S693" s="279"/>
      <c r="T693" s="279"/>
      <c r="U693" s="280"/>
      <c r="V693" s="103"/>
      <c r="W693" s="84">
        <f t="shared" si="288"/>
        <v>133</v>
      </c>
      <c r="X693" s="84"/>
      <c r="Y693" s="78">
        <f>SUM(E673:E693)</f>
        <v>132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A</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9"/>
      <c r="N694" s="279"/>
      <c r="O694" s="279"/>
      <c r="P694" s="279"/>
      <c r="Q694" s="279"/>
      <c r="R694" s="279"/>
      <c r="S694" s="279"/>
      <c r="T694" s="279"/>
      <c r="U694" s="280"/>
      <c r="V694" s="103"/>
      <c r="W694" s="84">
        <f t="shared" si="288"/>
        <v>133</v>
      </c>
      <c r="X694" s="84"/>
      <c r="Y694" s="78">
        <f>SUM(E673:E694)</f>
        <v>132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A</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9"/>
      <c r="N695" s="279"/>
      <c r="O695" s="279"/>
      <c r="P695" s="279"/>
      <c r="Q695" s="279"/>
      <c r="R695" s="279"/>
      <c r="S695" s="279"/>
      <c r="T695" s="279"/>
      <c r="U695" s="280"/>
      <c r="V695" s="103"/>
      <c r="W695" s="84">
        <f t="shared" si="288"/>
        <v>133</v>
      </c>
      <c r="X695" s="84"/>
      <c r="Y695" s="78">
        <f>SUM(E673:E695)</f>
        <v>132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A</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9"/>
      <c r="N696" s="279"/>
      <c r="O696" s="279"/>
      <c r="P696" s="279"/>
      <c r="Q696" s="279"/>
      <c r="R696" s="279"/>
      <c r="S696" s="279"/>
      <c r="T696" s="279"/>
      <c r="U696" s="280"/>
      <c r="V696" s="103"/>
      <c r="W696" s="84">
        <f t="shared" si="288"/>
        <v>133</v>
      </c>
      <c r="X696" s="84"/>
      <c r="Y696" s="78">
        <f>SUM(E673:E696)</f>
        <v>132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A</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9"/>
      <c r="N697" s="279"/>
      <c r="O697" s="279"/>
      <c r="P697" s="279"/>
      <c r="Q697" s="279"/>
      <c r="R697" s="279"/>
      <c r="S697" s="279"/>
      <c r="T697" s="279"/>
      <c r="U697" s="280"/>
      <c r="V697" s="103"/>
      <c r="W697" s="72"/>
      <c r="X697" s="72"/>
      <c r="Y697" s="78">
        <f>SUM(E673:E697)</f>
        <v>132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A</v>
      </c>
      <c r="AM697" s="109">
        <f t="shared" si="277"/>
        <v>0</v>
      </c>
      <c r="AN697" s="109">
        <f t="shared" si="278"/>
        <v>0</v>
      </c>
      <c r="AO697" s="109" t="str">
        <f t="shared" si="279"/>
        <v/>
      </c>
      <c r="AQ697" s="109" t="str">
        <f t="shared" si="280"/>
        <v/>
      </c>
      <c r="BA697" s="228"/>
    </row>
    <row r="698" spans="1:53" ht="16.5" thickBot="1" x14ac:dyDescent="0.3">
      <c r="A698" s="88"/>
      <c r="B698" s="320" t="s">
        <v>337</v>
      </c>
      <c r="C698" s="321"/>
      <c r="D698" s="79"/>
      <c r="E698" s="80"/>
      <c r="F698" s="80"/>
      <c r="G698" s="81"/>
      <c r="H698" s="192"/>
      <c r="I698" s="192"/>
      <c r="J698" s="192"/>
      <c r="K698" s="82"/>
      <c r="L698" s="320" t="s">
        <v>306</v>
      </c>
      <c r="M698" s="331"/>
      <c r="N698" s="331"/>
      <c r="O698" s="331"/>
      <c r="P698" s="331"/>
      <c r="Q698" s="331"/>
      <c r="R698" s="331"/>
      <c r="S698" s="331"/>
      <c r="T698" s="331"/>
      <c r="U698" s="321"/>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20" t="s">
        <v>307</v>
      </c>
      <c r="C699" s="321"/>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3" t="s">
        <v>222</v>
      </c>
      <c r="C703" s="314"/>
      <c r="D703" s="315" t="s">
        <v>223</v>
      </c>
      <c r="E703" s="306"/>
      <c r="F703" s="88"/>
      <c r="G703" s="316" t="s">
        <v>224</v>
      </c>
      <c r="H703" s="317"/>
      <c r="I703" s="28">
        <f>SUM(E714:E738)</f>
        <v>12</v>
      </c>
      <c r="J703" s="318" t="s">
        <v>225</v>
      </c>
      <c r="K703" s="319"/>
      <c r="L703" s="306"/>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6" t="s">
        <v>226</v>
      </c>
      <c r="AA703" s="297"/>
      <c r="AB703" s="298"/>
      <c r="AC703" s="25"/>
      <c r="AD703" s="25"/>
      <c r="AH703" s="109">
        <v>2</v>
      </c>
      <c r="AI703" s="109" t="str">
        <f>IF($E704="SS",COUNTIFS($C714:$C738,"FST",$E714:$E738,"2"),"0")</f>
        <v>0</v>
      </c>
      <c r="AJ703" s="109">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RPX</v>
      </c>
      <c r="F704" s="88"/>
      <c r="G704" s="305" t="s">
        <v>230</v>
      </c>
      <c r="H704" s="306"/>
      <c r="I704" s="33">
        <f>E705-I703</f>
        <v>12</v>
      </c>
      <c r="J704" s="290" t="s">
        <v>231</v>
      </c>
      <c r="K704" s="291"/>
      <c r="L704" s="34">
        <f>I708</f>
        <v>673</v>
      </c>
      <c r="M704" s="196">
        <v>4</v>
      </c>
      <c r="N704" s="35">
        <f>SUM(AI704,AI715)</f>
        <v>0</v>
      </c>
      <c r="O704" s="35">
        <v>0</v>
      </c>
      <c r="P704" s="35">
        <f>SUM(AJ704,AJ715)</f>
        <v>3</v>
      </c>
      <c r="Q704" s="35">
        <v>0</v>
      </c>
      <c r="R704" s="35">
        <f>COUNTIFS($E714:$E738,"4",$F714:$F738,"Pole",$C714:$C738,"FST")</f>
        <v>3</v>
      </c>
      <c r="S704" s="35">
        <f>SUM(AL704,AK715)</f>
        <v>0</v>
      </c>
      <c r="T704" s="35">
        <v>0</v>
      </c>
      <c r="U704" s="35">
        <f>SUM(AK704,AL715)</f>
        <v>0</v>
      </c>
      <c r="V704" s="35">
        <v>0</v>
      </c>
      <c r="W704" s="34">
        <f>COUNTIFS($E714:$E738,"4",$F714:$F738,"HH",$C714:$C738,"FST")</f>
        <v>0</v>
      </c>
      <c r="X704" s="35">
        <f>COUNTIFS($E714:$E738,"4",$F714:$F738,"Ped",$C714:$C738,"FST")</f>
        <v>0</v>
      </c>
      <c r="Y704" s="25"/>
      <c r="Z704" s="299" t="s">
        <v>232</v>
      </c>
      <c r="AA704" s="301" t="s">
        <v>233</v>
      </c>
      <c r="AB704" s="302"/>
      <c r="AC704" s="25"/>
      <c r="AD704" s="25"/>
      <c r="AH704" s="109">
        <v>4</v>
      </c>
      <c r="AI704" s="109" t="str">
        <f>IF($E704="SS",COUNTIFS($C714:$C738,"FST",$E714:$E738,"4"),"0")</f>
        <v>0</v>
      </c>
      <c r="AJ704" s="109">
        <f>IF($E704="RPX",COUNTIFS($C714:$C738,"FST",$E714:$E738,"4"),"0")</f>
        <v>3</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24</v>
      </c>
      <c r="F705" s="88"/>
      <c r="G705" s="292" t="s">
        <v>237</v>
      </c>
      <c r="H705" s="293"/>
      <c r="I705" s="35">
        <f>IF(E705=0,0,12-(MOD(I703,12)))</f>
        <v>12</v>
      </c>
      <c r="J705" s="290" t="s">
        <v>238</v>
      </c>
      <c r="K705" s="291"/>
      <c r="L705" s="39">
        <f>I709-I703</f>
        <v>672</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0"/>
      <c r="AA705" s="303"/>
      <c r="AB705" s="304"/>
      <c r="AC705" s="25"/>
      <c r="AD705" s="25"/>
      <c r="AH705" s="109">
        <v>6</v>
      </c>
      <c r="AI705" s="109" t="str">
        <f>IF($E704="SS",COUNTIFS($C714:$C738,"FST",$E714:$E738,"6"),"0")</f>
        <v>0</v>
      </c>
      <c r="AJ705" s="109">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12</v>
      </c>
      <c r="F706" s="88"/>
      <c r="G706" s="322" t="s">
        <v>242</v>
      </c>
      <c r="H706" s="43" t="s">
        <v>243</v>
      </c>
      <c r="I706" s="35">
        <f>IF(E706&lt;&gt;0,1,0)</f>
        <v>1</v>
      </c>
      <c r="J706" s="292" t="s">
        <v>244</v>
      </c>
      <c r="K706" s="293"/>
      <c r="L706" s="44">
        <f>'Cable Calculator'!CK3</f>
        <v>1461</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673</v>
      </c>
      <c r="F707" s="88"/>
      <c r="G707" s="323"/>
      <c r="H707" s="47" t="s">
        <v>248</v>
      </c>
      <c r="I707" s="35">
        <f>IF(E706&lt;&gt;0,E706,0)</f>
        <v>12</v>
      </c>
      <c r="J707" s="194"/>
      <c r="K707" s="195"/>
      <c r="L707" s="48"/>
      <c r="M707" s="196">
        <v>12</v>
      </c>
      <c r="N707" s="35" t="str">
        <f>IF($E704="SS",SUM(AI707,AJ718,AM739,AO739,AQ739),"0")</f>
        <v>0</v>
      </c>
      <c r="O707" s="35" t="str">
        <f>IF($E704="SS",SUM(AN739,AP739,AR739),"0")</f>
        <v>0</v>
      </c>
      <c r="P707" s="35">
        <f>IF($E704="RPX",SUM(AJ707,AJ718,AM739,AO739,AQ739),"0")</f>
        <v>0</v>
      </c>
      <c r="Q707" s="35">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2</v>
      </c>
      <c r="F708" s="88"/>
      <c r="G708" s="322" t="s">
        <v>251</v>
      </c>
      <c r="H708" s="51" t="s">
        <v>252</v>
      </c>
      <c r="I708" s="112">
        <f>E707</f>
        <v>673</v>
      </c>
      <c r="J708" s="324" t="s">
        <v>253</v>
      </c>
      <c r="K708" s="325"/>
      <c r="L708" s="326"/>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323"/>
      <c r="H709" s="47" t="s">
        <v>257</v>
      </c>
      <c r="I709" s="35">
        <f>IF(E707="","0",IF(AND(E704="EUC",E705=432), I708+(203-E706),IF(E707=0,0,(E707+(E705-E706)-1))))</f>
        <v>684</v>
      </c>
      <c r="J709" s="287" t="str">
        <f>IFERROR(IF(OR(E704="EUC",E704="SS"),"---",IF(OR(P703,S703),"NO 2F Tethers for RPX!",IF(OR(P705,S705),"NO 6F Tethers for RPX!","---"))),"---")</f>
        <v>---</v>
      </c>
      <c r="K709" s="288"/>
      <c r="L709" s="289"/>
      <c r="M709" s="287" t="str">
        <f>IF(E706&gt;60,"Dead Count &gt;60: Consider Downsize","---")</f>
        <v>---</v>
      </c>
      <c r="N709" s="288"/>
      <c r="O709" s="288"/>
      <c r="P709" s="288"/>
      <c r="Q709" s="288"/>
      <c r="R709" s="288"/>
      <c r="S709" s="288"/>
      <c r="T709" s="288"/>
      <c r="U709" s="289"/>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12</v>
      </c>
      <c r="D710" s="31" t="s">
        <v>259</v>
      </c>
      <c r="E710" s="101" t="str">
        <f>IF(AS704="Y","DBL",IF(AS705="Y","TRPL",IF(AS706="Y","QUAD","")))</f>
        <v/>
      </c>
      <c r="F710" s="88"/>
      <c r="G710" s="192"/>
      <c r="H710" s="57"/>
      <c r="I710" s="192"/>
      <c r="J710" s="287"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8"/>
      <c r="L710" s="289"/>
      <c r="M710" s="287" t="str">
        <f>IF(AND(OR(E704="SS",E704="RPX",E704="EUC",E704="RPX-T"),(OR(C714="",C714="Field SPL"))),"Cannot have FlexNap cables without tethers","---")</f>
        <v>---</v>
      </c>
      <c r="N710" s="288"/>
      <c r="O710" s="288"/>
      <c r="P710" s="288"/>
      <c r="Q710" s="288"/>
      <c r="R710" s="288"/>
      <c r="S710" s="288"/>
      <c r="T710" s="288"/>
      <c r="U710" s="289"/>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7" t="str">
        <f>IF(AND(OR(E704="RPX", E704="RPX-T", E704="SS"),E705=216),"NO 216 For RPX, RPX-T, OR SS CABLE","---")</f>
        <v>---</v>
      </c>
      <c r="K711" s="288"/>
      <c r="L711" s="289"/>
      <c r="M711" s="287" t="str" cm="1">
        <f t="array" ref="M711">IF(AND(E704="",OR(C714:C738="FST",C714:C738="REV T",C714:C738="DBL REV",C714:C738="TPL REV", C714:C738="QD REV")),"Non-FlexNap cables cannot have tethers","---")</f>
        <v>---</v>
      </c>
      <c r="N711" s="288"/>
      <c r="O711" s="288"/>
      <c r="P711" s="288"/>
      <c r="Q711" s="288"/>
      <c r="R711" s="288"/>
      <c r="S711" s="288"/>
      <c r="T711" s="288"/>
      <c r="U711" s="289"/>
      <c r="V711" s="25"/>
      <c r="W711" s="58"/>
      <c r="X711" s="58"/>
      <c r="Y711" s="25"/>
      <c r="Z711" s="45">
        <v>6</v>
      </c>
      <c r="AA711" s="65">
        <v>61</v>
      </c>
      <c r="AB711" s="65">
        <v>72</v>
      </c>
      <c r="AC711" s="25"/>
      <c r="AD711" s="25"/>
      <c r="BA711" s="226"/>
    </row>
    <row r="712" spans="1:53" ht="15.75" customHeight="1" thickBot="1" x14ac:dyDescent="0.3">
      <c r="A712" s="88"/>
      <c r="B712" s="322" t="s">
        <v>260</v>
      </c>
      <c r="C712" s="294" t="s">
        <v>261</v>
      </c>
      <c r="D712" s="294" t="s">
        <v>262</v>
      </c>
      <c r="E712" s="307" t="s">
        <v>263</v>
      </c>
      <c r="F712" s="294" t="s">
        <v>264</v>
      </c>
      <c r="G712" s="309" t="s">
        <v>265</v>
      </c>
      <c r="H712" s="309" t="s">
        <v>266</v>
      </c>
      <c r="I712" s="309" t="s">
        <v>267</v>
      </c>
      <c r="J712" s="311" t="s">
        <v>268</v>
      </c>
      <c r="K712" s="294" t="s">
        <v>269</v>
      </c>
      <c r="L712" s="281" t="s">
        <v>270</v>
      </c>
      <c r="M712" s="283" t="s">
        <v>271</v>
      </c>
      <c r="N712" s="283"/>
      <c r="O712" s="283"/>
      <c r="P712" s="283"/>
      <c r="Q712" s="283"/>
      <c r="R712" s="283"/>
      <c r="S712" s="283"/>
      <c r="T712" s="283"/>
      <c r="U712" s="284"/>
      <c r="V712" s="107"/>
      <c r="W712" s="72"/>
      <c r="X712" s="72"/>
      <c r="Y712" s="72"/>
      <c r="Z712" s="45">
        <v>7</v>
      </c>
      <c r="AA712" s="65">
        <v>73</v>
      </c>
      <c r="AB712" s="65">
        <v>84</v>
      </c>
      <c r="AC712" s="25"/>
      <c r="AD712" s="25"/>
      <c r="BA712" s="228"/>
    </row>
    <row r="713" spans="1:53" ht="15.75" thickBot="1" x14ac:dyDescent="0.3">
      <c r="A713" s="88"/>
      <c r="B713" s="323"/>
      <c r="C713" s="295"/>
      <c r="D713" s="295"/>
      <c r="E713" s="308"/>
      <c r="F713" s="295"/>
      <c r="G713" s="310"/>
      <c r="H713" s="310"/>
      <c r="I713" s="310"/>
      <c r="J713" s="312"/>
      <c r="K713" s="295"/>
      <c r="L713" s="282"/>
      <c r="M713" s="285"/>
      <c r="N713" s="285"/>
      <c r="O713" s="285"/>
      <c r="P713" s="285"/>
      <c r="Q713" s="285"/>
      <c r="R713" s="285"/>
      <c r="S713" s="285"/>
      <c r="T713" s="285"/>
      <c r="U713" s="286"/>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794</v>
      </c>
      <c r="E714" s="32">
        <v>4</v>
      </c>
      <c r="F714" s="32" t="s">
        <v>483</v>
      </c>
      <c r="G714" s="68" t="s">
        <v>277</v>
      </c>
      <c r="H714" s="69">
        <f>IF(I714=0,0,I714-(E714-1))</f>
        <v>681</v>
      </c>
      <c r="I714" s="70">
        <f>IF(E714=0,0,I709)</f>
        <v>684</v>
      </c>
      <c r="J714" s="71" t="s">
        <v>278</v>
      </c>
      <c r="K714" s="32"/>
      <c r="L714" s="233"/>
      <c r="M714" s="279"/>
      <c r="N714" s="279"/>
      <c r="O714" s="279"/>
      <c r="P714" s="279"/>
      <c r="Q714" s="279"/>
      <c r="R714" s="279"/>
      <c r="S714" s="279"/>
      <c r="T714" s="279"/>
      <c r="U714" s="280"/>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681-684</v>
      </c>
      <c r="AF714" s="109" t="str">
        <f t="shared" ref="AF714:AF738" si="292">IF(C714="Field SPL","N","Y")</f>
        <v>Y</v>
      </c>
      <c r="AG714" s="109" t="str">
        <f t="shared" ref="AG714:AG738" si="293">IF(OR(E$704="RPX",E$704="SS"),"A","B")</f>
        <v>A</v>
      </c>
      <c r="AH714" s="109">
        <v>2</v>
      </c>
      <c r="AI714" s="109" t="str">
        <f>IF(E704="SS",COUNTIFS(C714:C738,"TCF",E714:E738,"2"),"")</f>
        <v/>
      </c>
      <c r="AJ714" s="109">
        <f>IF(E704="RPX",COUNTIFS(C714:C738,"TCF",E714:E738,"2"),"")</f>
        <v>0</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795</v>
      </c>
      <c r="E715" s="32">
        <v>4</v>
      </c>
      <c r="F715" s="32" t="s">
        <v>483</v>
      </c>
      <c r="G715" s="68" t="s">
        <v>277</v>
      </c>
      <c r="H715" s="69">
        <f t="shared" ref="H715:H738" si="298">IF(E715=0,0,I715-(E715-1))</f>
        <v>677</v>
      </c>
      <c r="I715" s="70">
        <f t="shared" ref="I715:I738" si="299">IF(E715=0,0,H714-1)</f>
        <v>680</v>
      </c>
      <c r="J715" s="73" t="str">
        <f>IF(C715="","--",IF(AND(C715&lt;&gt;"FST",C715&lt;&gt;"TCF",BA714&lt;&gt;0),BA714,"--"))</f>
        <v>--</v>
      </c>
      <c r="K715" s="32"/>
      <c r="L715" s="233"/>
      <c r="M715" s="279"/>
      <c r="N715" s="279"/>
      <c r="O715" s="279"/>
      <c r="P715" s="279"/>
      <c r="Q715" s="279"/>
      <c r="R715" s="279"/>
      <c r="S715" s="279"/>
      <c r="T715" s="279"/>
      <c r="U715" s="280"/>
      <c r="V715" s="103"/>
      <c r="W715" s="72"/>
      <c r="X715" s="72"/>
      <c r="Y715" s="72"/>
      <c r="Z715" s="45">
        <v>10</v>
      </c>
      <c r="AA715" s="46">
        <v>109</v>
      </c>
      <c r="AB715" s="46">
        <v>120</v>
      </c>
      <c r="AC715" s="72">
        <f t="shared" si="289"/>
        <v>1</v>
      </c>
      <c r="AD715" s="72">
        <f t="shared" si="290"/>
        <v>0</v>
      </c>
      <c r="AE715" s="109" t="str">
        <f t="shared" si="291"/>
        <v>677-680</v>
      </c>
      <c r="AF715" s="109" t="str">
        <f t="shared" si="292"/>
        <v>Y</v>
      </c>
      <c r="AG715" s="109" t="str">
        <f t="shared" si="293"/>
        <v>A</v>
      </c>
      <c r="AH715" s="109">
        <v>4</v>
      </c>
      <c r="AI715" s="109" t="str">
        <f>IF(E704="SS",COUNTIFS(C714:C738,"TCF",E714:E738,"4"),"")</f>
        <v/>
      </c>
      <c r="AJ715" s="109">
        <f>IF(E704="RPX",COUNTIFS(C714:C738,"TCF",E714:E738,"4"),"")</f>
        <v>0</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796</v>
      </c>
      <c r="E716" s="32">
        <v>4</v>
      </c>
      <c r="F716" s="32" t="s">
        <v>483</v>
      </c>
      <c r="G716" s="75" t="s">
        <v>277</v>
      </c>
      <c r="H716" s="69">
        <f t="shared" si="298"/>
        <v>673</v>
      </c>
      <c r="I716" s="70">
        <f t="shared" si="299"/>
        <v>676</v>
      </c>
      <c r="J716" s="73" t="str">
        <f t="shared" ref="J716:J738" si="300">IF(C716="","--",IF(AND(C716&lt;&gt;"FST",C716&lt;&gt;"TCF",BA715&lt;&gt;0),BA715,"--"))</f>
        <v>--</v>
      </c>
      <c r="K716" s="32"/>
      <c r="L716" s="233"/>
      <c r="M716" s="279"/>
      <c r="N716" s="279"/>
      <c r="O716" s="279"/>
      <c r="P716" s="279"/>
      <c r="Q716" s="279"/>
      <c r="R716" s="279"/>
      <c r="S716" s="279"/>
      <c r="T716" s="279"/>
      <c r="U716" s="280"/>
      <c r="V716" s="103"/>
      <c r="W716" s="72"/>
      <c r="X716" s="72"/>
      <c r="Y716" s="72"/>
      <c r="Z716" s="45">
        <v>11</v>
      </c>
      <c r="AA716" s="46">
        <v>121</v>
      </c>
      <c r="AB716" s="46">
        <v>132</v>
      </c>
      <c r="AC716" s="72">
        <f t="shared" si="289"/>
        <v>1</v>
      </c>
      <c r="AD716" s="72">
        <f t="shared" si="290"/>
        <v>0</v>
      </c>
      <c r="AE716" s="109" t="str">
        <f t="shared" si="291"/>
        <v>673-676</v>
      </c>
      <c r="AF716" s="109" t="str">
        <f t="shared" si="292"/>
        <v>Y</v>
      </c>
      <c r="AG716" s="109" t="str">
        <f t="shared" si="293"/>
        <v>A</v>
      </c>
      <c r="AH716" s="109">
        <v>6</v>
      </c>
      <c r="AI716" s="109" t="str">
        <f>IF(E704="SS",COUNTIFS(C714:C738,"TCF",E714:E738,"6"),"")</f>
        <v/>
      </c>
      <c r="AJ716" s="109">
        <f>IF(E704="RPX",COUNTIFS(C714:C738,"TCF",E714:E738,"6"),"")</f>
        <v>0</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79"/>
      <c r="N717" s="279"/>
      <c r="O717" s="279"/>
      <c r="P717" s="279"/>
      <c r="Q717" s="279"/>
      <c r="R717" s="279"/>
      <c r="S717" s="279"/>
      <c r="T717" s="279"/>
      <c r="U717" s="280"/>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A</v>
      </c>
      <c r="AH717" s="109">
        <v>8</v>
      </c>
      <c r="AI717" s="109" t="str">
        <f>IF(E704="SS",COUNTIFS(C714:C738,"TCF",E714:E738,"8"),"")</f>
        <v/>
      </c>
      <c r="AJ717" s="109">
        <f>IF(E704="RPX",COUNTIFS(C714:C738,"TCF",E714:E738,"8"),"")</f>
        <v>0</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79"/>
      <c r="N718" s="279"/>
      <c r="O718" s="279"/>
      <c r="P718" s="279"/>
      <c r="Q718" s="279"/>
      <c r="R718" s="279"/>
      <c r="S718" s="279"/>
      <c r="T718" s="279"/>
      <c r="U718" s="280"/>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A</v>
      </c>
      <c r="AH718" s="109">
        <v>12</v>
      </c>
      <c r="AI718" s="109" t="str">
        <f>IF(E704="SS",COUNTIFS(C714:C738,"TCF",E714:E738,"12"),"")</f>
        <v/>
      </c>
      <c r="AJ718" s="109">
        <f>IF(E704="RPX",COUNTIFS(C714:C738,"TCF",E714:E738,"12"),"")</f>
        <v>0</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79"/>
      <c r="N719" s="279"/>
      <c r="O719" s="279"/>
      <c r="P719" s="279"/>
      <c r="Q719" s="279"/>
      <c r="R719" s="279"/>
      <c r="S719" s="279"/>
      <c r="T719" s="279"/>
      <c r="U719" s="280"/>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A</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79"/>
      <c r="N720" s="279"/>
      <c r="O720" s="279"/>
      <c r="P720" s="279"/>
      <c r="Q720" s="279"/>
      <c r="R720" s="279"/>
      <c r="S720" s="279"/>
      <c r="T720" s="279"/>
      <c r="U720" s="280"/>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A</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79"/>
      <c r="N721" s="279"/>
      <c r="O721" s="279"/>
      <c r="P721" s="279"/>
      <c r="Q721" s="279"/>
      <c r="R721" s="279"/>
      <c r="S721" s="279"/>
      <c r="T721" s="279"/>
      <c r="U721" s="280"/>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A</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9"/>
      <c r="N722" s="279"/>
      <c r="O722" s="279"/>
      <c r="P722" s="279"/>
      <c r="Q722" s="279"/>
      <c r="R722" s="279"/>
      <c r="S722" s="279"/>
      <c r="T722" s="279"/>
      <c r="U722" s="280"/>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A</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9"/>
      <c r="N723" s="279"/>
      <c r="O723" s="279"/>
      <c r="P723" s="279"/>
      <c r="Q723" s="279"/>
      <c r="R723" s="279"/>
      <c r="S723" s="279"/>
      <c r="T723" s="279"/>
      <c r="U723" s="280"/>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A</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9"/>
      <c r="N724" s="279"/>
      <c r="O724" s="279"/>
      <c r="P724" s="279"/>
      <c r="Q724" s="279"/>
      <c r="R724" s="279"/>
      <c r="S724" s="279"/>
      <c r="T724" s="279"/>
      <c r="U724" s="280"/>
      <c r="V724" s="103"/>
      <c r="W724" s="84"/>
      <c r="X724" s="84"/>
      <c r="Y724" s="72"/>
      <c r="Z724" s="72"/>
      <c r="AA724" s="72"/>
      <c r="AB724" s="72"/>
      <c r="AC724" s="72">
        <f t="shared" si="289"/>
        <v>1</v>
      </c>
      <c r="AD724" s="72">
        <f t="shared" si="290"/>
        <v>1</v>
      </c>
      <c r="AE724" s="109" t="str">
        <f t="shared" si="291"/>
        <v>0-0</v>
      </c>
      <c r="AF724" s="109" t="str">
        <f t="shared" si="292"/>
        <v>Y</v>
      </c>
      <c r="AG724" s="109" t="str">
        <f t="shared" si="293"/>
        <v>A</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9"/>
      <c r="N725" s="279"/>
      <c r="O725" s="279"/>
      <c r="P725" s="279"/>
      <c r="Q725" s="279"/>
      <c r="R725" s="279"/>
      <c r="S725" s="279"/>
      <c r="T725" s="279"/>
      <c r="U725" s="280"/>
      <c r="V725" s="103"/>
      <c r="W725" s="84">
        <f>Y725+1</f>
        <v>13</v>
      </c>
      <c r="X725" s="84"/>
      <c r="Y725" s="78">
        <f>SUM(E714:E725)</f>
        <v>12</v>
      </c>
      <c r="Z725" s="72"/>
      <c r="AA725" s="72"/>
      <c r="AB725" s="72"/>
      <c r="AC725" s="72">
        <f t="shared" si="289"/>
        <v>1</v>
      </c>
      <c r="AD725" s="72">
        <f t="shared" si="290"/>
        <v>1</v>
      </c>
      <c r="AE725" s="109" t="str">
        <f t="shared" si="291"/>
        <v>0-0</v>
      </c>
      <c r="AF725" s="109" t="str">
        <f t="shared" si="292"/>
        <v>Y</v>
      </c>
      <c r="AG725" s="109" t="str">
        <f t="shared" si="293"/>
        <v>A</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9"/>
      <c r="N726" s="279"/>
      <c r="O726" s="279"/>
      <c r="P726" s="279"/>
      <c r="Q726" s="279"/>
      <c r="R726" s="279"/>
      <c r="S726" s="279"/>
      <c r="T726" s="279"/>
      <c r="U726" s="280"/>
      <c r="V726" s="103"/>
      <c r="W726" s="84">
        <f>Y726+1</f>
        <v>13</v>
      </c>
      <c r="X726" s="84"/>
      <c r="Y726" s="78">
        <f>SUM(E714:E726)</f>
        <v>12</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A</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9"/>
      <c r="N727" s="279"/>
      <c r="O727" s="279"/>
      <c r="P727" s="279"/>
      <c r="Q727" s="279"/>
      <c r="R727" s="279"/>
      <c r="S727" s="279"/>
      <c r="T727" s="279"/>
      <c r="U727" s="280"/>
      <c r="V727" s="103"/>
      <c r="W727" s="84">
        <f>Y727+1</f>
        <v>13</v>
      </c>
      <c r="X727" s="84"/>
      <c r="Y727" s="78">
        <f>SUM(E714:E727)</f>
        <v>12</v>
      </c>
      <c r="Z727" s="72" t="str">
        <f t="shared" si="303"/>
        <v/>
      </c>
      <c r="AA727" s="72"/>
      <c r="AB727" s="72"/>
      <c r="AC727" s="72">
        <f t="shared" si="289"/>
        <v>1</v>
      </c>
      <c r="AD727" s="72">
        <f t="shared" si="290"/>
        <v>1</v>
      </c>
      <c r="AE727" s="109" t="str">
        <f t="shared" si="291"/>
        <v>0-0</v>
      </c>
      <c r="AF727" s="109" t="str">
        <f t="shared" si="292"/>
        <v>Y</v>
      </c>
      <c r="AG727" s="109" t="str">
        <f t="shared" si="293"/>
        <v>A</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9"/>
      <c r="N728" s="279"/>
      <c r="O728" s="279"/>
      <c r="P728" s="279"/>
      <c r="Q728" s="279"/>
      <c r="R728" s="279"/>
      <c r="S728" s="279"/>
      <c r="T728" s="279"/>
      <c r="U728" s="280"/>
      <c r="V728" s="103"/>
      <c r="W728" s="84">
        <f>Y728+1</f>
        <v>13</v>
      </c>
      <c r="X728" s="84"/>
      <c r="Y728" s="78">
        <f>SUM(E714:E728)</f>
        <v>12</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A</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9"/>
      <c r="N729" s="279"/>
      <c r="O729" s="279"/>
      <c r="P729" s="279"/>
      <c r="Q729" s="279"/>
      <c r="R729" s="279"/>
      <c r="S729" s="279"/>
      <c r="T729" s="279"/>
      <c r="U729" s="280"/>
      <c r="V729" s="103"/>
      <c r="W729" s="84">
        <f t="shared" ref="W729:W737" si="305">Y729+1</f>
        <v>13</v>
      </c>
      <c r="X729" s="84"/>
      <c r="Y729" s="78">
        <f>SUM(E714:E729)</f>
        <v>12</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A</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9"/>
      <c r="N730" s="279"/>
      <c r="O730" s="279"/>
      <c r="P730" s="279"/>
      <c r="Q730" s="279"/>
      <c r="R730" s="279"/>
      <c r="S730" s="279"/>
      <c r="T730" s="279"/>
      <c r="U730" s="280"/>
      <c r="V730" s="103"/>
      <c r="W730" s="84">
        <f t="shared" si="305"/>
        <v>13</v>
      </c>
      <c r="X730" s="84"/>
      <c r="Y730" s="78">
        <f>SUM(E714:E730)</f>
        <v>12</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A</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9"/>
      <c r="N731" s="279"/>
      <c r="O731" s="279"/>
      <c r="P731" s="279"/>
      <c r="Q731" s="279"/>
      <c r="R731" s="279"/>
      <c r="S731" s="279"/>
      <c r="T731" s="279"/>
      <c r="U731" s="280"/>
      <c r="V731" s="103"/>
      <c r="W731" s="84">
        <f t="shared" si="305"/>
        <v>13</v>
      </c>
      <c r="X731" s="84"/>
      <c r="Y731" s="78">
        <f>SUM(E714:E731)</f>
        <v>12</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A</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9"/>
      <c r="N732" s="279"/>
      <c r="O732" s="279"/>
      <c r="P732" s="279"/>
      <c r="Q732" s="279"/>
      <c r="R732" s="279"/>
      <c r="S732" s="279"/>
      <c r="T732" s="279"/>
      <c r="U732" s="280"/>
      <c r="V732" s="103"/>
      <c r="W732" s="84">
        <f t="shared" si="305"/>
        <v>13</v>
      </c>
      <c r="X732" s="84"/>
      <c r="Y732" s="78">
        <f>SUM(E714:E732)</f>
        <v>12</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A</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9"/>
      <c r="N733" s="279"/>
      <c r="O733" s="279"/>
      <c r="P733" s="279"/>
      <c r="Q733" s="279"/>
      <c r="R733" s="279"/>
      <c r="S733" s="279"/>
      <c r="T733" s="279"/>
      <c r="U733" s="280"/>
      <c r="V733" s="103"/>
      <c r="W733" s="84">
        <f t="shared" si="305"/>
        <v>13</v>
      </c>
      <c r="X733" s="84"/>
      <c r="Y733" s="78">
        <f>SUM(E714:E733)</f>
        <v>12</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A</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9"/>
      <c r="N734" s="279"/>
      <c r="O734" s="279"/>
      <c r="P734" s="279"/>
      <c r="Q734" s="279"/>
      <c r="R734" s="279"/>
      <c r="S734" s="279"/>
      <c r="T734" s="279"/>
      <c r="U734" s="280"/>
      <c r="V734" s="103"/>
      <c r="W734" s="84">
        <f t="shared" si="305"/>
        <v>13</v>
      </c>
      <c r="X734" s="84"/>
      <c r="Y734" s="78">
        <f>SUM(E714:E734)</f>
        <v>12</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A</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9"/>
      <c r="N735" s="279"/>
      <c r="O735" s="279"/>
      <c r="P735" s="279"/>
      <c r="Q735" s="279"/>
      <c r="R735" s="279"/>
      <c r="S735" s="279"/>
      <c r="T735" s="279"/>
      <c r="U735" s="280"/>
      <c r="V735" s="103"/>
      <c r="W735" s="84">
        <f t="shared" si="305"/>
        <v>13</v>
      </c>
      <c r="X735" s="84"/>
      <c r="Y735" s="78">
        <f>SUM(E714:E735)</f>
        <v>12</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A</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9"/>
      <c r="N736" s="279"/>
      <c r="O736" s="279"/>
      <c r="P736" s="279"/>
      <c r="Q736" s="279"/>
      <c r="R736" s="279"/>
      <c r="S736" s="279"/>
      <c r="T736" s="279"/>
      <c r="U736" s="280"/>
      <c r="V736" s="103"/>
      <c r="W736" s="84">
        <f t="shared" si="305"/>
        <v>13</v>
      </c>
      <c r="X736" s="84"/>
      <c r="Y736" s="78">
        <f>SUM(E714:E736)</f>
        <v>12</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A</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9"/>
      <c r="N737" s="279"/>
      <c r="O737" s="279"/>
      <c r="P737" s="279"/>
      <c r="Q737" s="279"/>
      <c r="R737" s="279"/>
      <c r="S737" s="279"/>
      <c r="T737" s="279"/>
      <c r="U737" s="280"/>
      <c r="V737" s="103"/>
      <c r="W737" s="84">
        <f t="shared" si="305"/>
        <v>13</v>
      </c>
      <c r="X737" s="84"/>
      <c r="Y737" s="78">
        <f>SUM(E714:E737)</f>
        <v>12</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A</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9"/>
      <c r="N738" s="279"/>
      <c r="O738" s="279"/>
      <c r="P738" s="279"/>
      <c r="Q738" s="279"/>
      <c r="R738" s="279"/>
      <c r="S738" s="279"/>
      <c r="T738" s="279"/>
      <c r="U738" s="280"/>
      <c r="V738" s="103"/>
      <c r="W738" s="72"/>
      <c r="X738" s="72"/>
      <c r="Y738" s="78">
        <f>SUM(E714:E738)</f>
        <v>12</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A</v>
      </c>
      <c r="AM738" s="109">
        <f t="shared" si="294"/>
        <v>0</v>
      </c>
      <c r="AN738" s="109">
        <f t="shared" si="295"/>
        <v>0</v>
      </c>
      <c r="AO738" s="109" t="str">
        <f t="shared" si="296"/>
        <v/>
      </c>
      <c r="AQ738" s="109" t="str">
        <f t="shared" si="297"/>
        <v/>
      </c>
      <c r="BA738" s="228"/>
    </row>
    <row r="739" spans="1:53" ht="16.5" thickBot="1" x14ac:dyDescent="0.3">
      <c r="A739" s="88"/>
      <c r="B739" s="320" t="s">
        <v>339</v>
      </c>
      <c r="C739" s="321"/>
      <c r="D739" s="79"/>
      <c r="E739" s="80"/>
      <c r="F739" s="80"/>
      <c r="G739" s="81"/>
      <c r="H739" s="192"/>
      <c r="I739" s="192"/>
      <c r="J739" s="192"/>
      <c r="K739" s="82"/>
      <c r="L739" s="320" t="s">
        <v>306</v>
      </c>
      <c r="M739" s="331"/>
      <c r="N739" s="331"/>
      <c r="O739" s="331"/>
      <c r="P739" s="331"/>
      <c r="Q739" s="331"/>
      <c r="R739" s="331"/>
      <c r="S739" s="331"/>
      <c r="T739" s="331"/>
      <c r="U739" s="321"/>
      <c r="V739" s="104"/>
      <c r="W739" s="72"/>
      <c r="X739" s="72"/>
      <c r="Y739" s="72"/>
      <c r="Z739" s="72"/>
      <c r="AA739" s="72" t="str">
        <f t="shared" si="304"/>
        <v/>
      </c>
      <c r="AB739" s="72"/>
      <c r="AC739" s="72">
        <f>SUM(AC714:AC738)</f>
        <v>25</v>
      </c>
      <c r="AD739" s="72">
        <f>SUM(AD714:AD738)</f>
        <v>22</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20" t="s">
        <v>307</v>
      </c>
      <c r="C740" s="321"/>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3" t="s">
        <v>222</v>
      </c>
      <c r="C744" s="314"/>
      <c r="D744" s="315" t="s">
        <v>223</v>
      </c>
      <c r="E744" s="306"/>
      <c r="F744" s="88"/>
      <c r="G744" s="316" t="s">
        <v>224</v>
      </c>
      <c r="H744" s="317"/>
      <c r="I744" s="28">
        <f>SUM(E755:E779)</f>
        <v>12</v>
      </c>
      <c r="J744" s="318" t="s">
        <v>225</v>
      </c>
      <c r="K744" s="319"/>
      <c r="L744" s="306"/>
      <c r="M744" s="196">
        <v>2</v>
      </c>
      <c r="N744" s="35">
        <f>SUM(AI744,AI755)</f>
        <v>0</v>
      </c>
      <c r="O744" s="35">
        <v>0</v>
      </c>
      <c r="P744" s="35">
        <f>SUM(AJ744,AJ755)</f>
        <v>0</v>
      </c>
      <c r="Q744" s="35">
        <v>0</v>
      </c>
      <c r="R744" s="35">
        <f>COUNTIFS($E755:$E779,"2",$F755:$F779,"Pole",$C755:$C779,"FST")</f>
        <v>0</v>
      </c>
      <c r="S744" s="35">
        <f>SUM(AL744,AK755)</f>
        <v>0</v>
      </c>
      <c r="T744" s="35">
        <v>0</v>
      </c>
      <c r="U744" s="35">
        <f>SUM(AK744,AL755)</f>
        <v>2</v>
      </c>
      <c r="V744" s="35">
        <v>0</v>
      </c>
      <c r="W744" s="34">
        <f>COUNTIFS($E755:$E779,"2",$F755:$F779,"HH",$C755:$C779,"FST")</f>
        <v>2</v>
      </c>
      <c r="X744" s="35">
        <f>COUNTIFS($E755:$E779,"2",$F755:$F779,"Ped",$C755:$C779,"FST")</f>
        <v>0</v>
      </c>
      <c r="Y744" s="25"/>
      <c r="Z744" s="296" t="s">
        <v>226</v>
      </c>
      <c r="AA744" s="297"/>
      <c r="AB744" s="298"/>
      <c r="AC744" s="25"/>
      <c r="AD744" s="25"/>
      <c r="AH744" s="109">
        <v>2</v>
      </c>
      <c r="AI744" s="109" t="str">
        <f>IF($E745="SS",COUNTIFS($C755:$C779,"FST",$E755:$E779,"2"),"0")</f>
        <v>0</v>
      </c>
      <c r="AJ744" s="109" t="str">
        <f>IF($E745="RPX",COUNTIFS($C755:$C779,"FST",$E755:$E779,"2"),"0")</f>
        <v>0</v>
      </c>
      <c r="AK744" s="109">
        <f>IF($E745="EUC",COUNTIFS($C755:$C779,"FST",$E755:$E779,"2"),"0")</f>
        <v>2</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12</v>
      </c>
      <c r="D745" s="31" t="s">
        <v>229</v>
      </c>
      <c r="E745" s="66" t="str">
        <f>TEXT(IF('Cable Calculator'!CP7="","",'Cable Calculator'!CP7),)</f>
        <v>EUC</v>
      </c>
      <c r="F745" s="88"/>
      <c r="G745" s="305" t="s">
        <v>230</v>
      </c>
      <c r="H745" s="306"/>
      <c r="I745" s="33">
        <f>E746-I744</f>
        <v>12</v>
      </c>
      <c r="J745" s="290" t="s">
        <v>231</v>
      </c>
      <c r="K745" s="291"/>
      <c r="L745" s="34">
        <f>I749</f>
        <v>529</v>
      </c>
      <c r="M745" s="196">
        <v>4</v>
      </c>
      <c r="N745" s="35">
        <f>SUM(AI745,AI756)</f>
        <v>0</v>
      </c>
      <c r="O745" s="35">
        <v>0</v>
      </c>
      <c r="P745" s="35">
        <f>SUM(AJ745,AJ756)</f>
        <v>0</v>
      </c>
      <c r="Q745" s="35">
        <v>0</v>
      </c>
      <c r="R745" s="35">
        <f>COUNTIFS($E755:$E779,"4",$F755:$F779,"Pole",$C755:$C779,"FST")</f>
        <v>0</v>
      </c>
      <c r="S745" s="35">
        <f>SUM(AL745,AK756)</f>
        <v>0</v>
      </c>
      <c r="T745" s="35">
        <v>0</v>
      </c>
      <c r="U745" s="35">
        <f>SUM(AK745,AL756)</f>
        <v>2</v>
      </c>
      <c r="V745" s="35">
        <v>0</v>
      </c>
      <c r="W745" s="34">
        <f>COUNTIFS($E755:$E779,"4",$F755:$F779,"HH",$C755:$C779,"FST")</f>
        <v>2</v>
      </c>
      <c r="X745" s="35">
        <f>COUNTIFS($E755:$E779,"4",$F755:$F779,"Ped",$C755:$C779,"FST")</f>
        <v>0</v>
      </c>
      <c r="Y745" s="25"/>
      <c r="Z745" s="299" t="s">
        <v>232</v>
      </c>
      <c r="AA745" s="301" t="s">
        <v>233</v>
      </c>
      <c r="AB745" s="302"/>
      <c r="AC745" s="25"/>
      <c r="AD745" s="25"/>
      <c r="AH745" s="109">
        <v>4</v>
      </c>
      <c r="AI745" s="109" t="str">
        <f>IF($E745="SS",COUNTIFS($C755:$C779,"FST",$E755:$E779,"4"),"0")</f>
        <v>0</v>
      </c>
      <c r="AJ745" s="109" t="str">
        <f>IF($E745="RPX",COUNTIFS($C755:$C779,"FST",$E755:$E779,"4"),"0")</f>
        <v>0</v>
      </c>
      <c r="AK745" s="109">
        <f>IF($E745="EUC",COUNTIFS($C755:$C779,"FST",$E755:$E779,"4"),"0")</f>
        <v>2</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24</v>
      </c>
      <c r="F746" s="88"/>
      <c r="G746" s="292" t="s">
        <v>237</v>
      </c>
      <c r="H746" s="293"/>
      <c r="I746" s="35">
        <f>IF(E746=0,0,12-(MOD(I744,12)))</f>
        <v>12</v>
      </c>
      <c r="J746" s="290" t="s">
        <v>238</v>
      </c>
      <c r="K746" s="291"/>
      <c r="L746" s="39">
        <f>I750-I744</f>
        <v>540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0"/>
      <c r="AA746" s="303"/>
      <c r="AB746" s="304"/>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0</v>
      </c>
      <c r="F747" s="88"/>
      <c r="G747" s="322" t="s">
        <v>242</v>
      </c>
      <c r="H747" s="43" t="s">
        <v>243</v>
      </c>
      <c r="I747" s="35">
        <f>IF(E747&lt;&gt;0,1,0)</f>
        <v>0</v>
      </c>
      <c r="J747" s="292" t="s">
        <v>244</v>
      </c>
      <c r="K747" s="293"/>
      <c r="L747" s="44">
        <f>'Cable Calculator'!CP3</f>
        <v>985</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529</v>
      </c>
      <c r="F748" s="88"/>
      <c r="G748" s="323"/>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0</v>
      </c>
      <c r="V748" s="35">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2</v>
      </c>
      <c r="F749" s="88"/>
      <c r="G749" s="322" t="s">
        <v>251</v>
      </c>
      <c r="H749" s="51" t="s">
        <v>252</v>
      </c>
      <c r="I749" s="112">
        <f>E748</f>
        <v>529</v>
      </c>
      <c r="J749" s="324" t="s">
        <v>253</v>
      </c>
      <c r="K749" s="325"/>
      <c r="L749" s="326"/>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323"/>
      <c r="H750" s="47" t="s">
        <v>257</v>
      </c>
      <c r="I750" s="35">
        <f>IF(E748="","0",IF(AND(E745="EUC",E746=432), I749+(203-E747),IF(E748=0,0,(E748+(E746-E747)-1))))</f>
        <v>552</v>
      </c>
      <c r="J750" s="287" t="str">
        <f>IFERROR(IF(OR(E745="EUC",E745="SS"),"---",IF(OR(P744,S744),"NO 2F Tethers for RPX!",IF(OR(P746,S746),"NO 6F Tethers for RPX!","---"))),"---")</f>
        <v>---</v>
      </c>
      <c r="K750" s="288"/>
      <c r="L750" s="289"/>
      <c r="M750" s="287" t="str">
        <f>IF(E747&gt;60,"Dead Count &gt;60: Consider Downsize","---")</f>
        <v>---</v>
      </c>
      <c r="N750" s="288"/>
      <c r="O750" s="288"/>
      <c r="P750" s="288"/>
      <c r="Q750" s="288"/>
      <c r="R750" s="288"/>
      <c r="S750" s="288"/>
      <c r="T750" s="288"/>
      <c r="U750" s="289"/>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24</v>
      </c>
      <c r="D751" s="31" t="s">
        <v>259</v>
      </c>
      <c r="E751" s="101" t="str">
        <f>IF(AS745="Y","DBL",IF(AS746="Y","TRPL",IF(AS747="Y","QUAD","")))</f>
        <v/>
      </c>
      <c r="F751" s="88"/>
      <c r="G751" s="192"/>
      <c r="H751" s="57"/>
      <c r="I751" s="192"/>
      <c r="J751" s="287"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8"/>
      <c r="L751" s="289"/>
      <c r="M751" s="287" t="str">
        <f>IF(AND(OR(E745="SS",E745="RPX",E745="EUC",E745="RPX-T"),(OR(C755="",C755="Field SPL"))),"Cannot have FlexNap cables without tethers","---")</f>
        <v>---</v>
      </c>
      <c r="N751" s="288"/>
      <c r="O751" s="288"/>
      <c r="P751" s="288"/>
      <c r="Q751" s="288"/>
      <c r="R751" s="288"/>
      <c r="S751" s="288"/>
      <c r="T751" s="288"/>
      <c r="U751" s="289"/>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7" t="str">
        <f>IF(AND(OR(E745="RPX", E745="RPX-T", E745="SS"),E746=216),"NO 216 For RPX, RPX-T, OR SS CABLE","---")</f>
        <v>---</v>
      </c>
      <c r="K752" s="288"/>
      <c r="L752" s="289"/>
      <c r="M752" s="287" t="str" cm="1">
        <f t="array" ref="M752">IF(AND(E745="",OR(C755:C779="FST",C755:C779="REV T",C755:C779="DBL REV",C755:C779="TPL REV", C755:C779="QD REV")),"Non-FlexNap cables cannot have tethers","---")</f>
        <v>---</v>
      </c>
      <c r="N752" s="288"/>
      <c r="O752" s="288"/>
      <c r="P752" s="288"/>
      <c r="Q752" s="288"/>
      <c r="R752" s="288"/>
      <c r="S752" s="288"/>
      <c r="T752" s="288"/>
      <c r="U752" s="289"/>
      <c r="V752" s="25"/>
      <c r="W752" s="58"/>
      <c r="X752" s="58"/>
      <c r="Y752" s="25"/>
      <c r="Z752" s="45">
        <v>6</v>
      </c>
      <c r="AA752" s="65">
        <v>61</v>
      </c>
      <c r="AB752" s="65">
        <v>72</v>
      </c>
      <c r="AC752" s="25"/>
      <c r="AD752" s="25"/>
      <c r="BA752" s="226"/>
    </row>
    <row r="753" spans="1:53" ht="15.75" customHeight="1" thickBot="1" x14ac:dyDescent="0.3">
      <c r="A753" s="88"/>
      <c r="B753" s="322" t="s">
        <v>260</v>
      </c>
      <c r="C753" s="294" t="s">
        <v>261</v>
      </c>
      <c r="D753" s="294" t="s">
        <v>262</v>
      </c>
      <c r="E753" s="307" t="s">
        <v>263</v>
      </c>
      <c r="F753" s="294" t="s">
        <v>264</v>
      </c>
      <c r="G753" s="309" t="s">
        <v>265</v>
      </c>
      <c r="H753" s="309" t="s">
        <v>266</v>
      </c>
      <c r="I753" s="309" t="s">
        <v>267</v>
      </c>
      <c r="J753" s="311" t="s">
        <v>268</v>
      </c>
      <c r="K753" s="294" t="s">
        <v>269</v>
      </c>
      <c r="L753" s="281" t="s">
        <v>270</v>
      </c>
      <c r="M753" s="283" t="s">
        <v>271</v>
      </c>
      <c r="N753" s="283"/>
      <c r="O753" s="283"/>
      <c r="P753" s="283"/>
      <c r="Q753" s="283"/>
      <c r="R753" s="283"/>
      <c r="S753" s="283"/>
      <c r="T753" s="283"/>
      <c r="U753" s="284"/>
      <c r="V753" s="107"/>
      <c r="W753" s="72"/>
      <c r="X753" s="72"/>
      <c r="Y753" s="72"/>
      <c r="Z753" s="45">
        <v>7</v>
      </c>
      <c r="AA753" s="65">
        <v>73</v>
      </c>
      <c r="AB753" s="65">
        <v>84</v>
      </c>
      <c r="AC753" s="25"/>
      <c r="AD753" s="25"/>
      <c r="BA753" s="228"/>
    </row>
    <row r="754" spans="1:53" ht="15.75" thickBot="1" x14ac:dyDescent="0.3">
      <c r="A754" s="88"/>
      <c r="B754" s="323"/>
      <c r="C754" s="295"/>
      <c r="D754" s="295"/>
      <c r="E754" s="308"/>
      <c r="F754" s="295"/>
      <c r="G754" s="310"/>
      <c r="H754" s="310"/>
      <c r="I754" s="310"/>
      <c r="J754" s="312"/>
      <c r="K754" s="295"/>
      <c r="L754" s="282"/>
      <c r="M754" s="285"/>
      <c r="N754" s="285"/>
      <c r="O754" s="285"/>
      <c r="P754" s="285"/>
      <c r="Q754" s="285"/>
      <c r="R754" s="285"/>
      <c r="S754" s="285"/>
      <c r="T754" s="285"/>
      <c r="U754" s="286"/>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797</v>
      </c>
      <c r="E755" s="32">
        <v>4</v>
      </c>
      <c r="F755" s="32" t="s">
        <v>488</v>
      </c>
      <c r="G755" s="68" t="s">
        <v>277</v>
      </c>
      <c r="H755" s="69">
        <f>IF(I755=0,0,I755-(E755-1))</f>
        <v>549</v>
      </c>
      <c r="I755" s="70">
        <f>IF(E755=0,0,I750)</f>
        <v>552</v>
      </c>
      <c r="J755" s="71" t="s">
        <v>278</v>
      </c>
      <c r="K755" s="32"/>
      <c r="L755" s="233"/>
      <c r="M755" s="279"/>
      <c r="N755" s="279"/>
      <c r="O755" s="279"/>
      <c r="P755" s="279"/>
      <c r="Q755" s="279"/>
      <c r="R755" s="279"/>
      <c r="S755" s="279"/>
      <c r="T755" s="279"/>
      <c r="U755" s="280"/>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549-552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798</v>
      </c>
      <c r="E756" s="32">
        <v>2</v>
      </c>
      <c r="F756" s="32" t="s">
        <v>488</v>
      </c>
      <c r="G756" s="68" t="s">
        <v>277</v>
      </c>
      <c r="H756" s="69">
        <f t="shared" ref="H756:H779" si="315">IF(E756=0,0,I756-(E756-1))</f>
        <v>547</v>
      </c>
      <c r="I756" s="70">
        <f t="shared" ref="I756:I779" si="316">IF(E756=0,0,H755-1)</f>
        <v>548</v>
      </c>
      <c r="J756" s="73" t="str">
        <f>IF(C756="","--",IF(AND(C756&lt;&gt;"FST",C756&lt;&gt;"TCF",BA755&lt;&gt;0),BA755,"--"))</f>
        <v>--</v>
      </c>
      <c r="K756" s="32"/>
      <c r="L756" s="233"/>
      <c r="M756" s="279"/>
      <c r="N756" s="279"/>
      <c r="O756" s="279"/>
      <c r="P756" s="279"/>
      <c r="Q756" s="279"/>
      <c r="R756" s="279"/>
      <c r="S756" s="279"/>
      <c r="T756" s="279"/>
      <c r="U756" s="280"/>
      <c r="V756" s="103"/>
      <c r="W756" s="72"/>
      <c r="X756" s="72"/>
      <c r="Y756" s="72"/>
      <c r="Z756" s="45">
        <v>10</v>
      </c>
      <c r="AA756" s="46">
        <v>109</v>
      </c>
      <c r="AB756" s="46">
        <v>120</v>
      </c>
      <c r="AC756" s="72">
        <f t="shared" si="306"/>
        <v>1</v>
      </c>
      <c r="AD756" s="72">
        <f t="shared" si="307"/>
        <v>0</v>
      </c>
      <c r="AE756" s="109" t="str">
        <f t="shared" si="308"/>
        <v>547-548</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6</v>
      </c>
    </row>
    <row r="757" spans="1:53" ht="15.75" thickBot="1" x14ac:dyDescent="0.3">
      <c r="A757" s="88"/>
      <c r="B757" s="74" t="s">
        <v>280</v>
      </c>
      <c r="C757" s="67" t="s">
        <v>484</v>
      </c>
      <c r="D757" s="102" t="s">
        <v>799</v>
      </c>
      <c r="E757" s="32">
        <v>2</v>
      </c>
      <c r="F757" s="32" t="s">
        <v>488</v>
      </c>
      <c r="G757" s="75" t="s">
        <v>277</v>
      </c>
      <c r="H757" s="69">
        <f t="shared" si="315"/>
        <v>545</v>
      </c>
      <c r="I757" s="70">
        <f t="shared" si="316"/>
        <v>546</v>
      </c>
      <c r="J757" s="73" t="str">
        <f t="shared" ref="J757:J779" si="317">IF(C757="","--",IF(AND(C757&lt;&gt;"FST",C757&lt;&gt;"TCF",BA756&lt;&gt;0),BA756,"--"))</f>
        <v>--</v>
      </c>
      <c r="K757" s="32"/>
      <c r="L757" s="233"/>
      <c r="M757" s="279"/>
      <c r="N757" s="279"/>
      <c r="O757" s="279"/>
      <c r="P757" s="279"/>
      <c r="Q757" s="279"/>
      <c r="R757" s="279"/>
      <c r="S757" s="279"/>
      <c r="T757" s="279"/>
      <c r="U757" s="280"/>
      <c r="V757" s="103"/>
      <c r="W757" s="72"/>
      <c r="X757" s="72"/>
      <c r="Y757" s="72"/>
      <c r="Z757" s="45">
        <v>11</v>
      </c>
      <c r="AA757" s="46">
        <v>121</v>
      </c>
      <c r="AB757" s="46">
        <v>132</v>
      </c>
      <c r="AC757" s="72">
        <f t="shared" si="306"/>
        <v>1</v>
      </c>
      <c r="AD757" s="72">
        <f t="shared" si="307"/>
        <v>0</v>
      </c>
      <c r="AE757" s="109" t="str">
        <f t="shared" si="308"/>
        <v>545-546</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t="s">
        <v>484</v>
      </c>
      <c r="D758" s="102" t="s">
        <v>800</v>
      </c>
      <c r="E758" s="32">
        <v>4</v>
      </c>
      <c r="F758" s="32" t="s">
        <v>488</v>
      </c>
      <c r="G758" s="68" t="s">
        <v>277</v>
      </c>
      <c r="H758" s="69">
        <f t="shared" si="315"/>
        <v>541</v>
      </c>
      <c r="I758" s="70">
        <f t="shared" si="316"/>
        <v>544</v>
      </c>
      <c r="J758" s="73" t="str">
        <f t="shared" si="317"/>
        <v>--</v>
      </c>
      <c r="K758" s="32"/>
      <c r="L758" s="233"/>
      <c r="M758" s="279"/>
      <c r="N758" s="279"/>
      <c r="O758" s="279"/>
      <c r="P758" s="279"/>
      <c r="Q758" s="279"/>
      <c r="R758" s="279"/>
      <c r="S758" s="279"/>
      <c r="T758" s="279"/>
      <c r="U758" s="280"/>
      <c r="V758" s="103"/>
      <c r="W758" s="72"/>
      <c r="X758" s="72"/>
      <c r="Y758" s="72"/>
      <c r="Z758" s="45">
        <v>12</v>
      </c>
      <c r="AA758" s="76">
        <v>133</v>
      </c>
      <c r="AB758" s="76">
        <v>144</v>
      </c>
      <c r="AC758" s="72">
        <f t="shared" si="306"/>
        <v>1</v>
      </c>
      <c r="AD758" s="72">
        <f t="shared" si="307"/>
        <v>0</v>
      </c>
      <c r="AE758" s="109" t="str">
        <f t="shared" si="308"/>
        <v>541-544</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79"/>
      <c r="N759" s="279"/>
      <c r="O759" s="279"/>
      <c r="P759" s="279"/>
      <c r="Q759" s="279"/>
      <c r="R759" s="279"/>
      <c r="S759" s="279"/>
      <c r="T759" s="279"/>
      <c r="U759" s="280"/>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79"/>
      <c r="N760" s="279"/>
      <c r="O760" s="279"/>
      <c r="P760" s="279"/>
      <c r="Q760" s="279"/>
      <c r="R760" s="279"/>
      <c r="S760" s="279"/>
      <c r="T760" s="279"/>
      <c r="U760" s="280"/>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79"/>
      <c r="N761" s="279"/>
      <c r="O761" s="279"/>
      <c r="P761" s="279"/>
      <c r="Q761" s="279"/>
      <c r="R761" s="279"/>
      <c r="S761" s="279"/>
      <c r="T761" s="279"/>
      <c r="U761" s="280"/>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79"/>
      <c r="N762" s="279"/>
      <c r="O762" s="279"/>
      <c r="P762" s="279"/>
      <c r="Q762" s="279"/>
      <c r="R762" s="279"/>
      <c r="S762" s="279"/>
      <c r="T762" s="279"/>
      <c r="U762" s="280"/>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79"/>
      <c r="N763" s="279"/>
      <c r="O763" s="279"/>
      <c r="P763" s="279"/>
      <c r="Q763" s="279"/>
      <c r="R763" s="279"/>
      <c r="S763" s="279"/>
      <c r="T763" s="279"/>
      <c r="U763" s="280"/>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9"/>
      <c r="N764" s="279"/>
      <c r="O764" s="279"/>
      <c r="P764" s="279"/>
      <c r="Q764" s="279"/>
      <c r="R764" s="279"/>
      <c r="S764" s="279"/>
      <c r="T764" s="279"/>
      <c r="U764" s="280"/>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9"/>
      <c r="N765" s="279"/>
      <c r="O765" s="279"/>
      <c r="P765" s="279"/>
      <c r="Q765" s="279"/>
      <c r="R765" s="279"/>
      <c r="S765" s="279"/>
      <c r="T765" s="279"/>
      <c r="U765" s="280"/>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9"/>
      <c r="N766" s="279"/>
      <c r="O766" s="279"/>
      <c r="P766" s="279"/>
      <c r="Q766" s="279"/>
      <c r="R766" s="279"/>
      <c r="S766" s="279"/>
      <c r="T766" s="279"/>
      <c r="U766" s="280"/>
      <c r="V766" s="103"/>
      <c r="W766" s="84">
        <f>Y766+1</f>
        <v>13</v>
      </c>
      <c r="X766" s="84"/>
      <c r="Y766" s="78">
        <f>SUM(E755:E766)</f>
        <v>12</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9"/>
      <c r="N767" s="279"/>
      <c r="O767" s="279"/>
      <c r="P767" s="279"/>
      <c r="Q767" s="279"/>
      <c r="R767" s="279"/>
      <c r="S767" s="279"/>
      <c r="T767" s="279"/>
      <c r="U767" s="280"/>
      <c r="V767" s="103"/>
      <c r="W767" s="84">
        <f>Y767+1</f>
        <v>13</v>
      </c>
      <c r="X767" s="84"/>
      <c r="Y767" s="78">
        <f>SUM(E755:E767)</f>
        <v>12</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9"/>
      <c r="N768" s="279"/>
      <c r="O768" s="279"/>
      <c r="P768" s="279"/>
      <c r="Q768" s="279"/>
      <c r="R768" s="279"/>
      <c r="S768" s="279"/>
      <c r="T768" s="279"/>
      <c r="U768" s="280"/>
      <c r="V768" s="103"/>
      <c r="W768" s="84">
        <f>Y768+1</f>
        <v>13</v>
      </c>
      <c r="X768" s="84"/>
      <c r="Y768" s="78">
        <f>SUM(E755:E768)</f>
        <v>12</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9"/>
      <c r="N769" s="279"/>
      <c r="O769" s="279"/>
      <c r="P769" s="279"/>
      <c r="Q769" s="279"/>
      <c r="R769" s="279"/>
      <c r="S769" s="279"/>
      <c r="T769" s="279"/>
      <c r="U769" s="280"/>
      <c r="V769" s="103"/>
      <c r="W769" s="84">
        <f>Y769+1</f>
        <v>13</v>
      </c>
      <c r="X769" s="84"/>
      <c r="Y769" s="78">
        <f>SUM(E755:E769)</f>
        <v>12</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9"/>
      <c r="N770" s="279"/>
      <c r="O770" s="279"/>
      <c r="P770" s="279"/>
      <c r="Q770" s="279"/>
      <c r="R770" s="279"/>
      <c r="S770" s="279"/>
      <c r="T770" s="279"/>
      <c r="U770" s="280"/>
      <c r="V770" s="103"/>
      <c r="W770" s="84">
        <f t="shared" ref="W770:W778" si="322">Y770+1</f>
        <v>13</v>
      </c>
      <c r="X770" s="84"/>
      <c r="Y770" s="78">
        <f>SUM(E755:E770)</f>
        <v>12</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9"/>
      <c r="N771" s="279"/>
      <c r="O771" s="279"/>
      <c r="P771" s="279"/>
      <c r="Q771" s="279"/>
      <c r="R771" s="279"/>
      <c r="S771" s="279"/>
      <c r="T771" s="279"/>
      <c r="U771" s="280"/>
      <c r="V771" s="103"/>
      <c r="W771" s="84">
        <f t="shared" si="322"/>
        <v>13</v>
      </c>
      <c r="X771" s="84"/>
      <c r="Y771" s="78">
        <f>SUM(E755:E771)</f>
        <v>12</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9"/>
      <c r="N772" s="279"/>
      <c r="O772" s="279"/>
      <c r="P772" s="279"/>
      <c r="Q772" s="279"/>
      <c r="R772" s="279"/>
      <c r="S772" s="279"/>
      <c r="T772" s="279"/>
      <c r="U772" s="280"/>
      <c r="V772" s="103"/>
      <c r="W772" s="84">
        <f t="shared" si="322"/>
        <v>13</v>
      </c>
      <c r="X772" s="84"/>
      <c r="Y772" s="78">
        <f>SUM(E755:E772)</f>
        <v>12</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9"/>
      <c r="N773" s="279"/>
      <c r="O773" s="279"/>
      <c r="P773" s="279"/>
      <c r="Q773" s="279"/>
      <c r="R773" s="279"/>
      <c r="S773" s="279"/>
      <c r="T773" s="279"/>
      <c r="U773" s="280"/>
      <c r="V773" s="103"/>
      <c r="W773" s="84">
        <f t="shared" si="322"/>
        <v>13</v>
      </c>
      <c r="X773" s="84"/>
      <c r="Y773" s="78">
        <f>SUM(E755:E773)</f>
        <v>12</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9"/>
      <c r="N774" s="279"/>
      <c r="O774" s="279"/>
      <c r="P774" s="279"/>
      <c r="Q774" s="279"/>
      <c r="R774" s="279"/>
      <c r="S774" s="279"/>
      <c r="T774" s="279"/>
      <c r="U774" s="280"/>
      <c r="V774" s="103"/>
      <c r="W774" s="84">
        <f t="shared" si="322"/>
        <v>13</v>
      </c>
      <c r="X774" s="84"/>
      <c r="Y774" s="78">
        <f>SUM(E755:E774)</f>
        <v>12</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9"/>
      <c r="N775" s="279"/>
      <c r="O775" s="279"/>
      <c r="P775" s="279"/>
      <c r="Q775" s="279"/>
      <c r="R775" s="279"/>
      <c r="S775" s="279"/>
      <c r="T775" s="279"/>
      <c r="U775" s="280"/>
      <c r="V775" s="103"/>
      <c r="W775" s="84">
        <f t="shared" si="322"/>
        <v>13</v>
      </c>
      <c r="X775" s="84"/>
      <c r="Y775" s="78">
        <f>SUM(E755:E775)</f>
        <v>12</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9"/>
      <c r="N776" s="279"/>
      <c r="O776" s="279"/>
      <c r="P776" s="279"/>
      <c r="Q776" s="279"/>
      <c r="R776" s="279"/>
      <c r="S776" s="279"/>
      <c r="T776" s="279"/>
      <c r="U776" s="280"/>
      <c r="V776" s="103"/>
      <c r="W776" s="84">
        <f t="shared" si="322"/>
        <v>13</v>
      </c>
      <c r="X776" s="84"/>
      <c r="Y776" s="78">
        <f>SUM(E755:E776)</f>
        <v>12</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9"/>
      <c r="N777" s="279"/>
      <c r="O777" s="279"/>
      <c r="P777" s="279"/>
      <c r="Q777" s="279"/>
      <c r="R777" s="279"/>
      <c r="S777" s="279"/>
      <c r="T777" s="279"/>
      <c r="U777" s="280"/>
      <c r="V777" s="103"/>
      <c r="W777" s="84">
        <f t="shared" si="322"/>
        <v>13</v>
      </c>
      <c r="X777" s="84"/>
      <c r="Y777" s="78">
        <f>SUM(E755:E777)</f>
        <v>12</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9"/>
      <c r="N778" s="279"/>
      <c r="O778" s="279"/>
      <c r="P778" s="279"/>
      <c r="Q778" s="279"/>
      <c r="R778" s="279"/>
      <c r="S778" s="279"/>
      <c r="T778" s="279"/>
      <c r="U778" s="280"/>
      <c r="V778" s="103"/>
      <c r="W778" s="84">
        <f t="shared" si="322"/>
        <v>13</v>
      </c>
      <c r="X778" s="84"/>
      <c r="Y778" s="78">
        <f>SUM(E755:E778)</f>
        <v>12</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9"/>
      <c r="N779" s="279"/>
      <c r="O779" s="279"/>
      <c r="P779" s="279"/>
      <c r="Q779" s="279"/>
      <c r="R779" s="279"/>
      <c r="S779" s="279"/>
      <c r="T779" s="279"/>
      <c r="U779" s="280"/>
      <c r="V779" s="103"/>
      <c r="W779" s="72"/>
      <c r="X779" s="72"/>
      <c r="Y779" s="78">
        <f>SUM(E755:E779)</f>
        <v>12</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20" t="s">
        <v>341</v>
      </c>
      <c r="C780" s="321"/>
      <c r="D780" s="79"/>
      <c r="E780" s="80"/>
      <c r="F780" s="80"/>
      <c r="G780" s="81"/>
      <c r="H780" s="192"/>
      <c r="I780" s="192"/>
      <c r="J780" s="192"/>
      <c r="K780" s="82"/>
      <c r="L780" s="320" t="s">
        <v>306</v>
      </c>
      <c r="M780" s="331"/>
      <c r="N780" s="331"/>
      <c r="O780" s="331"/>
      <c r="P780" s="331"/>
      <c r="Q780" s="331"/>
      <c r="R780" s="331"/>
      <c r="S780" s="331"/>
      <c r="T780" s="331"/>
      <c r="U780" s="321"/>
      <c r="V780" s="104"/>
      <c r="W780" s="72"/>
      <c r="X780" s="72"/>
      <c r="Y780" s="72"/>
      <c r="Z780" s="72"/>
      <c r="AA780" s="72" t="str">
        <f t="shared" si="321"/>
        <v/>
      </c>
      <c r="AB780" s="72"/>
      <c r="AC780" s="72">
        <f>SUM(AC755:AC779)</f>
        <v>25</v>
      </c>
      <c r="AD780" s="72">
        <f>SUM(AD755:AD779)</f>
        <v>21</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20" t="s">
        <v>307</v>
      </c>
      <c r="C781" s="321"/>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3" t="s">
        <v>222</v>
      </c>
      <c r="C785" s="314"/>
      <c r="D785" s="315" t="s">
        <v>223</v>
      </c>
      <c r="E785" s="306"/>
      <c r="F785" s="88"/>
      <c r="G785" s="316" t="s">
        <v>224</v>
      </c>
      <c r="H785" s="317"/>
      <c r="I785" s="28">
        <f>SUM(E796:E820)</f>
        <v>48</v>
      </c>
      <c r="J785" s="318" t="s">
        <v>225</v>
      </c>
      <c r="K785" s="319"/>
      <c r="L785" s="306"/>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6" t="s">
        <v>226</v>
      </c>
      <c r="AA785" s="297"/>
      <c r="AB785" s="298"/>
      <c r="AC785" s="25"/>
      <c r="AD785" s="25"/>
      <c r="AH785" s="109">
        <v>2</v>
      </c>
      <c r="AI785" s="109" t="str">
        <f>IF($E786="SS",COUNTIFS($C796:$C820,"FST",$E796:$E820,"2"),"0")</f>
        <v>0</v>
      </c>
      <c r="AJ785" s="109">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RPX</v>
      </c>
      <c r="F786" s="88"/>
      <c r="G786" s="305" t="s">
        <v>230</v>
      </c>
      <c r="H786" s="306"/>
      <c r="I786" s="33">
        <f>E787-I785</f>
        <v>0</v>
      </c>
      <c r="J786" s="290" t="s">
        <v>231</v>
      </c>
      <c r="K786" s="291"/>
      <c r="L786" s="34">
        <f>I790</f>
        <v>457</v>
      </c>
      <c r="M786" s="196">
        <v>4</v>
      </c>
      <c r="N786" s="35">
        <f>SUM(AI786,AI797)</f>
        <v>0</v>
      </c>
      <c r="O786" s="35">
        <v>0</v>
      </c>
      <c r="P786" s="35">
        <f>SUM(AJ786,AJ797)</f>
        <v>4</v>
      </c>
      <c r="Q786" s="35">
        <v>0</v>
      </c>
      <c r="R786" s="35">
        <f>COUNTIFS($E796:$E820,"4",$F796:$F820,"Pole",$C796:$C820,"FST")</f>
        <v>4</v>
      </c>
      <c r="S786" s="35">
        <f>SUM(AL786,AK797)</f>
        <v>0</v>
      </c>
      <c r="T786" s="35">
        <v>0</v>
      </c>
      <c r="U786" s="35">
        <f>SUM(AK786,AL797)</f>
        <v>0</v>
      </c>
      <c r="V786" s="35">
        <v>0</v>
      </c>
      <c r="W786" s="34">
        <f>COUNTIFS($E796:$E820,"4",$F796:$F820,"HH",$C796:$C820,"FST")</f>
        <v>0</v>
      </c>
      <c r="X786" s="35">
        <f>COUNTIFS($E796:$E820,"4",$F796:$F820,"Ped",$C796:$C820,"FST")</f>
        <v>0</v>
      </c>
      <c r="Y786" s="25"/>
      <c r="Z786" s="299" t="s">
        <v>232</v>
      </c>
      <c r="AA786" s="301" t="s">
        <v>233</v>
      </c>
      <c r="AB786" s="302"/>
      <c r="AC786" s="25"/>
      <c r="AD786" s="25"/>
      <c r="AH786" s="109">
        <v>4</v>
      </c>
      <c r="AI786" s="109" t="str">
        <f>IF($E786="SS",COUNTIFS($C796:$C820,"FST",$E796:$E820,"4"),"0")</f>
        <v>0</v>
      </c>
      <c r="AJ786" s="109">
        <f>IF($E786="RPX",COUNTIFS($C796:$C820,"FST",$E796:$E820,"4"),"0")</f>
        <v>4</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48</v>
      </c>
      <c r="F787" s="88"/>
      <c r="G787" s="292" t="s">
        <v>237</v>
      </c>
      <c r="H787" s="293"/>
      <c r="I787" s="35">
        <f>IF(E787=0,0,12-(MOD(I785,12)))</f>
        <v>12</v>
      </c>
      <c r="J787" s="290" t="s">
        <v>238</v>
      </c>
      <c r="K787" s="291"/>
      <c r="L787" s="39">
        <f>I791-I785</f>
        <v>456</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0"/>
      <c r="AA787" s="303"/>
      <c r="AB787" s="304"/>
      <c r="AC787" s="25"/>
      <c r="AD787" s="25"/>
      <c r="AH787" s="109">
        <v>6</v>
      </c>
      <c r="AI787" s="109" t="str">
        <f>IF($E786="SS",COUNTIFS($C796:$C820,"FST",$E796:$E820,"6"),"0")</f>
        <v>0</v>
      </c>
      <c r="AJ787" s="109">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0</v>
      </c>
      <c r="F788" s="88"/>
      <c r="G788" s="322" t="s">
        <v>242</v>
      </c>
      <c r="H788" s="43" t="s">
        <v>243</v>
      </c>
      <c r="I788" s="35">
        <f>IF(E788&lt;&gt;0,1,0)</f>
        <v>0</v>
      </c>
      <c r="J788" s="292" t="s">
        <v>244</v>
      </c>
      <c r="K788" s="293"/>
      <c r="L788" s="44">
        <f>'Cable Calculator'!CU3</f>
        <v>2350</v>
      </c>
      <c r="M788" s="196">
        <v>8</v>
      </c>
      <c r="N788" s="35">
        <f>SUM(AI788,AI799)</f>
        <v>0</v>
      </c>
      <c r="O788" s="35">
        <v>0</v>
      </c>
      <c r="P788" s="35">
        <f>SUM(AJ788,AJ799)</f>
        <v>1</v>
      </c>
      <c r="Q788" s="35">
        <v>0</v>
      </c>
      <c r="R788" s="35">
        <f>COUNTIFS($E796:$E820,"8",$F796:$F820,"Pole",$C796:$C820,"FST")</f>
        <v>1</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f>IF($E786="RPX",COUNTIFS($C796:$C820,"FST",$E796:$E820,"8"),"0")</f>
        <v>1</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457</v>
      </c>
      <c r="F789" s="88"/>
      <c r="G789" s="323"/>
      <c r="H789" s="47" t="s">
        <v>248</v>
      </c>
      <c r="I789" s="35">
        <f>IF(E788&lt;&gt;0,E788,0)</f>
        <v>0</v>
      </c>
      <c r="J789" s="194"/>
      <c r="K789" s="195"/>
      <c r="L789" s="48"/>
      <c r="M789" s="196">
        <v>12</v>
      </c>
      <c r="N789" s="35" t="str">
        <f>IF($E786="SS",SUM(AI789,AJ800,AM821,AO821,AQ821),"0")</f>
        <v>0</v>
      </c>
      <c r="O789" s="35" t="str">
        <f>IF($E786="SS",SUM(AN821,AP821,AR821),"0")</f>
        <v>0</v>
      </c>
      <c r="P789" s="35">
        <f>IF($E786="RPX",SUM(AJ789,AJ800,AM821,AO821,AQ821),"0")</f>
        <v>2</v>
      </c>
      <c r="Q789" s="35">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4</v>
      </c>
      <c r="F790" s="88"/>
      <c r="G790" s="322" t="s">
        <v>251</v>
      </c>
      <c r="H790" s="51" t="s">
        <v>252</v>
      </c>
      <c r="I790" s="112">
        <f>E789</f>
        <v>457</v>
      </c>
      <c r="J790" s="324" t="s">
        <v>253</v>
      </c>
      <c r="K790" s="325"/>
      <c r="L790" s="326"/>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N</v>
      </c>
      <c r="F791" s="88"/>
      <c r="G791" s="323"/>
      <c r="H791" s="47" t="s">
        <v>257</v>
      </c>
      <c r="I791" s="35">
        <f>IF(E789="","0",IF(AND(E786="EUC",E787=432), I790+(203-E788),IF(E789=0,0,(E789+(E787-E788)-1))))</f>
        <v>504</v>
      </c>
      <c r="J791" s="287" t="str">
        <f>IFERROR(IF(OR(E786="EUC",E786="SS"),"---",IF(OR(P785,S785),"NO 2F Tethers for RPX!",IF(OR(P787,S787),"NO 6F Tethers for RPX!","---"))),"---")</f>
        <v>---</v>
      </c>
      <c r="K791" s="288"/>
      <c r="L791" s="289"/>
      <c r="M791" s="287" t="str">
        <f>IF(E788&gt;60,"Dead Count &gt;60: Consider Downsize","---")</f>
        <v>---</v>
      </c>
      <c r="N791" s="288"/>
      <c r="O791" s="288"/>
      <c r="P791" s="288"/>
      <c r="Q791" s="288"/>
      <c r="R791" s="288"/>
      <c r="S791" s="288"/>
      <c r="T791" s="288"/>
      <c r="U791" s="289"/>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48</v>
      </c>
      <c r="D792" s="31" t="s">
        <v>259</v>
      </c>
      <c r="E792" s="101" t="str">
        <f>IF(AS786="Y","DBL",IF(AS787="Y","TRPL",IF(AS788="Y","QUAD","")))</f>
        <v/>
      </c>
      <c r="F792" s="88"/>
      <c r="G792" s="192"/>
      <c r="H792" s="57"/>
      <c r="I792" s="192"/>
      <c r="J792" s="287"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8"/>
      <c r="L792" s="289"/>
      <c r="M792" s="287" t="str">
        <f>IF(AND(OR(E786="SS",E786="RPX",E786="EUC",E786="RPX-T"),(OR(C796="",C796="Field SPL"))),"Cannot have FlexNap cables without tethers","---")</f>
        <v>---</v>
      </c>
      <c r="N792" s="288"/>
      <c r="O792" s="288"/>
      <c r="P792" s="288"/>
      <c r="Q792" s="288"/>
      <c r="R792" s="288"/>
      <c r="S792" s="288"/>
      <c r="T792" s="288"/>
      <c r="U792" s="289"/>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7" t="str">
        <f>IF(AND(OR(E786="RPX", E786="RPX-T", E786="SS"),E787=216),"NO 216 For RPX, RPX-T, OR SS CABLE","---")</f>
        <v>---</v>
      </c>
      <c r="K793" s="288"/>
      <c r="L793" s="289"/>
      <c r="M793" s="287" t="str" cm="1">
        <f t="array" ref="M793">IF(AND(E786="",OR(C796:C820="FST",C796:C820="REV T",C796:C820="DBL REV",C796:C820="TPL REV", C796:C820="QD REV")),"Non-FlexNap cables cannot have tethers","---")</f>
        <v>---</v>
      </c>
      <c r="N793" s="288"/>
      <c r="O793" s="288"/>
      <c r="P793" s="288"/>
      <c r="Q793" s="288"/>
      <c r="R793" s="288"/>
      <c r="S793" s="288"/>
      <c r="T793" s="288"/>
      <c r="U793" s="289"/>
      <c r="V793" s="25"/>
      <c r="W793" s="58"/>
      <c r="X793" s="58"/>
      <c r="Y793" s="25"/>
      <c r="Z793" s="45">
        <v>6</v>
      </c>
      <c r="AA793" s="65">
        <v>61</v>
      </c>
      <c r="AB793" s="65">
        <v>72</v>
      </c>
      <c r="AC793" s="25"/>
      <c r="AD793" s="25"/>
      <c r="BA793" s="226"/>
    </row>
    <row r="794" spans="1:53" ht="15.75" customHeight="1" thickBot="1" x14ac:dyDescent="0.3">
      <c r="A794" s="88"/>
      <c r="B794" s="322" t="s">
        <v>260</v>
      </c>
      <c r="C794" s="294" t="s">
        <v>261</v>
      </c>
      <c r="D794" s="294" t="s">
        <v>262</v>
      </c>
      <c r="E794" s="307" t="s">
        <v>263</v>
      </c>
      <c r="F794" s="294" t="s">
        <v>264</v>
      </c>
      <c r="G794" s="309" t="s">
        <v>265</v>
      </c>
      <c r="H794" s="309" t="s">
        <v>266</v>
      </c>
      <c r="I794" s="309" t="s">
        <v>267</v>
      </c>
      <c r="J794" s="311" t="s">
        <v>268</v>
      </c>
      <c r="K794" s="294" t="s">
        <v>269</v>
      </c>
      <c r="L794" s="281" t="s">
        <v>270</v>
      </c>
      <c r="M794" s="283" t="s">
        <v>271</v>
      </c>
      <c r="N794" s="283"/>
      <c r="O794" s="283"/>
      <c r="P794" s="283"/>
      <c r="Q794" s="283"/>
      <c r="R794" s="283"/>
      <c r="S794" s="283"/>
      <c r="T794" s="283"/>
      <c r="U794" s="284"/>
      <c r="V794" s="107"/>
      <c r="W794" s="72"/>
      <c r="X794" s="72"/>
      <c r="Y794" s="72"/>
      <c r="Z794" s="45">
        <v>7</v>
      </c>
      <c r="AA794" s="65">
        <v>73</v>
      </c>
      <c r="AB794" s="65">
        <v>84</v>
      </c>
      <c r="AC794" s="25"/>
      <c r="AD794" s="25"/>
      <c r="BA794" s="228"/>
    </row>
    <row r="795" spans="1:53" ht="15.75" thickBot="1" x14ac:dyDescent="0.3">
      <c r="A795" s="88"/>
      <c r="B795" s="323"/>
      <c r="C795" s="295"/>
      <c r="D795" s="295"/>
      <c r="E795" s="308"/>
      <c r="F795" s="295"/>
      <c r="G795" s="310"/>
      <c r="H795" s="310"/>
      <c r="I795" s="310"/>
      <c r="J795" s="312"/>
      <c r="K795" s="295"/>
      <c r="L795" s="282"/>
      <c r="M795" s="285"/>
      <c r="N795" s="285"/>
      <c r="O795" s="285"/>
      <c r="P795" s="285"/>
      <c r="Q795" s="285"/>
      <c r="R795" s="285"/>
      <c r="S795" s="285"/>
      <c r="T795" s="285"/>
      <c r="U795" s="286"/>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822</v>
      </c>
      <c r="E796" s="32">
        <v>4</v>
      </c>
      <c r="F796" s="32" t="s">
        <v>483</v>
      </c>
      <c r="G796" s="68" t="s">
        <v>277</v>
      </c>
      <c r="H796" s="69">
        <f>IF(I796=0,0,I796-(E796-1))</f>
        <v>501</v>
      </c>
      <c r="I796" s="70">
        <f>IF(E796=0,0,I791)</f>
        <v>504</v>
      </c>
      <c r="J796" s="71" t="s">
        <v>278</v>
      </c>
      <c r="K796" s="32"/>
      <c r="L796" s="233"/>
      <c r="M796" s="279"/>
      <c r="N796" s="279"/>
      <c r="O796" s="279"/>
      <c r="P796" s="279"/>
      <c r="Q796" s="279"/>
      <c r="R796" s="279"/>
      <c r="S796" s="279"/>
      <c r="T796" s="279"/>
      <c r="U796" s="280"/>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501-504</v>
      </c>
      <c r="AF796" s="109" t="str">
        <f t="shared" ref="AF796:AF820" si="326">IF(C796="Field SPL","N","Y")</f>
        <v>Y</v>
      </c>
      <c r="AG796" s="109" t="str">
        <f t="shared" ref="AG796:AG820" si="327">IF(OR(E$786="RPX",E$786="SS"),"A","B")</f>
        <v>A</v>
      </c>
      <c r="AH796" s="109">
        <v>2</v>
      </c>
      <c r="AI796" s="109" t="str">
        <f>IF(E786="SS",COUNTIFS(C796:C820,"TCF",E796:E820,"2"),"")</f>
        <v/>
      </c>
      <c r="AJ796" s="109">
        <f>IF(E786="RPX",COUNTIFS(C796:C820,"TCF",E796:E820,"2"),"")</f>
        <v>0</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4</v>
      </c>
    </row>
    <row r="797" spans="1:53" ht="15.75" thickBot="1" x14ac:dyDescent="0.3">
      <c r="A797" s="88"/>
      <c r="B797" s="66" t="s">
        <v>279</v>
      </c>
      <c r="C797" s="67" t="s">
        <v>484</v>
      </c>
      <c r="D797" s="102" t="s">
        <v>823</v>
      </c>
      <c r="E797" s="32">
        <v>8</v>
      </c>
      <c r="F797" s="32" t="s">
        <v>483</v>
      </c>
      <c r="G797" s="68" t="s">
        <v>277</v>
      </c>
      <c r="H797" s="69">
        <f t="shared" ref="H797:H820" si="332">IF(E797=0,0,I797-(E797-1))</f>
        <v>493</v>
      </c>
      <c r="I797" s="70">
        <f t="shared" ref="I797:I820" si="333">IF(E797=0,0,H796-1)</f>
        <v>500</v>
      </c>
      <c r="J797" s="73" t="str">
        <f>IF(C797="","--",IF(AND(C797&lt;&gt;"FST",C797&lt;&gt;"TCF",BA796&lt;&gt;0),BA796,"--"))</f>
        <v>--</v>
      </c>
      <c r="K797" s="32"/>
      <c r="L797" s="233"/>
      <c r="M797" s="279"/>
      <c r="N797" s="279"/>
      <c r="O797" s="279"/>
      <c r="P797" s="279"/>
      <c r="Q797" s="279"/>
      <c r="R797" s="279"/>
      <c r="S797" s="279"/>
      <c r="T797" s="279"/>
      <c r="U797" s="280"/>
      <c r="V797" s="103"/>
      <c r="W797" s="72"/>
      <c r="X797" s="72"/>
      <c r="Y797" s="72"/>
      <c r="Z797" s="45">
        <v>10</v>
      </c>
      <c r="AA797" s="46">
        <v>109</v>
      </c>
      <c r="AB797" s="46">
        <v>120</v>
      </c>
      <c r="AC797" s="72">
        <f t="shared" si="323"/>
        <v>1</v>
      </c>
      <c r="AD797" s="72">
        <f t="shared" si="324"/>
        <v>0</v>
      </c>
      <c r="AE797" s="109" t="str">
        <f t="shared" si="325"/>
        <v>493-500</v>
      </c>
      <c r="AF797" s="109" t="str">
        <f t="shared" si="326"/>
        <v>Y</v>
      </c>
      <c r="AG797" s="109" t="str">
        <f t="shared" si="327"/>
        <v>A</v>
      </c>
      <c r="AH797" s="109">
        <v>4</v>
      </c>
      <c r="AI797" s="109" t="str">
        <f>IF(E786="SS",COUNTIFS(C796:C820,"TCF",E796:E820,"4"),"")</f>
        <v/>
      </c>
      <c r="AJ797" s="109">
        <f>IF(E786="RPX",COUNTIFS(C796:C820,"TCF",E796:E820,"4"),"")</f>
        <v>0</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t="s">
        <v>494</v>
      </c>
      <c r="D798" s="102"/>
      <c r="E798" s="32">
        <v>12</v>
      </c>
      <c r="F798" s="32"/>
      <c r="G798" s="75" t="s">
        <v>277</v>
      </c>
      <c r="H798" s="69">
        <f t="shared" si="332"/>
        <v>481</v>
      </c>
      <c r="I798" s="70">
        <f t="shared" si="333"/>
        <v>492</v>
      </c>
      <c r="J798" s="73" t="str">
        <f t="shared" ref="J798:J820" si="334">IF(C798="","--",IF(AND(C798&lt;&gt;"FST",C798&lt;&gt;"TCF",BA797&lt;&gt;0),BA797,"--"))</f>
        <v>--</v>
      </c>
      <c r="K798" s="32"/>
      <c r="L798" s="233"/>
      <c r="M798" s="279" t="s">
        <v>425</v>
      </c>
      <c r="N798" s="279"/>
      <c r="O798" s="279"/>
      <c r="P798" s="279"/>
      <c r="Q798" s="279"/>
      <c r="R798" s="279"/>
      <c r="S798" s="279"/>
      <c r="T798" s="279"/>
      <c r="U798" s="280"/>
      <c r="V798" s="103"/>
      <c r="W798" s="72"/>
      <c r="X798" s="72"/>
      <c r="Y798" s="72"/>
      <c r="Z798" s="45">
        <v>11</v>
      </c>
      <c r="AA798" s="46">
        <v>121</v>
      </c>
      <c r="AB798" s="46">
        <v>132</v>
      </c>
      <c r="AC798" s="72">
        <f t="shared" si="323"/>
        <v>1</v>
      </c>
      <c r="AD798" s="72">
        <f t="shared" si="324"/>
        <v>1</v>
      </c>
      <c r="AE798" s="109" t="str">
        <f t="shared" si="325"/>
        <v>481-492</v>
      </c>
      <c r="AF798" s="109" t="str">
        <f t="shared" si="326"/>
        <v>Y</v>
      </c>
      <c r="AG798" s="109" t="str">
        <f t="shared" si="327"/>
        <v>A</v>
      </c>
      <c r="AH798" s="109">
        <v>6</v>
      </c>
      <c r="AI798" s="109" t="str">
        <f>IF(E786="SS",COUNTIFS(C796:C820,"TCF",E796:E820,"6"),"")</f>
        <v/>
      </c>
      <c r="AJ798" s="109">
        <f>IF(E786="RPX",COUNTIFS(C796:C820,"TCF",E796:E820,"6"),"")</f>
        <v>0</v>
      </c>
      <c r="AK798" s="109" t="str">
        <f>IF(E786="RPX-T",COUNTIFS(C796:C820,"TCF",E796:E820,"6"),"")</f>
        <v/>
      </c>
      <c r="AL798" s="109" t="str">
        <f>IF(E786="EUC",COUNTIFS(C796:C820,"TCF",E796:E820,"6"),"")</f>
        <v/>
      </c>
      <c r="AM798" s="109">
        <f t="shared" si="328"/>
        <v>1</v>
      </c>
      <c r="AN798" s="109">
        <f t="shared" si="329"/>
        <v>0</v>
      </c>
      <c r="AO798" s="109" t="str">
        <f t="shared" si="330"/>
        <v/>
      </c>
      <c r="AQ798" s="109" t="str">
        <f t="shared" si="331"/>
        <v/>
      </c>
      <c r="BA798" s="229">
        <f>MOD(SUM(E796:E799),12)</f>
        <v>0</v>
      </c>
    </row>
    <row r="799" spans="1:53" ht="15.75" thickBot="1" x14ac:dyDescent="0.3">
      <c r="A799" s="88"/>
      <c r="B799" s="66" t="s">
        <v>281</v>
      </c>
      <c r="C799" s="67" t="s">
        <v>494</v>
      </c>
      <c r="D799" s="102"/>
      <c r="E799" s="32">
        <v>12</v>
      </c>
      <c r="F799" s="32"/>
      <c r="G799" s="68" t="s">
        <v>277</v>
      </c>
      <c r="H799" s="69">
        <f t="shared" si="332"/>
        <v>469</v>
      </c>
      <c r="I799" s="70">
        <f t="shared" si="333"/>
        <v>480</v>
      </c>
      <c r="J799" s="73" t="str">
        <f t="shared" si="334"/>
        <v>--</v>
      </c>
      <c r="K799" s="32"/>
      <c r="L799" s="233"/>
      <c r="M799" s="279" t="s">
        <v>426</v>
      </c>
      <c r="N799" s="279"/>
      <c r="O799" s="279"/>
      <c r="P799" s="279"/>
      <c r="Q799" s="279"/>
      <c r="R799" s="279"/>
      <c r="S799" s="279"/>
      <c r="T799" s="279"/>
      <c r="U799" s="280"/>
      <c r="V799" s="103"/>
      <c r="W799" s="72"/>
      <c r="X799" s="72"/>
      <c r="Y799" s="72"/>
      <c r="Z799" s="45">
        <v>12</v>
      </c>
      <c r="AA799" s="76">
        <v>133</v>
      </c>
      <c r="AB799" s="76">
        <v>144</v>
      </c>
      <c r="AC799" s="72">
        <f t="shared" si="323"/>
        <v>1</v>
      </c>
      <c r="AD799" s="72">
        <f t="shared" si="324"/>
        <v>1</v>
      </c>
      <c r="AE799" s="109" t="str">
        <f t="shared" si="325"/>
        <v>469-480</v>
      </c>
      <c r="AF799" s="109" t="str">
        <f t="shared" si="326"/>
        <v>Y</v>
      </c>
      <c r="AG799" s="109" t="str">
        <f t="shared" si="327"/>
        <v>A</v>
      </c>
      <c r="AH799" s="109">
        <v>8</v>
      </c>
      <c r="AI799" s="109" t="str">
        <f>IF(E786="SS",COUNTIFS(C796:C820,"TCF",E796:E820,"8"),"")</f>
        <v/>
      </c>
      <c r="AJ799" s="109">
        <f>IF(E786="RPX",COUNTIFS(C796:C820,"TCF",E796:E820,"8"),"")</f>
        <v>0</v>
      </c>
      <c r="AK799" s="109" t="str">
        <f>IF(E786="RPX-T",COUNTIFS(C796:C820,"TCF",E796:E820,"8"),"")</f>
        <v/>
      </c>
      <c r="AL799" s="109" t="str">
        <f>IF(E786="EUC",COUNTIFS(C796:C820,"TCF",E796:E820,"8"),"")</f>
        <v/>
      </c>
      <c r="AM799" s="109">
        <f t="shared" si="328"/>
        <v>1</v>
      </c>
      <c r="AN799" s="109">
        <f t="shared" si="329"/>
        <v>0</v>
      </c>
      <c r="AO799" s="109" t="str">
        <f t="shared" si="330"/>
        <v/>
      </c>
      <c r="AQ799" s="109" t="str">
        <f t="shared" si="331"/>
        <v/>
      </c>
      <c r="BA799" s="229">
        <f>MOD(SUM(E796:E800),12)</f>
        <v>4</v>
      </c>
    </row>
    <row r="800" spans="1:53" ht="15.75" thickBot="1" x14ac:dyDescent="0.3">
      <c r="A800" s="88"/>
      <c r="B800" s="66" t="s">
        <v>282</v>
      </c>
      <c r="C800" s="67" t="s">
        <v>484</v>
      </c>
      <c r="D800" s="102" t="s">
        <v>801</v>
      </c>
      <c r="E800" s="32">
        <v>4</v>
      </c>
      <c r="F800" s="32" t="s">
        <v>483</v>
      </c>
      <c r="G800" s="68" t="s">
        <v>277</v>
      </c>
      <c r="H800" s="69">
        <f t="shared" si="332"/>
        <v>465</v>
      </c>
      <c r="I800" s="70">
        <f t="shared" si="333"/>
        <v>468</v>
      </c>
      <c r="J800" s="73" t="str">
        <f t="shared" si="334"/>
        <v>--</v>
      </c>
      <c r="K800" s="32"/>
      <c r="L800" s="233"/>
      <c r="M800" s="279"/>
      <c r="N800" s="279"/>
      <c r="O800" s="279"/>
      <c r="P800" s="279"/>
      <c r="Q800" s="279"/>
      <c r="R800" s="279"/>
      <c r="S800" s="279"/>
      <c r="T800" s="279"/>
      <c r="U800" s="280"/>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465-468</v>
      </c>
      <c r="AF800" s="109" t="str">
        <f t="shared" si="326"/>
        <v>Y</v>
      </c>
      <c r="AG800" s="109" t="str">
        <f t="shared" si="327"/>
        <v>A</v>
      </c>
      <c r="AH800" s="109">
        <v>12</v>
      </c>
      <c r="AI800" s="109" t="str">
        <f>IF(E786="SS",COUNTIFS(C796:C820,"TCF",E796:E820,"12"),"")</f>
        <v/>
      </c>
      <c r="AJ800" s="109">
        <f>IF(E786="RPX",COUNTIFS(C796:C820,"TCF",E796:E820,"12"),"")</f>
        <v>0</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8</v>
      </c>
    </row>
    <row r="801" spans="1:53" ht="15.75" thickBot="1" x14ac:dyDescent="0.3">
      <c r="A801" s="88"/>
      <c r="B801" s="66" t="s">
        <v>283</v>
      </c>
      <c r="C801" s="67" t="s">
        <v>484</v>
      </c>
      <c r="D801" s="102" t="s">
        <v>802</v>
      </c>
      <c r="E801" s="32">
        <v>4</v>
      </c>
      <c r="F801" s="32" t="s">
        <v>483</v>
      </c>
      <c r="G801" s="68" t="s">
        <v>277</v>
      </c>
      <c r="H801" s="69">
        <f t="shared" si="332"/>
        <v>461</v>
      </c>
      <c r="I801" s="70">
        <f t="shared" si="333"/>
        <v>464</v>
      </c>
      <c r="J801" s="73" t="str">
        <f t="shared" si="334"/>
        <v>--</v>
      </c>
      <c r="K801" s="32"/>
      <c r="L801" s="233"/>
      <c r="M801" s="279"/>
      <c r="N801" s="279"/>
      <c r="O801" s="279"/>
      <c r="P801" s="279"/>
      <c r="Q801" s="279"/>
      <c r="R801" s="279"/>
      <c r="S801" s="279"/>
      <c r="T801" s="279"/>
      <c r="U801" s="280"/>
      <c r="V801" s="103"/>
      <c r="W801" s="72"/>
      <c r="X801" s="72"/>
      <c r="Y801" s="72"/>
      <c r="Z801" s="45">
        <v>14</v>
      </c>
      <c r="AA801" s="77">
        <f t="shared" si="335"/>
        <v>157</v>
      </c>
      <c r="AB801" s="77">
        <f t="shared" si="336"/>
        <v>168</v>
      </c>
      <c r="AC801" s="72">
        <f t="shared" si="323"/>
        <v>1</v>
      </c>
      <c r="AD801" s="72">
        <f t="shared" si="324"/>
        <v>0</v>
      </c>
      <c r="AE801" s="109" t="str">
        <f t="shared" si="325"/>
        <v>461-464</v>
      </c>
      <c r="AF801" s="109" t="str">
        <f t="shared" si="326"/>
        <v>Y</v>
      </c>
      <c r="AG801" s="109" t="str">
        <f t="shared" si="327"/>
        <v>A</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t="s">
        <v>484</v>
      </c>
      <c r="D802" s="102" t="s">
        <v>803</v>
      </c>
      <c r="E802" s="32">
        <v>4</v>
      </c>
      <c r="F802" s="32" t="s">
        <v>483</v>
      </c>
      <c r="G802" s="68" t="s">
        <v>277</v>
      </c>
      <c r="H802" s="69">
        <f t="shared" si="332"/>
        <v>457</v>
      </c>
      <c r="I802" s="70">
        <f t="shared" si="333"/>
        <v>460</v>
      </c>
      <c r="J802" s="73" t="str">
        <f t="shared" si="334"/>
        <v>--</v>
      </c>
      <c r="K802" s="32"/>
      <c r="L802" s="233"/>
      <c r="M802" s="279"/>
      <c r="N802" s="279"/>
      <c r="O802" s="279"/>
      <c r="P802" s="279"/>
      <c r="Q802" s="279"/>
      <c r="R802" s="279"/>
      <c r="S802" s="279"/>
      <c r="T802" s="279"/>
      <c r="U802" s="280"/>
      <c r="V802" s="103"/>
      <c r="W802" s="72"/>
      <c r="X802" s="72"/>
      <c r="Y802" s="72"/>
      <c r="Z802" s="45">
        <v>15</v>
      </c>
      <c r="AA802" s="77">
        <f t="shared" si="335"/>
        <v>169</v>
      </c>
      <c r="AB802" s="77">
        <f t="shared" si="336"/>
        <v>180</v>
      </c>
      <c r="AC802" s="72">
        <f t="shared" si="323"/>
        <v>1</v>
      </c>
      <c r="AD802" s="72">
        <f t="shared" si="324"/>
        <v>0</v>
      </c>
      <c r="AE802" s="109" t="str">
        <f t="shared" si="325"/>
        <v>457-460</v>
      </c>
      <c r="AF802" s="109" t="str">
        <f t="shared" si="326"/>
        <v>Y</v>
      </c>
      <c r="AG802" s="109" t="str">
        <f t="shared" si="327"/>
        <v>A</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79"/>
      <c r="N803" s="279"/>
      <c r="O803" s="279"/>
      <c r="P803" s="279"/>
      <c r="Q803" s="279"/>
      <c r="R803" s="279"/>
      <c r="S803" s="279"/>
      <c r="T803" s="279"/>
      <c r="U803" s="280"/>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A</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79"/>
      <c r="N804" s="279"/>
      <c r="O804" s="279"/>
      <c r="P804" s="279"/>
      <c r="Q804" s="279"/>
      <c r="R804" s="279"/>
      <c r="S804" s="279"/>
      <c r="T804" s="279"/>
      <c r="U804" s="280"/>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A</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79"/>
      <c r="N805" s="279"/>
      <c r="O805" s="279"/>
      <c r="P805" s="279"/>
      <c r="Q805" s="279"/>
      <c r="R805" s="279"/>
      <c r="S805" s="279"/>
      <c r="T805" s="279"/>
      <c r="U805" s="280"/>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A</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79"/>
      <c r="N806" s="279"/>
      <c r="O806" s="279"/>
      <c r="P806" s="279"/>
      <c r="Q806" s="279"/>
      <c r="R806" s="279"/>
      <c r="S806" s="279"/>
      <c r="T806" s="279"/>
      <c r="U806" s="280"/>
      <c r="V806" s="103"/>
      <c r="W806" s="84"/>
      <c r="X806" s="84"/>
      <c r="Y806" s="72"/>
      <c r="Z806" s="72"/>
      <c r="AA806" s="72"/>
      <c r="AB806" s="72"/>
      <c r="AC806" s="72">
        <f t="shared" si="323"/>
        <v>1</v>
      </c>
      <c r="AD806" s="72">
        <f t="shared" si="324"/>
        <v>1</v>
      </c>
      <c r="AE806" s="109" t="str">
        <f t="shared" si="325"/>
        <v>0-0</v>
      </c>
      <c r="AF806" s="109" t="str">
        <f t="shared" si="326"/>
        <v>Y</v>
      </c>
      <c r="AG806" s="109" t="str">
        <f t="shared" si="327"/>
        <v>A</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79"/>
      <c r="N807" s="279"/>
      <c r="O807" s="279"/>
      <c r="P807" s="279"/>
      <c r="Q807" s="279"/>
      <c r="R807" s="279"/>
      <c r="S807" s="279"/>
      <c r="T807" s="279"/>
      <c r="U807" s="280"/>
      <c r="V807" s="103"/>
      <c r="W807" s="84">
        <f>Y807+1</f>
        <v>49</v>
      </c>
      <c r="X807" s="84"/>
      <c r="Y807" s="78">
        <f>SUM(E796:E807)</f>
        <v>48</v>
      </c>
      <c r="Z807" s="72"/>
      <c r="AA807" s="72"/>
      <c r="AB807" s="72"/>
      <c r="AC807" s="72">
        <f t="shared" si="323"/>
        <v>1</v>
      </c>
      <c r="AD807" s="72">
        <f t="shared" si="324"/>
        <v>1</v>
      </c>
      <c r="AE807" s="109" t="str">
        <f t="shared" si="325"/>
        <v>0-0</v>
      </c>
      <c r="AF807" s="109" t="str">
        <f t="shared" si="326"/>
        <v>Y</v>
      </c>
      <c r="AG807" s="109" t="str">
        <f t="shared" si="327"/>
        <v>A</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79"/>
      <c r="N808" s="279"/>
      <c r="O808" s="279"/>
      <c r="P808" s="279"/>
      <c r="Q808" s="279"/>
      <c r="R808" s="279"/>
      <c r="S808" s="279"/>
      <c r="T808" s="279"/>
      <c r="U808" s="280"/>
      <c r="V808" s="103"/>
      <c r="W808" s="84">
        <f>Y808+1</f>
        <v>49</v>
      </c>
      <c r="X808" s="84"/>
      <c r="Y808" s="78">
        <f>SUM(E796:E808)</f>
        <v>48</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A</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79"/>
      <c r="N809" s="279"/>
      <c r="O809" s="279"/>
      <c r="P809" s="279"/>
      <c r="Q809" s="279"/>
      <c r="R809" s="279"/>
      <c r="S809" s="279"/>
      <c r="T809" s="279"/>
      <c r="U809" s="280"/>
      <c r="V809" s="103"/>
      <c r="W809" s="84">
        <f>Y809+1</f>
        <v>49</v>
      </c>
      <c r="X809" s="84"/>
      <c r="Y809" s="78">
        <f>SUM(E796:E809)</f>
        <v>48</v>
      </c>
      <c r="Z809" s="72" t="str">
        <f t="shared" si="337"/>
        <v/>
      </c>
      <c r="AA809" s="72"/>
      <c r="AB809" s="72"/>
      <c r="AC809" s="72">
        <f t="shared" si="323"/>
        <v>1</v>
      </c>
      <c r="AD809" s="72">
        <f t="shared" si="324"/>
        <v>1</v>
      </c>
      <c r="AE809" s="109" t="str">
        <f t="shared" si="325"/>
        <v>0-0</v>
      </c>
      <c r="AF809" s="109" t="str">
        <f t="shared" si="326"/>
        <v>Y</v>
      </c>
      <c r="AG809" s="109" t="str">
        <f t="shared" si="327"/>
        <v>A</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79"/>
      <c r="N810" s="279"/>
      <c r="O810" s="279"/>
      <c r="P810" s="279"/>
      <c r="Q810" s="279"/>
      <c r="R810" s="279"/>
      <c r="S810" s="279"/>
      <c r="T810" s="279"/>
      <c r="U810" s="280"/>
      <c r="V810" s="103"/>
      <c r="W810" s="84">
        <f>Y810+1</f>
        <v>49</v>
      </c>
      <c r="X810" s="84"/>
      <c r="Y810" s="78">
        <f>SUM(E796:E810)</f>
        <v>48</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A</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79"/>
      <c r="N811" s="279"/>
      <c r="O811" s="279"/>
      <c r="P811" s="279"/>
      <c r="Q811" s="279"/>
      <c r="R811" s="279"/>
      <c r="S811" s="279"/>
      <c r="T811" s="279"/>
      <c r="U811" s="280"/>
      <c r="V811" s="103"/>
      <c r="W811" s="84">
        <f t="shared" ref="W811:W819" si="339">Y811+1</f>
        <v>49</v>
      </c>
      <c r="X811" s="84"/>
      <c r="Y811" s="78">
        <f>SUM(E796:E811)</f>
        <v>48</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A</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79"/>
      <c r="N812" s="279"/>
      <c r="O812" s="279"/>
      <c r="P812" s="279"/>
      <c r="Q812" s="279"/>
      <c r="R812" s="279"/>
      <c r="S812" s="279"/>
      <c r="T812" s="279"/>
      <c r="U812" s="280"/>
      <c r="V812" s="103"/>
      <c r="W812" s="84">
        <f t="shared" si="339"/>
        <v>49</v>
      </c>
      <c r="X812" s="84"/>
      <c r="Y812" s="78">
        <f>SUM(E796:E812)</f>
        <v>48</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A</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79"/>
      <c r="N813" s="279"/>
      <c r="O813" s="279"/>
      <c r="P813" s="279"/>
      <c r="Q813" s="279"/>
      <c r="R813" s="279"/>
      <c r="S813" s="279"/>
      <c r="T813" s="279"/>
      <c r="U813" s="280"/>
      <c r="V813" s="103"/>
      <c r="W813" s="84">
        <f t="shared" si="339"/>
        <v>49</v>
      </c>
      <c r="X813" s="84"/>
      <c r="Y813" s="78">
        <f>SUM(E796:E813)</f>
        <v>48</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A</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9"/>
      <c r="N814" s="279"/>
      <c r="O814" s="279"/>
      <c r="P814" s="279"/>
      <c r="Q814" s="279"/>
      <c r="R814" s="279"/>
      <c r="S814" s="279"/>
      <c r="T814" s="279"/>
      <c r="U814" s="280"/>
      <c r="V814" s="103"/>
      <c r="W814" s="84">
        <f t="shared" si="339"/>
        <v>49</v>
      </c>
      <c r="X814" s="84"/>
      <c r="Y814" s="78">
        <f>SUM(E796:E814)</f>
        <v>48</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A</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9"/>
      <c r="N815" s="279"/>
      <c r="O815" s="279"/>
      <c r="P815" s="279"/>
      <c r="Q815" s="279"/>
      <c r="R815" s="279"/>
      <c r="S815" s="279"/>
      <c r="T815" s="279"/>
      <c r="U815" s="280"/>
      <c r="V815" s="103"/>
      <c r="W815" s="84">
        <f t="shared" si="339"/>
        <v>49</v>
      </c>
      <c r="X815" s="84"/>
      <c r="Y815" s="78">
        <f>SUM(E796:E815)</f>
        <v>48</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A</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9"/>
      <c r="N816" s="279"/>
      <c r="O816" s="279"/>
      <c r="P816" s="279"/>
      <c r="Q816" s="279"/>
      <c r="R816" s="279"/>
      <c r="S816" s="279"/>
      <c r="T816" s="279"/>
      <c r="U816" s="280"/>
      <c r="V816" s="103"/>
      <c r="W816" s="84">
        <f t="shared" si="339"/>
        <v>49</v>
      </c>
      <c r="X816" s="84"/>
      <c r="Y816" s="78">
        <f>SUM(E796:E816)</f>
        <v>48</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A</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9"/>
      <c r="N817" s="279"/>
      <c r="O817" s="279"/>
      <c r="P817" s="279"/>
      <c r="Q817" s="279"/>
      <c r="R817" s="279"/>
      <c r="S817" s="279"/>
      <c r="T817" s="279"/>
      <c r="U817" s="280"/>
      <c r="V817" s="103"/>
      <c r="W817" s="84">
        <f t="shared" si="339"/>
        <v>49</v>
      </c>
      <c r="X817" s="84"/>
      <c r="Y817" s="78">
        <f>SUM(E796:E817)</f>
        <v>48</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A</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9"/>
      <c r="N818" s="279"/>
      <c r="O818" s="279"/>
      <c r="P818" s="279"/>
      <c r="Q818" s="279"/>
      <c r="R818" s="279"/>
      <c r="S818" s="279"/>
      <c r="T818" s="279"/>
      <c r="U818" s="280"/>
      <c r="V818" s="103"/>
      <c r="W818" s="84">
        <f t="shared" si="339"/>
        <v>49</v>
      </c>
      <c r="X818" s="84"/>
      <c r="Y818" s="78">
        <f>SUM(E796:E818)</f>
        <v>48</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A</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9"/>
      <c r="N819" s="279"/>
      <c r="O819" s="279"/>
      <c r="P819" s="279"/>
      <c r="Q819" s="279"/>
      <c r="R819" s="279"/>
      <c r="S819" s="279"/>
      <c r="T819" s="279"/>
      <c r="U819" s="280"/>
      <c r="V819" s="103"/>
      <c r="W819" s="84">
        <f t="shared" si="339"/>
        <v>49</v>
      </c>
      <c r="X819" s="84"/>
      <c r="Y819" s="78">
        <f>SUM(E796:E819)</f>
        <v>48</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A</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9"/>
      <c r="N820" s="279"/>
      <c r="O820" s="279"/>
      <c r="P820" s="279"/>
      <c r="Q820" s="279"/>
      <c r="R820" s="279"/>
      <c r="S820" s="279"/>
      <c r="T820" s="279"/>
      <c r="U820" s="280"/>
      <c r="V820" s="103"/>
      <c r="W820" s="72"/>
      <c r="X820" s="72"/>
      <c r="Y820" s="78">
        <f>SUM(E796:E820)</f>
        <v>48</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A</v>
      </c>
      <c r="AM820" s="109">
        <f t="shared" si="328"/>
        <v>0</v>
      </c>
      <c r="AN820" s="109">
        <f t="shared" si="329"/>
        <v>0</v>
      </c>
      <c r="AO820" s="109" t="str">
        <f t="shared" si="330"/>
        <v/>
      </c>
      <c r="AQ820" s="109" t="str">
        <f t="shared" si="331"/>
        <v/>
      </c>
      <c r="BA820" s="228"/>
    </row>
    <row r="821" spans="1:53" ht="16.5" thickBot="1" x14ac:dyDescent="0.3">
      <c r="A821" s="88"/>
      <c r="B821" s="320" t="s">
        <v>343</v>
      </c>
      <c r="C821" s="321"/>
      <c r="D821" s="79"/>
      <c r="E821" s="80"/>
      <c r="F821" s="80"/>
      <c r="G821" s="81"/>
      <c r="H821" s="192"/>
      <c r="I821" s="192"/>
      <c r="J821" s="192"/>
      <c r="K821" s="82"/>
      <c r="L821" s="320" t="s">
        <v>306</v>
      </c>
      <c r="M821" s="331"/>
      <c r="N821" s="331"/>
      <c r="O821" s="331"/>
      <c r="P821" s="331"/>
      <c r="Q821" s="331"/>
      <c r="R821" s="331"/>
      <c r="S821" s="331"/>
      <c r="T821" s="331"/>
      <c r="U821" s="321"/>
      <c r="V821" s="104"/>
      <c r="W821" s="72"/>
      <c r="X821" s="72"/>
      <c r="Y821" s="72"/>
      <c r="Z821" s="72"/>
      <c r="AA821" s="72" t="str">
        <f t="shared" si="338"/>
        <v/>
      </c>
      <c r="AB821" s="72"/>
      <c r="AC821" s="72">
        <f>SUM(AC796:AC820)</f>
        <v>25</v>
      </c>
      <c r="AD821" s="72">
        <f>SUM(AD796:AD820)</f>
        <v>20</v>
      </c>
      <c r="AM821" s="109">
        <f>SUM(AM796:AM820)</f>
        <v>2</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20" t="s">
        <v>307</v>
      </c>
      <c r="C822" s="321"/>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3" t="s">
        <v>222</v>
      </c>
      <c r="C826" s="314"/>
      <c r="D826" s="315" t="s">
        <v>223</v>
      </c>
      <c r="E826" s="306"/>
      <c r="F826" s="88"/>
      <c r="G826" s="316" t="s">
        <v>224</v>
      </c>
      <c r="H826" s="317"/>
      <c r="I826" s="28">
        <f>SUM(E837:E861)</f>
        <v>60</v>
      </c>
      <c r="J826" s="318" t="s">
        <v>225</v>
      </c>
      <c r="K826" s="319"/>
      <c r="L826" s="306"/>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6" t="s">
        <v>226</v>
      </c>
      <c r="AA826" s="297"/>
      <c r="AB826" s="298"/>
      <c r="AC826" s="25"/>
      <c r="AD826" s="25"/>
      <c r="AH826" s="109">
        <v>2</v>
      </c>
      <c r="AI826" s="109" t="str">
        <f>IF($E827="SS",COUNTIFS($C837:$C861,"FST",$E837:$E861,"2"),"0")</f>
        <v>0</v>
      </c>
      <c r="AJ826" s="109">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RPX</v>
      </c>
      <c r="F827" s="88"/>
      <c r="G827" s="305" t="s">
        <v>230</v>
      </c>
      <c r="H827" s="306"/>
      <c r="I827" s="33">
        <f>E828-I826</f>
        <v>12</v>
      </c>
      <c r="J827" s="290" t="s">
        <v>231</v>
      </c>
      <c r="K827" s="291"/>
      <c r="L827" s="34">
        <f>I831</f>
        <v>397</v>
      </c>
      <c r="M827" s="196">
        <v>4</v>
      </c>
      <c r="N827" s="35">
        <f>SUM(AI827,AI838)</f>
        <v>0</v>
      </c>
      <c r="O827" s="35">
        <v>0</v>
      </c>
      <c r="P827" s="35">
        <f>SUM(AJ827,AJ838)</f>
        <v>3</v>
      </c>
      <c r="Q827" s="35">
        <v>0</v>
      </c>
      <c r="R827" s="35">
        <f>COUNTIFS($E837:$E861,"4",$F837:$F861,"Pole",$C837:$C861,"FST")</f>
        <v>3</v>
      </c>
      <c r="S827" s="35">
        <f>SUM(AL827,AK838)</f>
        <v>0</v>
      </c>
      <c r="T827" s="35">
        <v>0</v>
      </c>
      <c r="U827" s="35">
        <f>SUM(AK827,AL838)</f>
        <v>0</v>
      </c>
      <c r="V827" s="35">
        <v>0</v>
      </c>
      <c r="W827" s="34">
        <f>COUNTIFS($E837:$E861,"4",$F837:$F861,"HH",$C837:$C861,"FST")</f>
        <v>0</v>
      </c>
      <c r="X827" s="35">
        <f>COUNTIFS($E837:$E861,"4",$F837:$F861,"Ped",$C837:$C861,"FST")</f>
        <v>0</v>
      </c>
      <c r="Y827" s="25"/>
      <c r="Z827" s="299" t="s">
        <v>232</v>
      </c>
      <c r="AA827" s="301" t="s">
        <v>233</v>
      </c>
      <c r="AB827" s="302"/>
      <c r="AC827" s="25"/>
      <c r="AD827" s="25"/>
      <c r="AH827" s="109">
        <v>4</v>
      </c>
      <c r="AI827" s="109" t="str">
        <f>IF($E827="SS",COUNTIFS($C837:$C861,"FST",$E837:$E861,"4"),"0")</f>
        <v>0</v>
      </c>
      <c r="AJ827" s="109">
        <f>IF($E827="RPX",COUNTIFS($C837:$C861,"FST",$E837:$E861,"4"),"0")</f>
        <v>3</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72</v>
      </c>
      <c r="F828" s="88"/>
      <c r="G828" s="292" t="s">
        <v>237</v>
      </c>
      <c r="H828" s="293"/>
      <c r="I828" s="35">
        <f>IF(E828=0,0,12-(MOD(I826,12)))</f>
        <v>12</v>
      </c>
      <c r="J828" s="290" t="s">
        <v>238</v>
      </c>
      <c r="K828" s="291"/>
      <c r="L828" s="39">
        <f>I832-I826</f>
        <v>396</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0"/>
      <c r="AA828" s="303"/>
      <c r="AB828" s="304"/>
      <c r="AC828" s="25"/>
      <c r="AD828" s="25"/>
      <c r="AH828" s="109">
        <v>6</v>
      </c>
      <c r="AI828" s="109" t="str">
        <f>IF($E827="SS",COUNTIFS($C837:$C861,"FST",$E837:$E861,"6"),"0")</f>
        <v>0</v>
      </c>
      <c r="AJ828" s="109">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12</v>
      </c>
      <c r="F829" s="88"/>
      <c r="G829" s="322" t="s">
        <v>242</v>
      </c>
      <c r="H829" s="43" t="s">
        <v>243</v>
      </c>
      <c r="I829" s="35">
        <f>IF(E829&lt;&gt;0,1,0)</f>
        <v>1</v>
      </c>
      <c r="J829" s="292" t="s">
        <v>244</v>
      </c>
      <c r="K829" s="293"/>
      <c r="L829" s="44">
        <f>'Cable Calculator'!CZ3</f>
        <v>1595</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397</v>
      </c>
      <c r="F830" s="88"/>
      <c r="G830" s="323"/>
      <c r="H830" s="47" t="s">
        <v>248</v>
      </c>
      <c r="I830" s="35">
        <f>IF(E829&lt;&gt;0,E829,0)</f>
        <v>12</v>
      </c>
      <c r="J830" s="194"/>
      <c r="K830" s="195"/>
      <c r="L830" s="48"/>
      <c r="M830" s="196">
        <v>12</v>
      </c>
      <c r="N830" s="35" t="str">
        <f>IF($E827="SS",SUM(AI830,AJ841,AM862,AO862,AQ862),"0")</f>
        <v>0</v>
      </c>
      <c r="O830" s="35" t="str">
        <f>IF($E827="SS",SUM(AN862,AP862,AR862),"0")</f>
        <v>0</v>
      </c>
      <c r="P830" s="35">
        <f>IF($E827="RPX",SUM(AJ830,AJ841,AM862,AO862,AQ862),"0")</f>
        <v>0</v>
      </c>
      <c r="Q830" s="35">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6</v>
      </c>
      <c r="F831" s="88"/>
      <c r="G831" s="322" t="s">
        <v>251</v>
      </c>
      <c r="H831" s="51" t="s">
        <v>252</v>
      </c>
      <c r="I831" s="112">
        <f>E830</f>
        <v>397</v>
      </c>
      <c r="J831" s="324" t="s">
        <v>253</v>
      </c>
      <c r="K831" s="325"/>
      <c r="L831" s="326"/>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323"/>
      <c r="H832" s="47" t="s">
        <v>257</v>
      </c>
      <c r="I832" s="35">
        <f>IF(E830="","0",IF(AND(E827="EUC",E828=432), I831+(203-E829),IF(E830=0,0,(E830+(E828-E829)-1))))</f>
        <v>456</v>
      </c>
      <c r="J832" s="287" t="str">
        <f>IFERROR(IF(OR(E827="EUC",E827="SS"),"---",IF(OR(P826,S826),"NO 2F Tethers for RPX!",IF(OR(P828,S828),"NO 6F Tethers for RPX!","---"))),"---")</f>
        <v>---</v>
      </c>
      <c r="K832" s="288"/>
      <c r="L832" s="289"/>
      <c r="M832" s="287" t="str">
        <f>IF(E829&gt;60,"Dead Count &gt;60: Consider Downsize","---")</f>
        <v>---</v>
      </c>
      <c r="N832" s="288"/>
      <c r="O832" s="288"/>
      <c r="P832" s="288"/>
      <c r="Q832" s="288"/>
      <c r="R832" s="288"/>
      <c r="S832" s="288"/>
      <c r="T832" s="288"/>
      <c r="U832" s="289"/>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60</v>
      </c>
      <c r="D833" s="31" t="s">
        <v>259</v>
      </c>
      <c r="E833" s="101" t="str">
        <f>IF(AS827="Y","DBL",IF(AS828="Y","TRPL",IF(AS829="Y","QUAD","")))</f>
        <v/>
      </c>
      <c r="F833" s="88"/>
      <c r="G833" s="192"/>
      <c r="H833" s="57"/>
      <c r="I833" s="192"/>
      <c r="J833" s="287"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8"/>
      <c r="L833" s="289"/>
      <c r="M833" s="287" t="str">
        <f>IF(AND(OR(E827="SS",E827="RPX",E827="EUC",E827="RPX-T"),(OR(C837="",C837="Field SPL"))),"Cannot have FlexNap cables without tethers","---")</f>
        <v>---</v>
      </c>
      <c r="N833" s="288"/>
      <c r="O833" s="288"/>
      <c r="P833" s="288"/>
      <c r="Q833" s="288"/>
      <c r="R833" s="288"/>
      <c r="S833" s="288"/>
      <c r="T833" s="288"/>
      <c r="U833" s="289"/>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7" t="str">
        <f>IF(AND(OR(E827="RPX", E827="RPX-T", E827="SS"),E828=216),"NO 216 For RPX, RPX-T, OR SS CABLE","---")</f>
        <v>---</v>
      </c>
      <c r="K834" s="288"/>
      <c r="L834" s="289"/>
      <c r="M834" s="287" t="str" cm="1">
        <f t="array" ref="M834">IF(AND(E827="",OR(C837:C861="FST",C837:C861="REV T",C837:C861="DBL REV",C837:C861="TPL REV", C837:C861="QD REV")),"Non-FlexNap cables cannot have tethers","---")</f>
        <v>---</v>
      </c>
      <c r="N834" s="288"/>
      <c r="O834" s="288"/>
      <c r="P834" s="288"/>
      <c r="Q834" s="288"/>
      <c r="R834" s="288"/>
      <c r="S834" s="288"/>
      <c r="T834" s="288"/>
      <c r="U834" s="289"/>
      <c r="V834" s="25"/>
      <c r="W834" s="58"/>
      <c r="X834" s="58"/>
      <c r="Y834" s="25"/>
      <c r="Z834" s="45">
        <v>6</v>
      </c>
      <c r="AA834" s="65">
        <v>61</v>
      </c>
      <c r="AB834" s="65">
        <v>72</v>
      </c>
      <c r="AC834" s="25"/>
      <c r="AD834" s="25"/>
      <c r="BA834" s="226"/>
    </row>
    <row r="835" spans="1:53" ht="15.75" customHeight="1" thickBot="1" x14ac:dyDescent="0.3">
      <c r="A835" s="88"/>
      <c r="B835" s="322" t="s">
        <v>260</v>
      </c>
      <c r="C835" s="294" t="s">
        <v>261</v>
      </c>
      <c r="D835" s="294" t="s">
        <v>262</v>
      </c>
      <c r="E835" s="307" t="s">
        <v>263</v>
      </c>
      <c r="F835" s="294" t="s">
        <v>264</v>
      </c>
      <c r="G835" s="309" t="s">
        <v>265</v>
      </c>
      <c r="H835" s="309" t="s">
        <v>266</v>
      </c>
      <c r="I835" s="309" t="s">
        <v>267</v>
      </c>
      <c r="J835" s="311" t="s">
        <v>268</v>
      </c>
      <c r="K835" s="294" t="s">
        <v>269</v>
      </c>
      <c r="L835" s="281" t="s">
        <v>270</v>
      </c>
      <c r="M835" s="283" t="s">
        <v>271</v>
      </c>
      <c r="N835" s="283"/>
      <c r="O835" s="283"/>
      <c r="P835" s="283"/>
      <c r="Q835" s="283"/>
      <c r="R835" s="283"/>
      <c r="S835" s="283"/>
      <c r="T835" s="283"/>
      <c r="U835" s="284"/>
      <c r="V835" s="107"/>
      <c r="W835" s="72"/>
      <c r="X835" s="72"/>
      <c r="Y835" s="72"/>
      <c r="Z835" s="45">
        <v>7</v>
      </c>
      <c r="AA835" s="65">
        <v>73</v>
      </c>
      <c r="AB835" s="65">
        <v>84</v>
      </c>
      <c r="AC835" s="25"/>
      <c r="AD835" s="25"/>
      <c r="BA835" s="228"/>
    </row>
    <row r="836" spans="1:53" ht="15.75" thickBot="1" x14ac:dyDescent="0.3">
      <c r="A836" s="88"/>
      <c r="B836" s="323"/>
      <c r="C836" s="295"/>
      <c r="D836" s="295"/>
      <c r="E836" s="308"/>
      <c r="F836" s="295"/>
      <c r="G836" s="310"/>
      <c r="H836" s="310"/>
      <c r="I836" s="310"/>
      <c r="J836" s="312"/>
      <c r="K836" s="295"/>
      <c r="L836" s="282"/>
      <c r="M836" s="285"/>
      <c r="N836" s="285"/>
      <c r="O836" s="285"/>
      <c r="P836" s="285"/>
      <c r="Q836" s="285"/>
      <c r="R836" s="285"/>
      <c r="S836" s="285"/>
      <c r="T836" s="285"/>
      <c r="U836" s="286"/>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804</v>
      </c>
      <c r="E837" s="32">
        <v>4</v>
      </c>
      <c r="F837" s="32" t="s">
        <v>483</v>
      </c>
      <c r="G837" s="68" t="s">
        <v>277</v>
      </c>
      <c r="H837" s="69">
        <f>IF(I837=0,0,I837-(E837-1))</f>
        <v>453</v>
      </c>
      <c r="I837" s="70">
        <f>IF(E837=0,0,I832)</f>
        <v>456</v>
      </c>
      <c r="J837" s="71" t="s">
        <v>278</v>
      </c>
      <c r="K837" s="32"/>
      <c r="L837" s="233"/>
      <c r="M837" s="279"/>
      <c r="N837" s="279"/>
      <c r="O837" s="279"/>
      <c r="P837" s="279"/>
      <c r="Q837" s="279"/>
      <c r="R837" s="279"/>
      <c r="S837" s="279"/>
      <c r="T837" s="279"/>
      <c r="U837" s="280"/>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453-456</v>
      </c>
      <c r="AF837" s="109" t="str">
        <f t="shared" ref="AF837:AF861" si="343">IF(C837="Field SPL","N","Y")</f>
        <v>Y</v>
      </c>
      <c r="AG837" s="109" t="str">
        <f t="shared" ref="AG837:AG861" si="344">IF(OR(E$827="RPX",E$827="SS"),"A","B")</f>
        <v>A</v>
      </c>
      <c r="AH837" s="109">
        <v>2</v>
      </c>
      <c r="AI837" s="109" t="str">
        <f>IF(E827="SS",COUNTIFS(C837:C861,"TCF",E837:E861,"2"),"")</f>
        <v/>
      </c>
      <c r="AJ837" s="109">
        <f>IF(E827="RPX",COUNTIFS(C837:C861,"TCF",E837:E861,"2"),"")</f>
        <v>0</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805</v>
      </c>
      <c r="E838" s="32">
        <v>4</v>
      </c>
      <c r="F838" s="32" t="s">
        <v>483</v>
      </c>
      <c r="G838" s="68" t="s">
        <v>277</v>
      </c>
      <c r="H838" s="69">
        <f t="shared" ref="H838:H861" si="349">IF(E838=0,0,I838-(E838-1))</f>
        <v>449</v>
      </c>
      <c r="I838" s="70">
        <f t="shared" ref="I838:I861" si="350">IF(E838=0,0,H837-1)</f>
        <v>452</v>
      </c>
      <c r="J838" s="73" t="str">
        <f>IF(C838="","--",IF(AND(C838&lt;&gt;"FST",C838&lt;&gt;"TCF",BA837&lt;&gt;0),BA837,"--"))</f>
        <v>--</v>
      </c>
      <c r="K838" s="32"/>
      <c r="L838" s="233"/>
      <c r="M838" s="279"/>
      <c r="N838" s="279"/>
      <c r="O838" s="279"/>
      <c r="P838" s="279"/>
      <c r="Q838" s="279"/>
      <c r="R838" s="279"/>
      <c r="S838" s="279"/>
      <c r="T838" s="279"/>
      <c r="U838" s="280"/>
      <c r="V838" s="103"/>
      <c r="W838" s="72"/>
      <c r="X838" s="72"/>
      <c r="Y838" s="72"/>
      <c r="Z838" s="45">
        <v>10</v>
      </c>
      <c r="AA838" s="46">
        <v>109</v>
      </c>
      <c r="AB838" s="46">
        <v>120</v>
      </c>
      <c r="AC838" s="72">
        <f t="shared" si="340"/>
        <v>1</v>
      </c>
      <c r="AD838" s="72">
        <f t="shared" si="341"/>
        <v>0</v>
      </c>
      <c r="AE838" s="109" t="str">
        <f t="shared" si="342"/>
        <v>449-452</v>
      </c>
      <c r="AF838" s="109" t="str">
        <f t="shared" si="343"/>
        <v>Y</v>
      </c>
      <c r="AG838" s="109" t="str">
        <f t="shared" si="344"/>
        <v>A</v>
      </c>
      <c r="AH838" s="109">
        <v>4</v>
      </c>
      <c r="AI838" s="109" t="str">
        <f>IF(E827="SS",COUNTIFS(C837:C861,"TCF",E837:E861,"4"),"")</f>
        <v/>
      </c>
      <c r="AJ838" s="109">
        <f>IF(E827="RPX",COUNTIFS(C837:C861,"TCF",E837:E861,"4"),"")</f>
        <v>0</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8</v>
      </c>
    </row>
    <row r="839" spans="1:53" ht="15.75" thickBot="1" x14ac:dyDescent="0.3">
      <c r="A839" s="88"/>
      <c r="B839" s="74" t="s">
        <v>280</v>
      </c>
      <c r="C839" s="67" t="s">
        <v>484</v>
      </c>
      <c r="D839" s="102" t="s">
        <v>806</v>
      </c>
      <c r="E839" s="32">
        <v>4</v>
      </c>
      <c r="F839" s="32" t="s">
        <v>483</v>
      </c>
      <c r="G839" s="75" t="s">
        <v>277</v>
      </c>
      <c r="H839" s="69">
        <f t="shared" si="349"/>
        <v>445</v>
      </c>
      <c r="I839" s="70">
        <f t="shared" si="350"/>
        <v>448</v>
      </c>
      <c r="J839" s="73" t="str">
        <f t="shared" ref="J839:J861" si="351">IF(C839="","--",IF(AND(C839&lt;&gt;"FST",C839&lt;&gt;"TCF",BA838&lt;&gt;0),BA838,"--"))</f>
        <v>--</v>
      </c>
      <c r="K839" s="32"/>
      <c r="L839" s="233"/>
      <c r="M839" s="279"/>
      <c r="N839" s="279"/>
      <c r="O839" s="279"/>
      <c r="P839" s="279"/>
      <c r="Q839" s="279"/>
      <c r="R839" s="279"/>
      <c r="S839" s="279"/>
      <c r="T839" s="279"/>
      <c r="U839" s="280"/>
      <c r="V839" s="103"/>
      <c r="W839" s="72"/>
      <c r="X839" s="72"/>
      <c r="Y839" s="72"/>
      <c r="Z839" s="45">
        <v>11</v>
      </c>
      <c r="AA839" s="46">
        <v>121</v>
      </c>
      <c r="AB839" s="46">
        <v>132</v>
      </c>
      <c r="AC839" s="72">
        <f t="shared" si="340"/>
        <v>1</v>
      </c>
      <c r="AD839" s="72">
        <f t="shared" si="341"/>
        <v>0</v>
      </c>
      <c r="AE839" s="109" t="str">
        <f t="shared" si="342"/>
        <v>445-448</v>
      </c>
      <c r="AF839" s="109" t="str">
        <f t="shared" si="343"/>
        <v>Y</v>
      </c>
      <c r="AG839" s="109" t="str">
        <f t="shared" si="344"/>
        <v>A</v>
      </c>
      <c r="AH839" s="109">
        <v>6</v>
      </c>
      <c r="AI839" s="109" t="str">
        <f>IF(E827="SS",COUNTIFS(C837:C861,"TCF",E837:E861,"6"),"")</f>
        <v/>
      </c>
      <c r="AJ839" s="109">
        <f>IF(E827="RPX",COUNTIFS(C837:C861,"TCF",E837:E861,"6"),"")</f>
        <v>0</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t="s">
        <v>502</v>
      </c>
      <c r="D840" s="102"/>
      <c r="E840" s="32">
        <v>48</v>
      </c>
      <c r="F840" s="32"/>
      <c r="G840" s="68" t="s">
        <v>277</v>
      </c>
      <c r="H840" s="69">
        <f t="shared" si="349"/>
        <v>397</v>
      </c>
      <c r="I840" s="70">
        <f t="shared" si="350"/>
        <v>444</v>
      </c>
      <c r="J840" s="73" t="str">
        <f t="shared" si="351"/>
        <v>--</v>
      </c>
      <c r="K840" s="32"/>
      <c r="L840" s="233"/>
      <c r="M840" s="279" t="s">
        <v>427</v>
      </c>
      <c r="N840" s="279"/>
      <c r="O840" s="279"/>
      <c r="P840" s="279"/>
      <c r="Q840" s="279"/>
      <c r="R840" s="279"/>
      <c r="S840" s="279"/>
      <c r="T840" s="279"/>
      <c r="U840" s="280"/>
      <c r="V840" s="103"/>
      <c r="W840" s="72"/>
      <c r="X840" s="72"/>
      <c r="Y840" s="72"/>
      <c r="Z840" s="45">
        <v>12</v>
      </c>
      <c r="AA840" s="76">
        <v>133</v>
      </c>
      <c r="AB840" s="76">
        <v>144</v>
      </c>
      <c r="AC840" s="72">
        <f t="shared" si="340"/>
        <v>1</v>
      </c>
      <c r="AD840" s="72">
        <f t="shared" si="341"/>
        <v>1</v>
      </c>
      <c r="AE840" s="109" t="str">
        <f t="shared" si="342"/>
        <v>397-444</v>
      </c>
      <c r="AF840" s="109" t="str">
        <f t="shared" si="343"/>
        <v>N</v>
      </c>
      <c r="AG840" s="109" t="str">
        <f t="shared" si="344"/>
        <v>A</v>
      </c>
      <c r="AH840" s="109">
        <v>8</v>
      </c>
      <c r="AI840" s="109" t="str">
        <f>IF(E827="SS",COUNTIFS(C837:C861,"TCF",E837:E861,"8"),"")</f>
        <v/>
      </c>
      <c r="AJ840" s="109">
        <f>IF(E827="RPX",COUNTIFS(C837:C861,"TCF",E837:E861,"8"),"")</f>
        <v>0</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79"/>
      <c r="N841" s="279"/>
      <c r="O841" s="279"/>
      <c r="P841" s="279"/>
      <c r="Q841" s="279"/>
      <c r="R841" s="279"/>
      <c r="S841" s="279"/>
      <c r="T841" s="279"/>
      <c r="U841" s="280"/>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A</v>
      </c>
      <c r="AH841" s="109">
        <v>12</v>
      </c>
      <c r="AI841" s="109" t="str">
        <f>IF(E827="SS",COUNTIFS(C837:C861,"TCF",E837:E861,"12"),"")</f>
        <v/>
      </c>
      <c r="AJ841" s="109">
        <f>IF(E827="RPX",COUNTIFS(C837:C861,"TCF",E837:E861,"12"),"")</f>
        <v>0</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79"/>
      <c r="N842" s="279"/>
      <c r="O842" s="279"/>
      <c r="P842" s="279"/>
      <c r="Q842" s="279"/>
      <c r="R842" s="279"/>
      <c r="S842" s="279"/>
      <c r="T842" s="279"/>
      <c r="U842" s="280"/>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A</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79"/>
      <c r="N843" s="279"/>
      <c r="O843" s="279"/>
      <c r="P843" s="279"/>
      <c r="Q843" s="279"/>
      <c r="R843" s="279"/>
      <c r="S843" s="279"/>
      <c r="T843" s="279"/>
      <c r="U843" s="280"/>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A</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79"/>
      <c r="N844" s="279"/>
      <c r="O844" s="279"/>
      <c r="P844" s="279"/>
      <c r="Q844" s="279"/>
      <c r="R844" s="279"/>
      <c r="S844" s="279"/>
      <c r="T844" s="279"/>
      <c r="U844" s="280"/>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A</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79"/>
      <c r="N845" s="279"/>
      <c r="O845" s="279"/>
      <c r="P845" s="279"/>
      <c r="Q845" s="279"/>
      <c r="R845" s="279"/>
      <c r="S845" s="279"/>
      <c r="T845" s="279"/>
      <c r="U845" s="280"/>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A</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79"/>
      <c r="N846" s="279"/>
      <c r="O846" s="279"/>
      <c r="P846" s="279"/>
      <c r="Q846" s="279"/>
      <c r="R846" s="279"/>
      <c r="S846" s="279"/>
      <c r="T846" s="279"/>
      <c r="U846" s="280"/>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A</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9"/>
      <c r="N847" s="279"/>
      <c r="O847" s="279"/>
      <c r="P847" s="279"/>
      <c r="Q847" s="279"/>
      <c r="R847" s="279"/>
      <c r="S847" s="279"/>
      <c r="T847" s="279"/>
      <c r="U847" s="280"/>
      <c r="V847" s="103"/>
      <c r="W847" s="84"/>
      <c r="X847" s="84"/>
      <c r="Y847" s="72"/>
      <c r="Z847" s="72"/>
      <c r="AA847" s="72"/>
      <c r="AB847" s="72"/>
      <c r="AC847" s="72">
        <f t="shared" si="340"/>
        <v>1</v>
      </c>
      <c r="AD847" s="72">
        <f t="shared" si="341"/>
        <v>1</v>
      </c>
      <c r="AE847" s="109" t="str">
        <f t="shared" si="342"/>
        <v>0-0</v>
      </c>
      <c r="AF847" s="109" t="str">
        <f t="shared" si="343"/>
        <v>Y</v>
      </c>
      <c r="AG847" s="109" t="str">
        <f t="shared" si="344"/>
        <v>A</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9"/>
      <c r="N848" s="279"/>
      <c r="O848" s="279"/>
      <c r="P848" s="279"/>
      <c r="Q848" s="279"/>
      <c r="R848" s="279"/>
      <c r="S848" s="279"/>
      <c r="T848" s="279"/>
      <c r="U848" s="280"/>
      <c r="V848" s="103"/>
      <c r="W848" s="84">
        <f>Y848+1</f>
        <v>61</v>
      </c>
      <c r="X848" s="84"/>
      <c r="Y848" s="78">
        <f>SUM(E837:E848)</f>
        <v>60</v>
      </c>
      <c r="Z848" s="72"/>
      <c r="AA848" s="72"/>
      <c r="AB848" s="72"/>
      <c r="AC848" s="72">
        <f t="shared" si="340"/>
        <v>1</v>
      </c>
      <c r="AD848" s="72">
        <f t="shared" si="341"/>
        <v>1</v>
      </c>
      <c r="AE848" s="109" t="str">
        <f t="shared" si="342"/>
        <v>0-0</v>
      </c>
      <c r="AF848" s="109" t="str">
        <f t="shared" si="343"/>
        <v>Y</v>
      </c>
      <c r="AG848" s="109" t="str">
        <f t="shared" si="344"/>
        <v>A</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9"/>
      <c r="N849" s="279"/>
      <c r="O849" s="279"/>
      <c r="P849" s="279"/>
      <c r="Q849" s="279"/>
      <c r="R849" s="279"/>
      <c r="S849" s="279"/>
      <c r="T849" s="279"/>
      <c r="U849" s="280"/>
      <c r="V849" s="103"/>
      <c r="W849" s="84">
        <f>Y849+1</f>
        <v>61</v>
      </c>
      <c r="X849" s="84"/>
      <c r="Y849" s="78">
        <f>SUM(E837:E849)</f>
        <v>60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A</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9"/>
      <c r="N850" s="279"/>
      <c r="O850" s="279"/>
      <c r="P850" s="279"/>
      <c r="Q850" s="279"/>
      <c r="R850" s="279"/>
      <c r="S850" s="279"/>
      <c r="T850" s="279"/>
      <c r="U850" s="280"/>
      <c r="V850" s="103"/>
      <c r="W850" s="84">
        <f>Y850+1</f>
        <v>61</v>
      </c>
      <c r="X850" s="84"/>
      <c r="Y850" s="78">
        <f>SUM(E837:E850)</f>
        <v>60</v>
      </c>
      <c r="Z850" s="72" t="str">
        <f t="shared" si="354"/>
        <v/>
      </c>
      <c r="AA850" s="72"/>
      <c r="AB850" s="72"/>
      <c r="AC850" s="72">
        <f t="shared" si="340"/>
        <v>1</v>
      </c>
      <c r="AD850" s="72">
        <f t="shared" si="341"/>
        <v>1</v>
      </c>
      <c r="AE850" s="109" t="str">
        <f t="shared" si="342"/>
        <v>0-0</v>
      </c>
      <c r="AF850" s="109" t="str">
        <f t="shared" si="343"/>
        <v>Y</v>
      </c>
      <c r="AG850" s="109" t="str">
        <f t="shared" si="344"/>
        <v>A</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9"/>
      <c r="N851" s="279"/>
      <c r="O851" s="279"/>
      <c r="P851" s="279"/>
      <c r="Q851" s="279"/>
      <c r="R851" s="279"/>
      <c r="S851" s="279"/>
      <c r="T851" s="279"/>
      <c r="U851" s="280"/>
      <c r="V851" s="103"/>
      <c r="W851" s="84">
        <f>Y851+1</f>
        <v>61</v>
      </c>
      <c r="X851" s="84"/>
      <c r="Y851" s="78">
        <f>SUM(E837:E851)</f>
        <v>60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A</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9"/>
      <c r="N852" s="279"/>
      <c r="O852" s="279"/>
      <c r="P852" s="279"/>
      <c r="Q852" s="279"/>
      <c r="R852" s="279"/>
      <c r="S852" s="279"/>
      <c r="T852" s="279"/>
      <c r="U852" s="280"/>
      <c r="V852" s="103"/>
      <c r="W852" s="84">
        <f t="shared" ref="W852:W860" si="356">Y852+1</f>
        <v>61</v>
      </c>
      <c r="X852" s="84"/>
      <c r="Y852" s="78">
        <f>SUM(E837:E852)</f>
        <v>60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A</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9"/>
      <c r="N853" s="279"/>
      <c r="O853" s="279"/>
      <c r="P853" s="279"/>
      <c r="Q853" s="279"/>
      <c r="R853" s="279"/>
      <c r="S853" s="279"/>
      <c r="T853" s="279"/>
      <c r="U853" s="280"/>
      <c r="V853" s="103"/>
      <c r="W853" s="84">
        <f t="shared" si="356"/>
        <v>61</v>
      </c>
      <c r="X853" s="84"/>
      <c r="Y853" s="78">
        <f>SUM(E837:E853)</f>
        <v>60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A</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9"/>
      <c r="N854" s="279"/>
      <c r="O854" s="279"/>
      <c r="P854" s="279"/>
      <c r="Q854" s="279"/>
      <c r="R854" s="279"/>
      <c r="S854" s="279"/>
      <c r="T854" s="279"/>
      <c r="U854" s="280"/>
      <c r="V854" s="103"/>
      <c r="W854" s="84">
        <f t="shared" si="356"/>
        <v>61</v>
      </c>
      <c r="X854" s="84"/>
      <c r="Y854" s="78">
        <f>SUM(E837:E854)</f>
        <v>60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A</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9"/>
      <c r="N855" s="279"/>
      <c r="O855" s="279"/>
      <c r="P855" s="279"/>
      <c r="Q855" s="279"/>
      <c r="R855" s="279"/>
      <c r="S855" s="279"/>
      <c r="T855" s="279"/>
      <c r="U855" s="280"/>
      <c r="V855" s="103"/>
      <c r="W855" s="84">
        <f t="shared" si="356"/>
        <v>61</v>
      </c>
      <c r="X855" s="84"/>
      <c r="Y855" s="78">
        <f>SUM(E837:E855)</f>
        <v>60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A</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9"/>
      <c r="N856" s="279"/>
      <c r="O856" s="279"/>
      <c r="P856" s="279"/>
      <c r="Q856" s="279"/>
      <c r="R856" s="279"/>
      <c r="S856" s="279"/>
      <c r="T856" s="279"/>
      <c r="U856" s="280"/>
      <c r="V856" s="103"/>
      <c r="W856" s="84">
        <f t="shared" si="356"/>
        <v>61</v>
      </c>
      <c r="X856" s="84"/>
      <c r="Y856" s="78">
        <f>SUM(E837:E856)</f>
        <v>60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A</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9"/>
      <c r="N857" s="279"/>
      <c r="O857" s="279"/>
      <c r="P857" s="279"/>
      <c r="Q857" s="279"/>
      <c r="R857" s="279"/>
      <c r="S857" s="279"/>
      <c r="T857" s="279"/>
      <c r="U857" s="280"/>
      <c r="V857" s="103"/>
      <c r="W857" s="84">
        <f t="shared" si="356"/>
        <v>61</v>
      </c>
      <c r="X857" s="84"/>
      <c r="Y857" s="78">
        <f>SUM(E837:E857)</f>
        <v>60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A</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9"/>
      <c r="N858" s="279"/>
      <c r="O858" s="279"/>
      <c r="P858" s="279"/>
      <c r="Q858" s="279"/>
      <c r="R858" s="279"/>
      <c r="S858" s="279"/>
      <c r="T858" s="279"/>
      <c r="U858" s="280"/>
      <c r="V858" s="103"/>
      <c r="W858" s="84">
        <f t="shared" si="356"/>
        <v>61</v>
      </c>
      <c r="X858" s="84"/>
      <c r="Y858" s="78">
        <f>SUM(E837:E858)</f>
        <v>60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A</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9"/>
      <c r="N859" s="279"/>
      <c r="O859" s="279"/>
      <c r="P859" s="279"/>
      <c r="Q859" s="279"/>
      <c r="R859" s="279"/>
      <c r="S859" s="279"/>
      <c r="T859" s="279"/>
      <c r="U859" s="280"/>
      <c r="V859" s="103"/>
      <c r="W859" s="84">
        <f t="shared" si="356"/>
        <v>61</v>
      </c>
      <c r="X859" s="84"/>
      <c r="Y859" s="78">
        <f>SUM(E837:E859)</f>
        <v>60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A</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9"/>
      <c r="N860" s="279"/>
      <c r="O860" s="279"/>
      <c r="P860" s="279"/>
      <c r="Q860" s="279"/>
      <c r="R860" s="279"/>
      <c r="S860" s="279"/>
      <c r="T860" s="279"/>
      <c r="U860" s="280"/>
      <c r="V860" s="103"/>
      <c r="W860" s="84">
        <f t="shared" si="356"/>
        <v>61</v>
      </c>
      <c r="X860" s="84"/>
      <c r="Y860" s="78">
        <f>SUM(E837:E860)</f>
        <v>60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A</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9"/>
      <c r="N861" s="279"/>
      <c r="O861" s="279"/>
      <c r="P861" s="279"/>
      <c r="Q861" s="279"/>
      <c r="R861" s="279"/>
      <c r="S861" s="279"/>
      <c r="T861" s="279"/>
      <c r="U861" s="280"/>
      <c r="V861" s="103"/>
      <c r="W861" s="72"/>
      <c r="X861" s="72"/>
      <c r="Y861" s="78">
        <f>SUM(E837:E861)</f>
        <v>60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A</v>
      </c>
      <c r="AM861" s="109">
        <f t="shared" si="345"/>
        <v>0</v>
      </c>
      <c r="AN861" s="109">
        <f t="shared" si="346"/>
        <v>0</v>
      </c>
      <c r="AO861" s="109" t="str">
        <f t="shared" si="347"/>
        <v/>
      </c>
      <c r="AQ861" s="109" t="str">
        <f t="shared" si="348"/>
        <v/>
      </c>
      <c r="BA861" s="228"/>
    </row>
    <row r="862" spans="1:53" ht="16.5" thickBot="1" x14ac:dyDescent="0.3">
      <c r="A862" s="88"/>
      <c r="B862" s="320" t="s">
        <v>345</v>
      </c>
      <c r="C862" s="321"/>
      <c r="D862" s="79"/>
      <c r="E862" s="80"/>
      <c r="F862" s="80"/>
      <c r="G862" s="81"/>
      <c r="H862" s="192"/>
      <c r="I862" s="192"/>
      <c r="J862" s="192"/>
      <c r="K862" s="82"/>
      <c r="L862" s="320" t="s">
        <v>306</v>
      </c>
      <c r="M862" s="331"/>
      <c r="N862" s="331"/>
      <c r="O862" s="331"/>
      <c r="P862" s="331"/>
      <c r="Q862" s="331"/>
      <c r="R862" s="331"/>
      <c r="S862" s="331"/>
      <c r="T862" s="331"/>
      <c r="U862" s="321"/>
      <c r="V862" s="104"/>
      <c r="W862" s="72"/>
      <c r="X862" s="72"/>
      <c r="Y862" s="72"/>
      <c r="Z862" s="72"/>
      <c r="AA862" s="72" t="str">
        <f t="shared" si="355"/>
        <v/>
      </c>
      <c r="AB862" s="72"/>
      <c r="AC862" s="72">
        <f>SUM(AC837:AC861)</f>
        <v>25</v>
      </c>
      <c r="AD862" s="72">
        <f>SUM(AD837:AD861)</f>
        <v>22</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20" t="s">
        <v>307</v>
      </c>
      <c r="C863" s="321"/>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3" t="s">
        <v>222</v>
      </c>
      <c r="C867" s="314"/>
      <c r="D867" s="315" t="s">
        <v>223</v>
      </c>
      <c r="E867" s="306"/>
      <c r="F867" s="88"/>
      <c r="G867" s="316" t="s">
        <v>224</v>
      </c>
      <c r="H867" s="317"/>
      <c r="I867" s="28">
        <f>SUM(E878:E902)</f>
        <v>12</v>
      </c>
      <c r="J867" s="318" t="s">
        <v>225</v>
      </c>
      <c r="K867" s="319"/>
      <c r="L867" s="306"/>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6" t="s">
        <v>226</v>
      </c>
      <c r="AA867" s="297"/>
      <c r="AB867" s="298"/>
      <c r="AC867" s="25"/>
      <c r="AD867" s="25"/>
      <c r="AH867" s="109">
        <v>2</v>
      </c>
      <c r="AI867" s="109" t="str">
        <f>IF($E868="SS",COUNTIFS($C878:$C902,"FST",$E878:$E902,"2"),"0")</f>
        <v>0</v>
      </c>
      <c r="AJ867" s="109">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1</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RPX</v>
      </c>
      <c r="F868" s="88"/>
      <c r="G868" s="305" t="s">
        <v>230</v>
      </c>
      <c r="H868" s="306"/>
      <c r="I868" s="33">
        <f>E869-I867</f>
        <v>12</v>
      </c>
      <c r="J868" s="290" t="s">
        <v>231</v>
      </c>
      <c r="K868" s="291"/>
      <c r="L868" s="34">
        <f>I872</f>
        <v>745</v>
      </c>
      <c r="M868" s="196">
        <v>4</v>
      </c>
      <c r="N868" s="35">
        <f>SUM(AI868,AI879)</f>
        <v>0</v>
      </c>
      <c r="O868" s="35">
        <v>0</v>
      </c>
      <c r="P868" s="35">
        <f>SUM(AJ868,AJ879)</f>
        <v>3</v>
      </c>
      <c r="Q868" s="35">
        <v>0</v>
      </c>
      <c r="R868" s="35">
        <f>COUNTIFS($E878:$E902,"4",$F878:$F902,"Pole",$C878:$C902,"FST")</f>
        <v>3</v>
      </c>
      <c r="S868" s="35">
        <f>SUM(AL868,AK879)</f>
        <v>0</v>
      </c>
      <c r="T868" s="35">
        <v>0</v>
      </c>
      <c r="U868" s="35">
        <f>SUM(AK868,AL879)</f>
        <v>0</v>
      </c>
      <c r="V868" s="35">
        <v>0</v>
      </c>
      <c r="W868" s="34">
        <f>COUNTIFS($E878:$E902,"4",$F878:$F902,"HH",$C878:$C902,"FST")</f>
        <v>0</v>
      </c>
      <c r="X868" s="35">
        <f>COUNTIFS($E878:$E902,"4",$F878:$F902,"Ped",$C878:$C902,"FST")</f>
        <v>0</v>
      </c>
      <c r="Y868" s="25"/>
      <c r="Z868" s="299" t="s">
        <v>232</v>
      </c>
      <c r="AA868" s="301" t="s">
        <v>233</v>
      </c>
      <c r="AB868" s="302"/>
      <c r="AC868" s="25"/>
      <c r="AD868" s="25"/>
      <c r="AH868" s="109">
        <v>4</v>
      </c>
      <c r="AI868" s="109" t="str">
        <f>IF($E868="SS",COUNTIFS($C878:$C902,"FST",$E878:$E902,"4"),"0")</f>
        <v>0</v>
      </c>
      <c r="AJ868" s="109">
        <f>IF($E868="RPX",COUNTIFS($C878:$C902,"FST",$E878:$E902,"4"),"0")</f>
        <v>3</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292" t="s">
        <v>237</v>
      </c>
      <c r="H869" s="293"/>
      <c r="I869" s="35">
        <f>IF(E869=0,0,12-(MOD(I867,12)))</f>
        <v>12</v>
      </c>
      <c r="J869" s="290" t="s">
        <v>238</v>
      </c>
      <c r="K869" s="291"/>
      <c r="L869" s="39">
        <f>I873-I867</f>
        <v>744</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0"/>
      <c r="AA869" s="303"/>
      <c r="AB869" s="304"/>
      <c r="AC869" s="25"/>
      <c r="AD869" s="25"/>
      <c r="AH869" s="109">
        <v>6</v>
      </c>
      <c r="AI869" s="109" t="str">
        <f>IF($E868="SS",COUNTIFS($C878:$C902,"FST",$E878:$E902,"6"),"0")</f>
        <v>0</v>
      </c>
      <c r="AJ869" s="109">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12</v>
      </c>
      <c r="F870" s="88"/>
      <c r="G870" s="322" t="s">
        <v>242</v>
      </c>
      <c r="H870" s="43" t="s">
        <v>243</v>
      </c>
      <c r="I870" s="35">
        <f>IF(E870&lt;&gt;0,1,0)</f>
        <v>1</v>
      </c>
      <c r="J870" s="292" t="s">
        <v>244</v>
      </c>
      <c r="K870" s="293"/>
      <c r="L870" s="44">
        <f>'Cable Calculator'!DE3</f>
        <v>1096</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745</v>
      </c>
      <c r="F871" s="88"/>
      <c r="G871" s="323"/>
      <c r="H871" s="47" t="s">
        <v>248</v>
      </c>
      <c r="I871" s="35">
        <f>IF(E870&lt;&gt;0,E870,0)</f>
        <v>12</v>
      </c>
      <c r="J871" s="194"/>
      <c r="K871" s="195"/>
      <c r="L871" s="48"/>
      <c r="M871" s="196">
        <v>12</v>
      </c>
      <c r="N871" s="35" t="str">
        <f>IF($E868="SS",SUM(AI871,AJ882,AM903,AO903,AQ903),"0")</f>
        <v>0</v>
      </c>
      <c r="O871" s="35" t="str">
        <f>IF($E868="SS",SUM(AN903,AP903,AR903),"0")</f>
        <v>0</v>
      </c>
      <c r="P871" s="35">
        <f>IF($E868="RPX",SUM(AJ871,AJ882,AM903,AO903,AQ903),"0")</f>
        <v>0</v>
      </c>
      <c r="Q871" s="35">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322" t="s">
        <v>251</v>
      </c>
      <c r="H872" s="51" t="s">
        <v>252</v>
      </c>
      <c r="I872" s="112">
        <f>E871</f>
        <v>745</v>
      </c>
      <c r="J872" s="324" t="s">
        <v>253</v>
      </c>
      <c r="K872" s="325"/>
      <c r="L872" s="326"/>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Y</v>
      </c>
      <c r="F873" s="88"/>
      <c r="G873" s="323"/>
      <c r="H873" s="47" t="s">
        <v>257</v>
      </c>
      <c r="I873" s="35">
        <f>IF(E871="","0",IF(AND(E868="EUC",E869=432), I872+(203-E870),IF(E871=0,0,(E871+(E869-E870)-1))))</f>
        <v>756</v>
      </c>
      <c r="J873" s="287" t="str">
        <f>IFERROR(IF(OR(E868="EUC",E868="SS"),"---",IF(OR(P867,S867),"NO 2F Tethers for RPX!",IF(OR(P869,S869),"NO 6F Tethers for RPX!","---"))),"---")</f>
        <v>---</v>
      </c>
      <c r="K873" s="288"/>
      <c r="L873" s="289"/>
      <c r="M873" s="287" t="str">
        <f>IF(E870&gt;60,"Dead Count &gt;60: Consider Downsize","---")</f>
        <v>---</v>
      </c>
      <c r="N873" s="288"/>
      <c r="O873" s="288"/>
      <c r="P873" s="288"/>
      <c r="Q873" s="288"/>
      <c r="R873" s="288"/>
      <c r="S873" s="288"/>
      <c r="T873" s="288"/>
      <c r="U873" s="289"/>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12</v>
      </c>
      <c r="D874" s="31" t="s">
        <v>259</v>
      </c>
      <c r="E874" s="101" t="str">
        <f>IF(AS868="Y","DBL",IF(AS869="Y","TRPL",IF(AS870="Y","QUAD","")))</f>
        <v/>
      </c>
      <c r="F874" s="88"/>
      <c r="G874" s="192"/>
      <c r="H874" s="57"/>
      <c r="I874" s="192"/>
      <c r="J874" s="287"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8"/>
      <c r="L874" s="289"/>
      <c r="M874" s="287" t="str">
        <f>IF(AND(OR(E868="SS",E868="RPX",E868="EUC",E868="RPX-T"),(OR(C878="",C878="Field SPL"))),"Cannot have FlexNap cables without tethers","---")</f>
        <v>---</v>
      </c>
      <c r="N874" s="288"/>
      <c r="O874" s="288"/>
      <c r="P874" s="288"/>
      <c r="Q874" s="288"/>
      <c r="R874" s="288"/>
      <c r="S874" s="288"/>
      <c r="T874" s="288"/>
      <c r="U874" s="289"/>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7" t="str">
        <f>IF(AND(OR(E868="RPX", E868="RPX-T", E868="SS"),E869=216),"NO 216 For RPX, RPX-T, OR SS CABLE","---")</f>
        <v>---</v>
      </c>
      <c r="K875" s="288"/>
      <c r="L875" s="289"/>
      <c r="M875" s="287" t="str" cm="1">
        <f t="array" ref="M875">IF(AND(E868="",OR(C878:C902="FST",C878:C902="REV T",C878:C902="DBL REV",C878:C902="TPL REV", C878:C902="QD REV")),"Non-FlexNap cables cannot have tethers","---")</f>
        <v>---</v>
      </c>
      <c r="N875" s="288"/>
      <c r="O875" s="288"/>
      <c r="P875" s="288"/>
      <c r="Q875" s="288"/>
      <c r="R875" s="288"/>
      <c r="S875" s="288"/>
      <c r="T875" s="288"/>
      <c r="U875" s="289"/>
      <c r="V875" s="25"/>
      <c r="W875" s="58"/>
      <c r="X875" s="58"/>
      <c r="Y875" s="25"/>
      <c r="Z875" s="45">
        <v>6</v>
      </c>
      <c r="AA875" s="65">
        <v>61</v>
      </c>
      <c r="AB875" s="65">
        <v>72</v>
      </c>
      <c r="AC875" s="25"/>
      <c r="AD875" s="25"/>
      <c r="BA875" s="226"/>
    </row>
    <row r="876" spans="1:53" ht="15.75" customHeight="1" thickBot="1" x14ac:dyDescent="0.3">
      <c r="A876" s="88"/>
      <c r="B876" s="322" t="s">
        <v>260</v>
      </c>
      <c r="C876" s="294" t="s">
        <v>261</v>
      </c>
      <c r="D876" s="294" t="s">
        <v>262</v>
      </c>
      <c r="E876" s="307" t="s">
        <v>263</v>
      </c>
      <c r="F876" s="294" t="s">
        <v>264</v>
      </c>
      <c r="G876" s="309" t="s">
        <v>265</v>
      </c>
      <c r="H876" s="309" t="s">
        <v>266</v>
      </c>
      <c r="I876" s="309" t="s">
        <v>267</v>
      </c>
      <c r="J876" s="311" t="s">
        <v>268</v>
      </c>
      <c r="K876" s="294" t="s">
        <v>269</v>
      </c>
      <c r="L876" s="281" t="s">
        <v>270</v>
      </c>
      <c r="M876" s="283" t="s">
        <v>271</v>
      </c>
      <c r="N876" s="283"/>
      <c r="O876" s="283"/>
      <c r="P876" s="283"/>
      <c r="Q876" s="283"/>
      <c r="R876" s="283"/>
      <c r="S876" s="283"/>
      <c r="T876" s="283"/>
      <c r="U876" s="284"/>
      <c r="V876" s="107"/>
      <c r="W876" s="72"/>
      <c r="X876" s="72"/>
      <c r="Y876" s="72"/>
      <c r="Z876" s="45">
        <v>7</v>
      </c>
      <c r="AA876" s="65">
        <v>73</v>
      </c>
      <c r="AB876" s="65">
        <v>84</v>
      </c>
      <c r="AC876" s="25"/>
      <c r="AD876" s="25"/>
      <c r="BA876" s="228"/>
    </row>
    <row r="877" spans="1:53" ht="15.75" thickBot="1" x14ac:dyDescent="0.3">
      <c r="A877" s="88"/>
      <c r="B877" s="323"/>
      <c r="C877" s="295"/>
      <c r="D877" s="295"/>
      <c r="E877" s="308"/>
      <c r="F877" s="295"/>
      <c r="G877" s="310"/>
      <c r="H877" s="310"/>
      <c r="I877" s="310"/>
      <c r="J877" s="312"/>
      <c r="K877" s="295"/>
      <c r="L877" s="282"/>
      <c r="M877" s="285"/>
      <c r="N877" s="285"/>
      <c r="O877" s="285"/>
      <c r="P877" s="285"/>
      <c r="Q877" s="285"/>
      <c r="R877" s="285"/>
      <c r="S877" s="285"/>
      <c r="T877" s="285"/>
      <c r="U877" s="286"/>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760</v>
      </c>
      <c r="E878" s="32">
        <v>4</v>
      </c>
      <c r="F878" s="32" t="s">
        <v>483</v>
      </c>
      <c r="G878" s="68" t="s">
        <v>277</v>
      </c>
      <c r="H878" s="69">
        <f>IF(I878=0,0,I878-(E878-1))</f>
        <v>753</v>
      </c>
      <c r="I878" s="70">
        <f>IF(E878=0,0,I873)</f>
        <v>756</v>
      </c>
      <c r="J878" s="71" t="s">
        <v>278</v>
      </c>
      <c r="K878" s="32"/>
      <c r="L878" s="233"/>
      <c r="M878" s="279"/>
      <c r="N878" s="279"/>
      <c r="O878" s="279"/>
      <c r="P878" s="279"/>
      <c r="Q878" s="279"/>
      <c r="R878" s="279"/>
      <c r="S878" s="279"/>
      <c r="T878" s="279"/>
      <c r="U878" s="280"/>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753-756</v>
      </c>
      <c r="AF878" s="109" t="str">
        <f t="shared" ref="AF878:AF902" si="360">IF(C878="Field SPL","N","Y")</f>
        <v>Y</v>
      </c>
      <c r="AG878" s="109" t="str">
        <f t="shared" ref="AG878:AG902" si="361">IF(OR(E$868="RPX",E$868="SS"),"A","B")</f>
        <v>A</v>
      </c>
      <c r="AH878" s="109">
        <v>2</v>
      </c>
      <c r="AI878" s="109" t="str">
        <f>IF(E868="SS",COUNTIFS(C878:C902,"TCF",E878:E902,"2"),"")</f>
        <v/>
      </c>
      <c r="AJ878" s="109">
        <f>IF(E868="RPX",COUNTIFS(C878:C902,"TCF",E878:E902,"2"),"")</f>
        <v>0</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4</v>
      </c>
    </row>
    <row r="879" spans="1:53" ht="15.75" thickBot="1" x14ac:dyDescent="0.3">
      <c r="A879" s="88"/>
      <c r="B879" s="66" t="s">
        <v>279</v>
      </c>
      <c r="C879" s="67" t="s">
        <v>484</v>
      </c>
      <c r="D879" s="102" t="s">
        <v>761</v>
      </c>
      <c r="E879" s="32">
        <v>4</v>
      </c>
      <c r="F879" s="32" t="s">
        <v>483</v>
      </c>
      <c r="G879" s="68" t="s">
        <v>277</v>
      </c>
      <c r="H879" s="69">
        <f t="shared" ref="H879:H902" si="366">IF(E879=0,0,I879-(E879-1))</f>
        <v>749</v>
      </c>
      <c r="I879" s="70">
        <f t="shared" ref="I879:I902" si="367">IF(E879=0,0,H878-1)</f>
        <v>752</v>
      </c>
      <c r="J879" s="73" t="str">
        <f>IF(C879="","--",IF(AND(C879&lt;&gt;"FST",C879&lt;&gt;"TCF",BA878&lt;&gt;0),BA878,"--"))</f>
        <v>--</v>
      </c>
      <c r="K879" s="32"/>
      <c r="L879" s="233"/>
      <c r="M879" s="279"/>
      <c r="N879" s="279"/>
      <c r="O879" s="279"/>
      <c r="P879" s="279"/>
      <c r="Q879" s="279"/>
      <c r="R879" s="279"/>
      <c r="S879" s="279"/>
      <c r="T879" s="279"/>
      <c r="U879" s="280"/>
      <c r="V879" s="103"/>
      <c r="W879" s="72"/>
      <c r="X879" s="72"/>
      <c r="Y879" s="72"/>
      <c r="Z879" s="45">
        <v>10</v>
      </c>
      <c r="AA879" s="46">
        <v>109</v>
      </c>
      <c r="AB879" s="46">
        <v>120</v>
      </c>
      <c r="AC879" s="72">
        <f t="shared" si="357"/>
        <v>1</v>
      </c>
      <c r="AD879" s="72">
        <f t="shared" si="358"/>
        <v>0</v>
      </c>
      <c r="AE879" s="109" t="str">
        <f t="shared" si="359"/>
        <v>749-752</v>
      </c>
      <c r="AF879" s="109" t="str">
        <f t="shared" si="360"/>
        <v>Y</v>
      </c>
      <c r="AG879" s="109" t="str">
        <f t="shared" si="361"/>
        <v>A</v>
      </c>
      <c r="AH879" s="109">
        <v>4</v>
      </c>
      <c r="AI879" s="109" t="str">
        <f>IF(E868="SS",COUNTIFS(C878:C902,"TCF",E878:E902,"4"),"")</f>
        <v/>
      </c>
      <c r="AJ879" s="109">
        <f>IF(E868="RPX",COUNTIFS(C878:C902,"TCF",E878:E902,"4"),"")</f>
        <v>0</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8</v>
      </c>
    </row>
    <row r="880" spans="1:53" ht="15.75" thickBot="1" x14ac:dyDescent="0.3">
      <c r="A880" s="88"/>
      <c r="B880" s="74" t="s">
        <v>280</v>
      </c>
      <c r="C880" s="67" t="s">
        <v>484</v>
      </c>
      <c r="D880" s="102" t="s">
        <v>821</v>
      </c>
      <c r="E880" s="32">
        <v>4</v>
      </c>
      <c r="F880" s="32" t="s">
        <v>483</v>
      </c>
      <c r="G880" s="75" t="s">
        <v>277</v>
      </c>
      <c r="H880" s="69">
        <f t="shared" si="366"/>
        <v>745</v>
      </c>
      <c r="I880" s="70">
        <f t="shared" si="367"/>
        <v>748</v>
      </c>
      <c r="J880" s="73" t="str">
        <f t="shared" ref="J880:J902" si="368">IF(C880="","--",IF(AND(C880&lt;&gt;"FST",C880&lt;&gt;"TCF",BA879&lt;&gt;0),BA879,"--"))</f>
        <v>--</v>
      </c>
      <c r="K880" s="32"/>
      <c r="L880" s="233"/>
      <c r="M880" s="279"/>
      <c r="N880" s="279"/>
      <c r="O880" s="279"/>
      <c r="P880" s="279"/>
      <c r="Q880" s="279"/>
      <c r="R880" s="279"/>
      <c r="S880" s="279"/>
      <c r="T880" s="279"/>
      <c r="U880" s="280"/>
      <c r="V880" s="103"/>
      <c r="W880" s="72"/>
      <c r="X880" s="72"/>
      <c r="Y880" s="72"/>
      <c r="Z880" s="45">
        <v>11</v>
      </c>
      <c r="AA880" s="46">
        <v>121</v>
      </c>
      <c r="AB880" s="46">
        <v>132</v>
      </c>
      <c r="AC880" s="72">
        <f t="shared" si="357"/>
        <v>1</v>
      </c>
      <c r="AD880" s="72">
        <f t="shared" si="358"/>
        <v>0</v>
      </c>
      <c r="AE880" s="109" t="str">
        <f t="shared" si="359"/>
        <v>745-748</v>
      </c>
      <c r="AF880" s="109" t="str">
        <f t="shared" si="360"/>
        <v>Y</v>
      </c>
      <c r="AG880" s="109" t="str">
        <f t="shared" si="361"/>
        <v>A</v>
      </c>
      <c r="AH880" s="109">
        <v>6</v>
      </c>
      <c r="AI880" s="109" t="str">
        <f>IF(E868="SS",COUNTIFS(C878:C902,"TCF",E878:E902,"6"),"")</f>
        <v/>
      </c>
      <c r="AJ880" s="109">
        <f>IF(E868="RPX",COUNTIFS(C878:C902,"TCF",E878:E902,"6"),"")</f>
        <v>0</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79"/>
      <c r="N881" s="279"/>
      <c r="O881" s="279"/>
      <c r="P881" s="279"/>
      <c r="Q881" s="279"/>
      <c r="R881" s="279"/>
      <c r="S881" s="279"/>
      <c r="T881" s="279"/>
      <c r="U881" s="280"/>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A</v>
      </c>
      <c r="AH881" s="109">
        <v>8</v>
      </c>
      <c r="AI881" s="109" t="str">
        <f>IF(E868="SS",COUNTIFS(C878:C902,"TCF",E878:E902,"8"),"")</f>
        <v/>
      </c>
      <c r="AJ881" s="109">
        <f>IF(E868="RPX",COUNTIFS(C878:C902,"TCF",E878:E902,"8"),"")</f>
        <v>0</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79"/>
      <c r="N882" s="279"/>
      <c r="O882" s="279"/>
      <c r="P882" s="279"/>
      <c r="Q882" s="279"/>
      <c r="R882" s="279"/>
      <c r="S882" s="279"/>
      <c r="T882" s="279"/>
      <c r="U882" s="280"/>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A</v>
      </c>
      <c r="AH882" s="109">
        <v>12</v>
      </c>
      <c r="AI882" s="109" t="str">
        <f>IF(E868="SS",COUNTIFS(C878:C902,"TCF",E878:E902,"12"),"")</f>
        <v/>
      </c>
      <c r="AJ882" s="109">
        <f>IF(E868="RPX",COUNTIFS(C878:C902,"TCF",E878:E902,"12"),"")</f>
        <v>0</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79"/>
      <c r="N883" s="279"/>
      <c r="O883" s="279"/>
      <c r="P883" s="279"/>
      <c r="Q883" s="279"/>
      <c r="R883" s="279"/>
      <c r="S883" s="279"/>
      <c r="T883" s="279"/>
      <c r="U883" s="280"/>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A</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79"/>
      <c r="N884" s="279"/>
      <c r="O884" s="279"/>
      <c r="P884" s="279"/>
      <c r="Q884" s="279"/>
      <c r="R884" s="279"/>
      <c r="S884" s="279"/>
      <c r="T884" s="279"/>
      <c r="U884" s="280"/>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A</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79"/>
      <c r="N885" s="279"/>
      <c r="O885" s="279"/>
      <c r="P885" s="279"/>
      <c r="Q885" s="279"/>
      <c r="R885" s="279"/>
      <c r="S885" s="279"/>
      <c r="T885" s="279"/>
      <c r="U885" s="280"/>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A</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79"/>
      <c r="N886" s="279"/>
      <c r="O886" s="279"/>
      <c r="P886" s="279"/>
      <c r="Q886" s="279"/>
      <c r="R886" s="279"/>
      <c r="S886" s="279"/>
      <c r="T886" s="279"/>
      <c r="U886" s="280"/>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A</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79"/>
      <c r="N887" s="279"/>
      <c r="O887" s="279"/>
      <c r="P887" s="279"/>
      <c r="Q887" s="279"/>
      <c r="R887" s="279"/>
      <c r="S887" s="279"/>
      <c r="T887" s="279"/>
      <c r="U887" s="280"/>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A</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79"/>
      <c r="N888" s="279"/>
      <c r="O888" s="279"/>
      <c r="P888" s="279"/>
      <c r="Q888" s="279"/>
      <c r="R888" s="279"/>
      <c r="S888" s="279"/>
      <c r="T888" s="279"/>
      <c r="U888" s="280"/>
      <c r="V888" s="103"/>
      <c r="W888" s="84"/>
      <c r="X888" s="84"/>
      <c r="Y888" s="72"/>
      <c r="Z888" s="72"/>
      <c r="AA888" s="72"/>
      <c r="AB888" s="72"/>
      <c r="AC888" s="72">
        <f t="shared" si="357"/>
        <v>1</v>
      </c>
      <c r="AD888" s="72">
        <f t="shared" si="358"/>
        <v>1</v>
      </c>
      <c r="AE888" s="109" t="str">
        <f t="shared" si="359"/>
        <v>0-0</v>
      </c>
      <c r="AF888" s="109" t="str">
        <f t="shared" si="360"/>
        <v>Y</v>
      </c>
      <c r="AG888" s="109" t="str">
        <f t="shared" si="361"/>
        <v>A</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79"/>
      <c r="N889" s="279"/>
      <c r="O889" s="279"/>
      <c r="P889" s="279"/>
      <c r="Q889" s="279"/>
      <c r="R889" s="279"/>
      <c r="S889" s="279"/>
      <c r="T889" s="279"/>
      <c r="U889" s="280"/>
      <c r="V889" s="103"/>
      <c r="W889" s="84">
        <f>Y889+1</f>
        <v>13</v>
      </c>
      <c r="X889" s="84"/>
      <c r="Y889" s="78">
        <f>SUM(E878:E889)</f>
        <v>12</v>
      </c>
      <c r="Z889" s="72"/>
      <c r="AA889" s="72"/>
      <c r="AB889" s="72"/>
      <c r="AC889" s="72">
        <f t="shared" si="357"/>
        <v>1</v>
      </c>
      <c r="AD889" s="72">
        <f t="shared" si="358"/>
        <v>1</v>
      </c>
      <c r="AE889" s="109" t="str">
        <f t="shared" si="359"/>
        <v>0-0</v>
      </c>
      <c r="AF889" s="109" t="str">
        <f t="shared" si="360"/>
        <v>Y</v>
      </c>
      <c r="AG889" s="109" t="str">
        <f t="shared" si="361"/>
        <v>A</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9"/>
      <c r="N890" s="279"/>
      <c r="O890" s="279"/>
      <c r="P890" s="279"/>
      <c r="Q890" s="279"/>
      <c r="R890" s="279"/>
      <c r="S890" s="279"/>
      <c r="T890" s="279"/>
      <c r="U890" s="280"/>
      <c r="V890" s="103"/>
      <c r="W890" s="84">
        <f>Y890+1</f>
        <v>13</v>
      </c>
      <c r="X890" s="84"/>
      <c r="Y890" s="78">
        <f>SUM(E878:E890)</f>
        <v>12</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A</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9"/>
      <c r="N891" s="279"/>
      <c r="O891" s="279"/>
      <c r="P891" s="279"/>
      <c r="Q891" s="279"/>
      <c r="R891" s="279"/>
      <c r="S891" s="279"/>
      <c r="T891" s="279"/>
      <c r="U891" s="280"/>
      <c r="V891" s="103"/>
      <c r="W891" s="84">
        <f>Y891+1</f>
        <v>13</v>
      </c>
      <c r="X891" s="84"/>
      <c r="Y891" s="78">
        <f>SUM(E878:E891)</f>
        <v>12</v>
      </c>
      <c r="Z891" s="72" t="str">
        <f t="shared" si="371"/>
        <v/>
      </c>
      <c r="AA891" s="72"/>
      <c r="AB891" s="72"/>
      <c r="AC891" s="72">
        <f t="shared" si="357"/>
        <v>1</v>
      </c>
      <c r="AD891" s="72">
        <f t="shared" si="358"/>
        <v>1</v>
      </c>
      <c r="AE891" s="109" t="str">
        <f t="shared" si="359"/>
        <v>0-0</v>
      </c>
      <c r="AF891" s="109" t="str">
        <f t="shared" si="360"/>
        <v>Y</v>
      </c>
      <c r="AG891" s="109" t="str">
        <f t="shared" si="361"/>
        <v>A</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9"/>
      <c r="N892" s="279"/>
      <c r="O892" s="279"/>
      <c r="P892" s="279"/>
      <c r="Q892" s="279"/>
      <c r="R892" s="279"/>
      <c r="S892" s="279"/>
      <c r="T892" s="279"/>
      <c r="U892" s="280"/>
      <c r="V892" s="103"/>
      <c r="W892" s="84">
        <f>Y892+1</f>
        <v>13</v>
      </c>
      <c r="X892" s="84"/>
      <c r="Y892" s="78">
        <f>SUM(E878:E892)</f>
        <v>12</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A</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9"/>
      <c r="N893" s="279"/>
      <c r="O893" s="279"/>
      <c r="P893" s="279"/>
      <c r="Q893" s="279"/>
      <c r="R893" s="279"/>
      <c r="S893" s="279"/>
      <c r="T893" s="279"/>
      <c r="U893" s="280"/>
      <c r="V893" s="103"/>
      <c r="W893" s="84">
        <f t="shared" ref="W893:W901" si="373">Y893+1</f>
        <v>13</v>
      </c>
      <c r="X893" s="84"/>
      <c r="Y893" s="78">
        <f>SUM(E878:E893)</f>
        <v>12</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A</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9"/>
      <c r="N894" s="279"/>
      <c r="O894" s="279"/>
      <c r="P894" s="279"/>
      <c r="Q894" s="279"/>
      <c r="R894" s="279"/>
      <c r="S894" s="279"/>
      <c r="T894" s="279"/>
      <c r="U894" s="280"/>
      <c r="V894" s="103"/>
      <c r="W894" s="84">
        <f t="shared" si="373"/>
        <v>13</v>
      </c>
      <c r="X894" s="84"/>
      <c r="Y894" s="78">
        <f>SUM(E878:E894)</f>
        <v>12</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A</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9"/>
      <c r="N895" s="279"/>
      <c r="O895" s="279"/>
      <c r="P895" s="279"/>
      <c r="Q895" s="279"/>
      <c r="R895" s="279"/>
      <c r="S895" s="279"/>
      <c r="T895" s="279"/>
      <c r="U895" s="280"/>
      <c r="V895" s="103"/>
      <c r="W895" s="84">
        <f t="shared" si="373"/>
        <v>13</v>
      </c>
      <c r="X895" s="84"/>
      <c r="Y895" s="78">
        <f>SUM(E878:E895)</f>
        <v>12</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A</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9"/>
      <c r="N896" s="279"/>
      <c r="O896" s="279"/>
      <c r="P896" s="279"/>
      <c r="Q896" s="279"/>
      <c r="R896" s="279"/>
      <c r="S896" s="279"/>
      <c r="T896" s="279"/>
      <c r="U896" s="280"/>
      <c r="V896" s="103"/>
      <c r="W896" s="84">
        <f t="shared" si="373"/>
        <v>13</v>
      </c>
      <c r="X896" s="84"/>
      <c r="Y896" s="78">
        <f>SUM(E878:E896)</f>
        <v>12</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A</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9"/>
      <c r="N897" s="279"/>
      <c r="O897" s="279"/>
      <c r="P897" s="279"/>
      <c r="Q897" s="279"/>
      <c r="R897" s="279"/>
      <c r="S897" s="279"/>
      <c r="T897" s="279"/>
      <c r="U897" s="280"/>
      <c r="V897" s="103"/>
      <c r="W897" s="84">
        <f t="shared" si="373"/>
        <v>13</v>
      </c>
      <c r="X897" s="84"/>
      <c r="Y897" s="78">
        <f>SUM(E878:E897)</f>
        <v>12</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A</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9"/>
      <c r="N898" s="279"/>
      <c r="O898" s="279"/>
      <c r="P898" s="279"/>
      <c r="Q898" s="279"/>
      <c r="R898" s="279"/>
      <c r="S898" s="279"/>
      <c r="T898" s="279"/>
      <c r="U898" s="280"/>
      <c r="V898" s="103"/>
      <c r="W898" s="84">
        <f t="shared" si="373"/>
        <v>13</v>
      </c>
      <c r="X898" s="84"/>
      <c r="Y898" s="78">
        <f>SUM(E878:E898)</f>
        <v>12</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A</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9"/>
      <c r="N899" s="279"/>
      <c r="O899" s="279"/>
      <c r="P899" s="279"/>
      <c r="Q899" s="279"/>
      <c r="R899" s="279"/>
      <c r="S899" s="279"/>
      <c r="T899" s="279"/>
      <c r="U899" s="280"/>
      <c r="V899" s="103"/>
      <c r="W899" s="84">
        <f t="shared" si="373"/>
        <v>13</v>
      </c>
      <c r="X899" s="84"/>
      <c r="Y899" s="78">
        <f>SUM(E878:E899)</f>
        <v>12</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A</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9"/>
      <c r="N900" s="279"/>
      <c r="O900" s="279"/>
      <c r="P900" s="279"/>
      <c r="Q900" s="279"/>
      <c r="R900" s="279"/>
      <c r="S900" s="279"/>
      <c r="T900" s="279"/>
      <c r="U900" s="280"/>
      <c r="V900" s="103"/>
      <c r="W900" s="84">
        <f t="shared" si="373"/>
        <v>13</v>
      </c>
      <c r="X900" s="84"/>
      <c r="Y900" s="78">
        <f>SUM(E878:E900)</f>
        <v>12</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A</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9"/>
      <c r="N901" s="279"/>
      <c r="O901" s="279"/>
      <c r="P901" s="279"/>
      <c r="Q901" s="279"/>
      <c r="R901" s="279"/>
      <c r="S901" s="279"/>
      <c r="T901" s="279"/>
      <c r="U901" s="280"/>
      <c r="V901" s="103"/>
      <c r="W901" s="84">
        <f t="shared" si="373"/>
        <v>13</v>
      </c>
      <c r="X901" s="84"/>
      <c r="Y901" s="78">
        <f>SUM(E878:E901)</f>
        <v>12</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A</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9"/>
      <c r="N902" s="279"/>
      <c r="O902" s="279"/>
      <c r="P902" s="279"/>
      <c r="Q902" s="279"/>
      <c r="R902" s="279"/>
      <c r="S902" s="279"/>
      <c r="T902" s="279"/>
      <c r="U902" s="280"/>
      <c r="V902" s="103"/>
      <c r="W902" s="72"/>
      <c r="X902" s="72"/>
      <c r="Y902" s="78">
        <f>SUM(E878:E902)</f>
        <v>12</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A</v>
      </c>
      <c r="AM902" s="109">
        <f t="shared" si="362"/>
        <v>0</v>
      </c>
      <c r="AN902" s="109">
        <f t="shared" si="363"/>
        <v>0</v>
      </c>
      <c r="AO902" s="109" t="str">
        <f t="shared" si="364"/>
        <v/>
      </c>
      <c r="AQ902" s="109" t="str">
        <f t="shared" si="365"/>
        <v/>
      </c>
      <c r="BA902" s="228"/>
    </row>
    <row r="903" spans="1:53" ht="16.5" thickBot="1" x14ac:dyDescent="0.3">
      <c r="A903" s="88"/>
      <c r="B903" s="320" t="s">
        <v>347</v>
      </c>
      <c r="C903" s="321"/>
      <c r="D903" s="79"/>
      <c r="E903" s="80"/>
      <c r="F903" s="80"/>
      <c r="G903" s="81"/>
      <c r="H903" s="192"/>
      <c r="I903" s="192"/>
      <c r="J903" s="192"/>
      <c r="K903" s="82"/>
      <c r="L903" s="320" t="s">
        <v>306</v>
      </c>
      <c r="M903" s="331"/>
      <c r="N903" s="331"/>
      <c r="O903" s="331"/>
      <c r="P903" s="331"/>
      <c r="Q903" s="331"/>
      <c r="R903" s="331"/>
      <c r="S903" s="331"/>
      <c r="T903" s="331"/>
      <c r="U903" s="321"/>
      <c r="V903" s="104"/>
      <c r="W903" s="72"/>
      <c r="X903" s="72"/>
      <c r="Y903" s="72"/>
      <c r="Z903" s="72"/>
      <c r="AA903" s="72" t="str">
        <f t="shared" si="372"/>
        <v/>
      </c>
      <c r="AB903" s="72"/>
      <c r="AC903" s="72">
        <f>SUM(AC878:AC902)</f>
        <v>25</v>
      </c>
      <c r="AD903" s="72">
        <f>SUM(AD878:AD902)</f>
        <v>22</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20" t="s">
        <v>307</v>
      </c>
      <c r="C904" s="321"/>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3" t="s">
        <v>222</v>
      </c>
      <c r="C908" s="314"/>
      <c r="D908" s="315" t="s">
        <v>223</v>
      </c>
      <c r="E908" s="306"/>
      <c r="F908" s="88"/>
      <c r="G908" s="316" t="s">
        <v>224</v>
      </c>
      <c r="H908" s="317"/>
      <c r="I908" s="28">
        <f>SUM(E919:E943)</f>
        <v>12</v>
      </c>
      <c r="J908" s="318" t="s">
        <v>225</v>
      </c>
      <c r="K908" s="319"/>
      <c r="L908" s="306"/>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6" t="s">
        <v>226</v>
      </c>
      <c r="AA908" s="297"/>
      <c r="AB908" s="298"/>
      <c r="AC908" s="25"/>
      <c r="AD908" s="25"/>
      <c r="AH908" s="109">
        <v>2</v>
      </c>
      <c r="AI908" s="109" t="str">
        <f>IF($E909="SS",COUNTIFS($C919:$C943,"FST",$E919:$E943,"2"),"0")</f>
        <v>0</v>
      </c>
      <c r="AJ908" s="109">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1</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RPX</v>
      </c>
      <c r="F909" s="88"/>
      <c r="G909" s="305" t="s">
        <v>230</v>
      </c>
      <c r="H909" s="306"/>
      <c r="I909" s="33">
        <f>E910-I908</f>
        <v>12</v>
      </c>
      <c r="J909" s="290" t="s">
        <v>231</v>
      </c>
      <c r="K909" s="291"/>
      <c r="L909" s="34">
        <f>I913</f>
        <v>481</v>
      </c>
      <c r="M909" s="196">
        <v>4</v>
      </c>
      <c r="N909" s="35">
        <f>SUM(AI909,AI920)</f>
        <v>0</v>
      </c>
      <c r="O909" s="35">
        <v>0</v>
      </c>
      <c r="P909" s="35">
        <f>SUM(AJ909,AJ920)</f>
        <v>1</v>
      </c>
      <c r="Q909" s="35">
        <v>0</v>
      </c>
      <c r="R909" s="35">
        <f>COUNTIFS($E919:$E943,"4",$F919:$F943,"Pole",$C919:$C943,"FST")</f>
        <v>1</v>
      </c>
      <c r="S909" s="35">
        <f>SUM(AL909,AK920)</f>
        <v>0</v>
      </c>
      <c r="T909" s="35">
        <v>0</v>
      </c>
      <c r="U909" s="35">
        <f>SUM(AK909,AL920)</f>
        <v>0</v>
      </c>
      <c r="V909" s="35">
        <v>0</v>
      </c>
      <c r="W909" s="34">
        <f>COUNTIFS($E919:$E943,"4",$F919:$F943,"HH",$C919:$C943,"FST")</f>
        <v>0</v>
      </c>
      <c r="X909" s="35">
        <f>COUNTIFS($E919:$E943,"4",$F919:$F943,"Ped",$C919:$C943,"FST")</f>
        <v>0</v>
      </c>
      <c r="Y909" s="25"/>
      <c r="Z909" s="299" t="s">
        <v>232</v>
      </c>
      <c r="AA909" s="301" t="s">
        <v>233</v>
      </c>
      <c r="AB909" s="302"/>
      <c r="AC909" s="25"/>
      <c r="AD909" s="25"/>
      <c r="AH909" s="109">
        <v>4</v>
      </c>
      <c r="AI909" s="109" t="str">
        <f>IF($E909="SS",COUNTIFS($C919:$C943,"FST",$E919:$E943,"4"),"0")</f>
        <v>0</v>
      </c>
      <c r="AJ909" s="109">
        <f>IF($E909="RPX",COUNTIFS($C919:$C943,"FST",$E919:$E943,"4"),"0")</f>
        <v>1</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24</v>
      </c>
      <c r="F910" s="88"/>
      <c r="G910" s="292" t="s">
        <v>237</v>
      </c>
      <c r="H910" s="293"/>
      <c r="I910" s="35">
        <f>IF(E910=0,0,12-(MOD(I908,12)))</f>
        <v>12</v>
      </c>
      <c r="J910" s="290" t="s">
        <v>238</v>
      </c>
      <c r="K910" s="291"/>
      <c r="L910" s="39">
        <f>I914-I908</f>
        <v>480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0"/>
      <c r="AA910" s="303"/>
      <c r="AB910" s="304"/>
      <c r="AC910" s="25"/>
      <c r="AD910" s="25"/>
      <c r="AH910" s="109">
        <v>6</v>
      </c>
      <c r="AI910" s="109" t="str">
        <f>IF($E909="SS",COUNTIFS($C919:$C943,"FST",$E919:$E943,"6"),"0")</f>
        <v>0</v>
      </c>
      <c r="AJ910" s="109">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12</v>
      </c>
      <c r="F911" s="88"/>
      <c r="G911" s="322" t="s">
        <v>242</v>
      </c>
      <c r="H911" s="43" t="s">
        <v>243</v>
      </c>
      <c r="I911" s="35">
        <f>IF(E911&lt;&gt;0,1,0)</f>
        <v>1</v>
      </c>
      <c r="J911" s="292" t="s">
        <v>244</v>
      </c>
      <c r="K911" s="293"/>
      <c r="L911" s="44">
        <f>'Cable Calculator'!DJ3</f>
        <v>484</v>
      </c>
      <c r="M911" s="196">
        <v>8</v>
      </c>
      <c r="N911" s="35">
        <f>SUM(AI911,AI922)</f>
        <v>0</v>
      </c>
      <c r="O911" s="35">
        <v>0</v>
      </c>
      <c r="P911" s="35">
        <f>SUM(AJ911,AJ922)</f>
        <v>1</v>
      </c>
      <c r="Q911" s="35">
        <v>0</v>
      </c>
      <c r="R911" s="35">
        <f>COUNTIFS($E919:$E943,"8",$F919:$F943,"Pole",$C919:$C943,"FST")</f>
        <v>1</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f>IF($E909="RPX",COUNTIFS($C919:$C943,"FST",$E919:$E943,"8"),"0")</f>
        <v>1</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481</v>
      </c>
      <c r="F912" s="88"/>
      <c r="G912" s="323"/>
      <c r="H912" s="47" t="s">
        <v>248</v>
      </c>
      <c r="I912" s="35">
        <f>IF(E911&lt;&gt;0,E911,0)</f>
        <v>12</v>
      </c>
      <c r="J912" s="194"/>
      <c r="K912" s="195"/>
      <c r="L912" s="48"/>
      <c r="M912" s="196">
        <v>12</v>
      </c>
      <c r="N912" s="35" t="str">
        <f>IF($E909="SS",SUM(AI912,AJ923,AM944,AO944,AQ944),"0")</f>
        <v>0</v>
      </c>
      <c r="O912" s="35" t="str">
        <f>IF($E909="SS",SUM(AN944,AP944,AR944),"0")</f>
        <v>0</v>
      </c>
      <c r="P912" s="35">
        <f>IF($E909="RPX",SUM(AJ912,AJ923,AM944,AO944,AQ944),"0")</f>
        <v>0</v>
      </c>
      <c r="Q912" s="35">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2</v>
      </c>
      <c r="F913" s="88"/>
      <c r="G913" s="322" t="s">
        <v>251</v>
      </c>
      <c r="H913" s="51" t="s">
        <v>252</v>
      </c>
      <c r="I913" s="112">
        <f>E912</f>
        <v>481</v>
      </c>
      <c r="J913" s="324" t="s">
        <v>253</v>
      </c>
      <c r="K913" s="325"/>
      <c r="L913" s="326"/>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Y</v>
      </c>
      <c r="F914" s="88"/>
      <c r="G914" s="323"/>
      <c r="H914" s="47" t="s">
        <v>257</v>
      </c>
      <c r="I914" s="35">
        <f>IF(E912="","0",IF(AND(E909="EUC",E910=432), I913+(203-E911),IF(E912=0,0,(E912+(E910-E911)-1))))</f>
        <v>492</v>
      </c>
      <c r="J914" s="287" t="str">
        <f>IFERROR(IF(OR(E909="EUC",E909="SS"),"---",IF(OR(P908,S908),"NO 2F Tethers for RPX!",IF(OR(P910,S910),"NO 6F Tethers for RPX!","---"))),"---")</f>
        <v>---</v>
      </c>
      <c r="K914" s="288"/>
      <c r="L914" s="289"/>
      <c r="M914" s="287" t="str">
        <f>IF(E911&gt;60,"Dead Count &gt;60: Consider Downsize","---")</f>
        <v>---</v>
      </c>
      <c r="N914" s="288"/>
      <c r="O914" s="288"/>
      <c r="P914" s="288"/>
      <c r="Q914" s="288"/>
      <c r="R914" s="288"/>
      <c r="S914" s="288"/>
      <c r="T914" s="288"/>
      <c r="U914" s="289"/>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12</v>
      </c>
      <c r="D915" s="31" t="s">
        <v>259</v>
      </c>
      <c r="E915" s="101" t="str">
        <f>IF(AS909="Y","DBL",IF(AS910="Y","TRPL",IF(AS911="Y","QUAD","")))</f>
        <v/>
      </c>
      <c r="F915" s="88"/>
      <c r="G915" s="192"/>
      <c r="H915" s="57"/>
      <c r="I915" s="192"/>
      <c r="J915" s="287"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8"/>
      <c r="L915" s="289"/>
      <c r="M915" s="287" t="str">
        <f>IF(AND(OR(E909="SS",E909="RPX",E909="EUC",E909="RPX-T"),(OR(C919="",C919="Field SPL"))),"Cannot have FlexNap cables without tethers","---")</f>
        <v>---</v>
      </c>
      <c r="N915" s="288"/>
      <c r="O915" s="288"/>
      <c r="P915" s="288"/>
      <c r="Q915" s="288"/>
      <c r="R915" s="288"/>
      <c r="S915" s="288"/>
      <c r="T915" s="288"/>
      <c r="U915" s="289"/>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7" t="str">
        <f>IF(AND(OR(E909="RPX", E909="RPX-T", E909="SS"),E910=216),"NO 216 For RPX, RPX-T, OR SS CABLE","---")</f>
        <v>---</v>
      </c>
      <c r="K916" s="288"/>
      <c r="L916" s="289"/>
      <c r="M916" s="287" t="str" cm="1">
        <f t="array" ref="M916">IF(AND(E909="",OR(C919:C943="FST",C919:C943="REV T",C919:C943="DBL REV",C919:C943="TPL REV", C919:C943="QD REV")),"Non-FlexNap cables cannot have tethers","---")</f>
        <v>---</v>
      </c>
      <c r="N916" s="288"/>
      <c r="O916" s="288"/>
      <c r="P916" s="288"/>
      <c r="Q916" s="288"/>
      <c r="R916" s="288"/>
      <c r="S916" s="288"/>
      <c r="T916" s="288"/>
      <c r="U916" s="289"/>
      <c r="V916" s="25"/>
      <c r="W916" s="58"/>
      <c r="X916" s="58"/>
      <c r="Y916" s="25"/>
      <c r="Z916" s="45">
        <v>6</v>
      </c>
      <c r="AA916" s="65">
        <v>61</v>
      </c>
      <c r="AB916" s="65">
        <v>72</v>
      </c>
      <c r="AC916" s="25"/>
      <c r="AD916" s="25"/>
      <c r="BA916" s="226"/>
    </row>
    <row r="917" spans="1:53" ht="15.75" customHeight="1" thickBot="1" x14ac:dyDescent="0.3">
      <c r="A917" s="88"/>
      <c r="B917" s="322" t="s">
        <v>260</v>
      </c>
      <c r="C917" s="294" t="s">
        <v>261</v>
      </c>
      <c r="D917" s="294" t="s">
        <v>262</v>
      </c>
      <c r="E917" s="307" t="s">
        <v>263</v>
      </c>
      <c r="F917" s="294" t="s">
        <v>264</v>
      </c>
      <c r="G917" s="309" t="s">
        <v>265</v>
      </c>
      <c r="H917" s="309" t="s">
        <v>266</v>
      </c>
      <c r="I917" s="309" t="s">
        <v>267</v>
      </c>
      <c r="J917" s="311" t="s">
        <v>268</v>
      </c>
      <c r="K917" s="294" t="s">
        <v>269</v>
      </c>
      <c r="L917" s="281" t="s">
        <v>270</v>
      </c>
      <c r="M917" s="283" t="s">
        <v>271</v>
      </c>
      <c r="N917" s="283"/>
      <c r="O917" s="283"/>
      <c r="P917" s="283"/>
      <c r="Q917" s="283"/>
      <c r="R917" s="283"/>
      <c r="S917" s="283"/>
      <c r="T917" s="283"/>
      <c r="U917" s="284"/>
      <c r="V917" s="107"/>
      <c r="W917" s="72"/>
      <c r="X917" s="72"/>
      <c r="Y917" s="72"/>
      <c r="Z917" s="45">
        <v>7</v>
      </c>
      <c r="AA917" s="65">
        <v>73</v>
      </c>
      <c r="AB917" s="65">
        <v>84</v>
      </c>
      <c r="AC917" s="25"/>
      <c r="AD917" s="25"/>
      <c r="BA917" s="228"/>
    </row>
    <row r="918" spans="1:53" ht="15.75" thickBot="1" x14ac:dyDescent="0.3">
      <c r="A918" s="88"/>
      <c r="B918" s="323"/>
      <c r="C918" s="295"/>
      <c r="D918" s="295"/>
      <c r="E918" s="308"/>
      <c r="F918" s="295"/>
      <c r="G918" s="310"/>
      <c r="H918" s="310"/>
      <c r="I918" s="310"/>
      <c r="J918" s="312"/>
      <c r="K918" s="295"/>
      <c r="L918" s="282"/>
      <c r="M918" s="285"/>
      <c r="N918" s="285"/>
      <c r="O918" s="285"/>
      <c r="P918" s="285"/>
      <c r="Q918" s="285"/>
      <c r="R918" s="285"/>
      <c r="S918" s="285"/>
      <c r="T918" s="285"/>
      <c r="U918" s="286"/>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484</v>
      </c>
      <c r="D919" s="102" t="s">
        <v>807</v>
      </c>
      <c r="E919" s="32">
        <v>4</v>
      </c>
      <c r="F919" s="32" t="s">
        <v>483</v>
      </c>
      <c r="G919" s="68" t="s">
        <v>277</v>
      </c>
      <c r="H919" s="69">
        <f>IF(I919=0,0,I919-(E919-1))</f>
        <v>489</v>
      </c>
      <c r="I919" s="70">
        <f>IF(E919=0,0,I914)</f>
        <v>492</v>
      </c>
      <c r="J919" s="71" t="s">
        <v>278</v>
      </c>
      <c r="K919" s="32"/>
      <c r="L919" s="233"/>
      <c r="M919" s="279"/>
      <c r="N919" s="279"/>
      <c r="O919" s="279"/>
      <c r="P919" s="279"/>
      <c r="Q919" s="279"/>
      <c r="R919" s="279"/>
      <c r="S919" s="279"/>
      <c r="T919" s="279"/>
      <c r="U919" s="280"/>
      <c r="V919" s="103"/>
      <c r="W919" s="72"/>
      <c r="X919" s="72"/>
      <c r="Y919" s="72"/>
      <c r="Z919" s="45">
        <v>9</v>
      </c>
      <c r="AA919" s="46">
        <v>97</v>
      </c>
      <c r="AB919" s="46">
        <v>108</v>
      </c>
      <c r="AC919" s="72">
        <f t="shared" ref="AC919:AC943" si="374">IF(B919&lt;&gt;"FST",1,0)</f>
        <v>1</v>
      </c>
      <c r="AD919" s="72">
        <f t="shared" ref="AD919:AD943" si="375">IF(C919&lt;&gt;"FST",1,0)</f>
        <v>0</v>
      </c>
      <c r="AE919" s="109" t="str">
        <f t="shared" ref="AE919:AE943" si="376">CONCATENATE(H919,"-",I919)</f>
        <v>489-492</v>
      </c>
      <c r="AF919" s="109" t="str">
        <f t="shared" ref="AF919:AF943" si="377">IF(C919="Field SPL","N","Y")</f>
        <v>Y</v>
      </c>
      <c r="AG919" s="109" t="str">
        <f t="shared" ref="AG919:AG943" si="378">IF(OR(E$909="RPX",E$909="SS"),"A","B")</f>
        <v>A</v>
      </c>
      <c r="AH919" s="109">
        <v>2</v>
      </c>
      <c r="AI919" s="109" t="str">
        <f>IF(E909="SS",COUNTIFS(C919:C943,"TCF",E919:E943,"2"),"")</f>
        <v/>
      </c>
      <c r="AJ919" s="109">
        <f>IF(E909="RPX",COUNTIFS(C919:C943,"TCF",E919:E943,"2"),"")</f>
        <v>0</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4</v>
      </c>
    </row>
    <row r="920" spans="1:53" ht="15.75" thickBot="1" x14ac:dyDescent="0.3">
      <c r="A920" s="88"/>
      <c r="B920" s="66" t="s">
        <v>279</v>
      </c>
      <c r="C920" s="67" t="s">
        <v>484</v>
      </c>
      <c r="D920" s="102" t="s">
        <v>808</v>
      </c>
      <c r="E920" s="32">
        <v>8</v>
      </c>
      <c r="F920" s="32" t="s">
        <v>483</v>
      </c>
      <c r="G920" s="68" t="s">
        <v>277</v>
      </c>
      <c r="H920" s="69">
        <f t="shared" ref="H920:H943" si="383">IF(E920=0,0,I920-(E920-1))</f>
        <v>481</v>
      </c>
      <c r="I920" s="70">
        <f t="shared" ref="I920:I943" si="384">IF(E920=0,0,H919-1)</f>
        <v>488</v>
      </c>
      <c r="J920" s="73" t="str">
        <f>IF(C920="","--",IF(AND(C920&lt;&gt;"FST",C920&lt;&gt;"TCF",BA919&lt;&gt;0),BA919,"--"))</f>
        <v>--</v>
      </c>
      <c r="K920" s="32"/>
      <c r="L920" s="233"/>
      <c r="M920" s="279"/>
      <c r="N920" s="279"/>
      <c r="O920" s="279"/>
      <c r="P920" s="279"/>
      <c r="Q920" s="279"/>
      <c r="R920" s="279"/>
      <c r="S920" s="279"/>
      <c r="T920" s="279"/>
      <c r="U920" s="280"/>
      <c r="V920" s="103"/>
      <c r="W920" s="72"/>
      <c r="X920" s="72"/>
      <c r="Y920" s="72"/>
      <c r="Z920" s="45">
        <v>10</v>
      </c>
      <c r="AA920" s="46">
        <v>109</v>
      </c>
      <c r="AB920" s="46">
        <v>120</v>
      </c>
      <c r="AC920" s="72">
        <f t="shared" si="374"/>
        <v>1</v>
      </c>
      <c r="AD920" s="72">
        <f t="shared" si="375"/>
        <v>0</v>
      </c>
      <c r="AE920" s="109" t="str">
        <f t="shared" si="376"/>
        <v>481-488</v>
      </c>
      <c r="AF920" s="109" t="str">
        <f t="shared" si="377"/>
        <v>Y</v>
      </c>
      <c r="AG920" s="109" t="str">
        <f t="shared" si="378"/>
        <v>A</v>
      </c>
      <c r="AH920" s="109">
        <v>4</v>
      </c>
      <c r="AI920" s="109" t="str">
        <f>IF(E909="SS",COUNTIFS(C919:C943,"TCF",E919:E943,"4"),"")</f>
        <v/>
      </c>
      <c r="AJ920" s="109">
        <f>IF(E909="RPX",COUNTIFS(C919:C943,"TCF",E919:E943,"4"),"")</f>
        <v>0</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79"/>
      <c r="N921" s="279"/>
      <c r="O921" s="279"/>
      <c r="P921" s="279"/>
      <c r="Q921" s="279"/>
      <c r="R921" s="279"/>
      <c r="S921" s="279"/>
      <c r="T921" s="279"/>
      <c r="U921" s="280"/>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A</v>
      </c>
      <c r="AH921" s="109">
        <v>6</v>
      </c>
      <c r="AI921" s="109" t="str">
        <f>IF(E909="SS",COUNTIFS(C919:C943,"TCF",E919:E943,"6"),"")</f>
        <v/>
      </c>
      <c r="AJ921" s="109">
        <f>IF(E909="RPX",COUNTIFS(C919:C943,"TCF",E919:E943,"6"),"")</f>
        <v>0</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79"/>
      <c r="N922" s="279"/>
      <c r="O922" s="279"/>
      <c r="P922" s="279"/>
      <c r="Q922" s="279"/>
      <c r="R922" s="279"/>
      <c r="S922" s="279"/>
      <c r="T922" s="279"/>
      <c r="U922" s="280"/>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A</v>
      </c>
      <c r="AH922" s="109">
        <v>8</v>
      </c>
      <c r="AI922" s="109" t="str">
        <f>IF(E909="SS",COUNTIFS(C919:C943,"TCF",E919:E943,"8"),"")</f>
        <v/>
      </c>
      <c r="AJ922" s="109">
        <f>IF(E909="RPX",COUNTIFS(C919:C943,"TCF",E919:E943,"8"),"")</f>
        <v>0</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79"/>
      <c r="N923" s="279"/>
      <c r="O923" s="279"/>
      <c r="P923" s="279"/>
      <c r="Q923" s="279"/>
      <c r="R923" s="279"/>
      <c r="S923" s="279"/>
      <c r="T923" s="279"/>
      <c r="U923" s="280"/>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A</v>
      </c>
      <c r="AH923" s="109">
        <v>12</v>
      </c>
      <c r="AI923" s="109" t="str">
        <f>IF(E909="SS",COUNTIFS(C919:C943,"TCF",E919:E943,"12"),"")</f>
        <v/>
      </c>
      <c r="AJ923" s="109">
        <f>IF(E909="RPX",COUNTIFS(C919:C943,"TCF",E919:E943,"12"),"")</f>
        <v>0</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79"/>
      <c r="N924" s="279"/>
      <c r="O924" s="279"/>
      <c r="P924" s="279"/>
      <c r="Q924" s="279"/>
      <c r="R924" s="279"/>
      <c r="S924" s="279"/>
      <c r="T924" s="279"/>
      <c r="U924" s="280"/>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A</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79"/>
      <c r="N925" s="279"/>
      <c r="O925" s="279"/>
      <c r="P925" s="279"/>
      <c r="Q925" s="279"/>
      <c r="R925" s="279"/>
      <c r="S925" s="279"/>
      <c r="T925" s="279"/>
      <c r="U925" s="280"/>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A</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79"/>
      <c r="N926" s="279"/>
      <c r="O926" s="279"/>
      <c r="P926" s="279"/>
      <c r="Q926" s="279"/>
      <c r="R926" s="279"/>
      <c r="S926" s="279"/>
      <c r="T926" s="279"/>
      <c r="U926" s="280"/>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A</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79"/>
      <c r="N927" s="279"/>
      <c r="O927" s="279"/>
      <c r="P927" s="279"/>
      <c r="Q927" s="279"/>
      <c r="R927" s="279"/>
      <c r="S927" s="279"/>
      <c r="T927" s="279"/>
      <c r="U927" s="280"/>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A</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79"/>
      <c r="N928" s="279"/>
      <c r="O928" s="279"/>
      <c r="P928" s="279"/>
      <c r="Q928" s="279"/>
      <c r="R928" s="279"/>
      <c r="S928" s="279"/>
      <c r="T928" s="279"/>
      <c r="U928" s="280"/>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A</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9"/>
      <c r="N929" s="279"/>
      <c r="O929" s="279"/>
      <c r="P929" s="279"/>
      <c r="Q929" s="279"/>
      <c r="R929" s="279"/>
      <c r="S929" s="279"/>
      <c r="T929" s="279"/>
      <c r="U929" s="280"/>
      <c r="V929" s="103"/>
      <c r="W929" s="84"/>
      <c r="X929" s="84"/>
      <c r="Y929" s="72"/>
      <c r="Z929" s="72"/>
      <c r="AA929" s="72"/>
      <c r="AB929" s="72"/>
      <c r="AC929" s="72">
        <f t="shared" si="374"/>
        <v>1</v>
      </c>
      <c r="AD929" s="72">
        <f t="shared" si="375"/>
        <v>1</v>
      </c>
      <c r="AE929" s="109" t="str">
        <f t="shared" si="376"/>
        <v>0-0</v>
      </c>
      <c r="AF929" s="109" t="str">
        <f t="shared" si="377"/>
        <v>Y</v>
      </c>
      <c r="AG929" s="109" t="str">
        <f t="shared" si="378"/>
        <v>A</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9"/>
      <c r="N930" s="279"/>
      <c r="O930" s="279"/>
      <c r="P930" s="279"/>
      <c r="Q930" s="279"/>
      <c r="R930" s="279"/>
      <c r="S930" s="279"/>
      <c r="T930" s="279"/>
      <c r="U930" s="280"/>
      <c r="V930" s="103"/>
      <c r="W930" s="84">
        <f>Y930+1</f>
        <v>13</v>
      </c>
      <c r="X930" s="84"/>
      <c r="Y930" s="78">
        <f>SUM(E919:E930)</f>
        <v>12</v>
      </c>
      <c r="Z930" s="72"/>
      <c r="AA930" s="72"/>
      <c r="AB930" s="72"/>
      <c r="AC930" s="72">
        <f t="shared" si="374"/>
        <v>1</v>
      </c>
      <c r="AD930" s="72">
        <f t="shared" si="375"/>
        <v>1</v>
      </c>
      <c r="AE930" s="109" t="str">
        <f t="shared" si="376"/>
        <v>0-0</v>
      </c>
      <c r="AF930" s="109" t="str">
        <f t="shared" si="377"/>
        <v>Y</v>
      </c>
      <c r="AG930" s="109" t="str">
        <f t="shared" si="378"/>
        <v>A</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9"/>
      <c r="N931" s="279"/>
      <c r="O931" s="279"/>
      <c r="P931" s="279"/>
      <c r="Q931" s="279"/>
      <c r="R931" s="279"/>
      <c r="S931" s="279"/>
      <c r="T931" s="279"/>
      <c r="U931" s="280"/>
      <c r="V931" s="103"/>
      <c r="W931" s="84">
        <f>Y931+1</f>
        <v>13</v>
      </c>
      <c r="X931" s="84"/>
      <c r="Y931" s="78">
        <f>SUM(E919:E931)</f>
        <v>12</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A</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9"/>
      <c r="N932" s="279"/>
      <c r="O932" s="279"/>
      <c r="P932" s="279"/>
      <c r="Q932" s="279"/>
      <c r="R932" s="279"/>
      <c r="S932" s="279"/>
      <c r="T932" s="279"/>
      <c r="U932" s="280"/>
      <c r="V932" s="103"/>
      <c r="W932" s="84">
        <f>Y932+1</f>
        <v>13</v>
      </c>
      <c r="X932" s="84"/>
      <c r="Y932" s="78">
        <f>SUM(E919:E932)</f>
        <v>12</v>
      </c>
      <c r="Z932" s="72" t="str">
        <f t="shared" si="388"/>
        <v/>
      </c>
      <c r="AA932" s="72"/>
      <c r="AB932" s="72"/>
      <c r="AC932" s="72">
        <f t="shared" si="374"/>
        <v>1</v>
      </c>
      <c r="AD932" s="72">
        <f t="shared" si="375"/>
        <v>1</v>
      </c>
      <c r="AE932" s="109" t="str">
        <f t="shared" si="376"/>
        <v>0-0</v>
      </c>
      <c r="AF932" s="109" t="str">
        <f t="shared" si="377"/>
        <v>Y</v>
      </c>
      <c r="AG932" s="109" t="str">
        <f t="shared" si="378"/>
        <v>A</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9"/>
      <c r="N933" s="279"/>
      <c r="O933" s="279"/>
      <c r="P933" s="279"/>
      <c r="Q933" s="279"/>
      <c r="R933" s="279"/>
      <c r="S933" s="279"/>
      <c r="T933" s="279"/>
      <c r="U933" s="280"/>
      <c r="V933" s="103"/>
      <c r="W933" s="84">
        <f>Y933+1</f>
        <v>13</v>
      </c>
      <c r="X933" s="84"/>
      <c r="Y933" s="78">
        <f>SUM(E919:E933)</f>
        <v>12</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A</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9"/>
      <c r="N934" s="279"/>
      <c r="O934" s="279"/>
      <c r="P934" s="279"/>
      <c r="Q934" s="279"/>
      <c r="R934" s="279"/>
      <c r="S934" s="279"/>
      <c r="T934" s="279"/>
      <c r="U934" s="280"/>
      <c r="V934" s="103"/>
      <c r="W934" s="84">
        <f t="shared" ref="W934:W942" si="390">Y934+1</f>
        <v>13</v>
      </c>
      <c r="X934" s="84"/>
      <c r="Y934" s="78">
        <f>SUM(E919:E934)</f>
        <v>12</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A</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9"/>
      <c r="N935" s="279"/>
      <c r="O935" s="279"/>
      <c r="P935" s="279"/>
      <c r="Q935" s="279"/>
      <c r="R935" s="279"/>
      <c r="S935" s="279"/>
      <c r="T935" s="279"/>
      <c r="U935" s="280"/>
      <c r="V935" s="103"/>
      <c r="W935" s="84">
        <f t="shared" si="390"/>
        <v>13</v>
      </c>
      <c r="X935" s="84"/>
      <c r="Y935" s="78">
        <f>SUM(E919:E935)</f>
        <v>12</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A</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9"/>
      <c r="N936" s="279"/>
      <c r="O936" s="279"/>
      <c r="P936" s="279"/>
      <c r="Q936" s="279"/>
      <c r="R936" s="279"/>
      <c r="S936" s="279"/>
      <c r="T936" s="279"/>
      <c r="U936" s="280"/>
      <c r="V936" s="103"/>
      <c r="W936" s="84">
        <f t="shared" si="390"/>
        <v>13</v>
      </c>
      <c r="X936" s="84"/>
      <c r="Y936" s="78">
        <f>SUM(E919:E936)</f>
        <v>12</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A</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9"/>
      <c r="N937" s="279"/>
      <c r="O937" s="279"/>
      <c r="P937" s="279"/>
      <c r="Q937" s="279"/>
      <c r="R937" s="279"/>
      <c r="S937" s="279"/>
      <c r="T937" s="279"/>
      <c r="U937" s="280"/>
      <c r="V937" s="103"/>
      <c r="W937" s="84">
        <f t="shared" si="390"/>
        <v>13</v>
      </c>
      <c r="X937" s="84"/>
      <c r="Y937" s="78">
        <f>SUM(E919:E937)</f>
        <v>12</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A</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9"/>
      <c r="N938" s="279"/>
      <c r="O938" s="279"/>
      <c r="P938" s="279"/>
      <c r="Q938" s="279"/>
      <c r="R938" s="279"/>
      <c r="S938" s="279"/>
      <c r="T938" s="279"/>
      <c r="U938" s="280"/>
      <c r="V938" s="103"/>
      <c r="W938" s="84">
        <f t="shared" si="390"/>
        <v>13</v>
      </c>
      <c r="X938" s="84"/>
      <c r="Y938" s="78">
        <f>SUM(E919:E938)</f>
        <v>12</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A</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9"/>
      <c r="N939" s="279"/>
      <c r="O939" s="279"/>
      <c r="P939" s="279"/>
      <c r="Q939" s="279"/>
      <c r="R939" s="279"/>
      <c r="S939" s="279"/>
      <c r="T939" s="279"/>
      <c r="U939" s="280"/>
      <c r="V939" s="103"/>
      <c r="W939" s="84">
        <f t="shared" si="390"/>
        <v>13</v>
      </c>
      <c r="X939" s="84"/>
      <c r="Y939" s="78">
        <f>SUM(E919:E939)</f>
        <v>12</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A</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9"/>
      <c r="N940" s="279"/>
      <c r="O940" s="279"/>
      <c r="P940" s="279"/>
      <c r="Q940" s="279"/>
      <c r="R940" s="279"/>
      <c r="S940" s="279"/>
      <c r="T940" s="279"/>
      <c r="U940" s="280"/>
      <c r="V940" s="103"/>
      <c r="W940" s="84">
        <f t="shared" si="390"/>
        <v>13</v>
      </c>
      <c r="X940" s="84"/>
      <c r="Y940" s="78">
        <f>SUM(E919:E940)</f>
        <v>12</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A</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9"/>
      <c r="N941" s="279"/>
      <c r="O941" s="279"/>
      <c r="P941" s="279"/>
      <c r="Q941" s="279"/>
      <c r="R941" s="279"/>
      <c r="S941" s="279"/>
      <c r="T941" s="279"/>
      <c r="U941" s="280"/>
      <c r="V941" s="103"/>
      <c r="W941" s="84">
        <f t="shared" si="390"/>
        <v>13</v>
      </c>
      <c r="X941" s="84"/>
      <c r="Y941" s="78">
        <f>SUM(E919:E941)</f>
        <v>12</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A</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9"/>
      <c r="N942" s="279"/>
      <c r="O942" s="279"/>
      <c r="P942" s="279"/>
      <c r="Q942" s="279"/>
      <c r="R942" s="279"/>
      <c r="S942" s="279"/>
      <c r="T942" s="279"/>
      <c r="U942" s="280"/>
      <c r="V942" s="103"/>
      <c r="W942" s="84">
        <f t="shared" si="390"/>
        <v>13</v>
      </c>
      <c r="X942" s="84"/>
      <c r="Y942" s="78">
        <f>SUM(E919:E942)</f>
        <v>12</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A</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9"/>
      <c r="N943" s="279"/>
      <c r="O943" s="279"/>
      <c r="P943" s="279"/>
      <c r="Q943" s="279"/>
      <c r="R943" s="279"/>
      <c r="S943" s="279"/>
      <c r="T943" s="279"/>
      <c r="U943" s="280"/>
      <c r="V943" s="103"/>
      <c r="W943" s="72"/>
      <c r="X943" s="72"/>
      <c r="Y943" s="78">
        <f>SUM(E919:E943)</f>
        <v>12</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A</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23</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3" t="s">
        <v>222</v>
      </c>
      <c r="C949" s="314"/>
      <c r="D949" s="315" t="s">
        <v>223</v>
      </c>
      <c r="E949" s="306"/>
      <c r="F949" s="88"/>
      <c r="G949" s="316" t="s">
        <v>224</v>
      </c>
      <c r="H949" s="317"/>
      <c r="I949" s="28">
        <f>SUM(E960:E984)</f>
        <v>12</v>
      </c>
      <c r="J949" s="318" t="s">
        <v>225</v>
      </c>
      <c r="K949" s="319"/>
      <c r="L949" s="306"/>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6" t="s">
        <v>226</v>
      </c>
      <c r="AA949" s="297"/>
      <c r="AB949" s="298"/>
      <c r="AC949" s="25"/>
      <c r="AD949" s="25"/>
      <c r="AH949" s="109">
        <v>2</v>
      </c>
      <c r="AI949" s="109" t="str">
        <f>IF($E950="SS",COUNTIFS($C960:$C984,"FST",$E960:$E984,"2"),"0")</f>
        <v>0</v>
      </c>
      <c r="AJ949" s="109">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1</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RPX</v>
      </c>
      <c r="F950" s="88"/>
      <c r="G950" s="305" t="s">
        <v>230</v>
      </c>
      <c r="H950" s="306"/>
      <c r="I950" s="33">
        <f>E951-I949</f>
        <v>12</v>
      </c>
      <c r="J950" s="290" t="s">
        <v>231</v>
      </c>
      <c r="K950" s="291"/>
      <c r="L950" s="34">
        <f>I954</f>
        <v>469</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9" t="s">
        <v>232</v>
      </c>
      <c r="AA950" s="301" t="s">
        <v>233</v>
      </c>
      <c r="AB950" s="302"/>
      <c r="AC950" s="25"/>
      <c r="AD950" s="25"/>
      <c r="AH950" s="109">
        <v>4</v>
      </c>
      <c r="AI950" s="109" t="str">
        <f>IF($E950="SS",COUNTIFS($C960:$C984,"FST",$E960:$E984,"4"),"0")</f>
        <v>0</v>
      </c>
      <c r="AJ950" s="109">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24</v>
      </c>
      <c r="F951" s="88"/>
      <c r="G951" s="292" t="s">
        <v>237</v>
      </c>
      <c r="H951" s="293"/>
      <c r="I951" s="35">
        <f>IF(E951=0,0,12-(MOD(I949,12)))</f>
        <v>12</v>
      </c>
      <c r="J951" s="290" t="s">
        <v>238</v>
      </c>
      <c r="K951" s="291"/>
      <c r="L951" s="39">
        <f>I955-I949</f>
        <v>468</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0"/>
      <c r="AA951" s="303"/>
      <c r="AB951" s="304"/>
      <c r="AC951" s="25"/>
      <c r="AD951" s="25"/>
      <c r="AH951" s="109">
        <v>6</v>
      </c>
      <c r="AI951" s="109" t="str">
        <f>IF($E950="SS",COUNTIFS($C960:$C984,"FST",$E960:$E984,"6"),"0")</f>
        <v>0</v>
      </c>
      <c r="AJ951" s="109">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322" t="s">
        <v>242</v>
      </c>
      <c r="H952" s="43" t="s">
        <v>243</v>
      </c>
      <c r="I952" s="35">
        <f>IF(E952&lt;&gt;0,1,0)</f>
        <v>1</v>
      </c>
      <c r="J952" s="292" t="s">
        <v>244</v>
      </c>
      <c r="K952" s="293"/>
      <c r="L952" s="44">
        <f>'Cable Calculator'!DO3</f>
        <v>485</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469</v>
      </c>
      <c r="F953" s="88"/>
      <c r="G953" s="323"/>
      <c r="H953" s="47" t="s">
        <v>248</v>
      </c>
      <c r="I953" s="35">
        <f>IF(E952&lt;&gt;0,E952,0)</f>
        <v>12</v>
      </c>
      <c r="J953" s="194"/>
      <c r="K953" s="195"/>
      <c r="L953" s="48"/>
      <c r="M953" s="196">
        <v>12</v>
      </c>
      <c r="N953" s="35" t="str">
        <f>IF($E950="SS",SUM(AI953,AJ964,AM985,AO985,AQ985),"0")</f>
        <v>0</v>
      </c>
      <c r="O953" s="35" t="str">
        <f>IF($E950="SS",SUM(AN985,AP985,AR985),"0")</f>
        <v>0</v>
      </c>
      <c r="P953" s="35">
        <f>IF($E950="RPX",SUM(AJ953,AJ964,AM985,AO985,AQ985),"0")</f>
        <v>1</v>
      </c>
      <c r="Q953" s="35">
        <f>IF($E950="RPX",SUM(AN985,AP985,AR985),"0")</f>
        <v>0</v>
      </c>
      <c r="R953" s="35">
        <f>COUNTIFS($E960:$E984,"12",$F960:$F984,"Pole",$C960:$C984,"FST")</f>
        <v>1</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f>IF($E950="RPX",COUNTIFS($C960:$C984,"FST",$E960:$E984,"12"),"0")</f>
        <v>1</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2</v>
      </c>
      <c r="F954" s="88"/>
      <c r="G954" s="322" t="s">
        <v>251</v>
      </c>
      <c r="H954" s="51" t="s">
        <v>252</v>
      </c>
      <c r="I954" s="112">
        <f>E953</f>
        <v>469</v>
      </c>
      <c r="J954" s="324" t="s">
        <v>253</v>
      </c>
      <c r="K954" s="325"/>
      <c r="L954" s="326"/>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Y</v>
      </c>
      <c r="F955" s="88"/>
      <c r="G955" s="323"/>
      <c r="H955" s="47" t="s">
        <v>257</v>
      </c>
      <c r="I955" s="35">
        <f>IF(E953="","0",IF(AND(E950="EUC",E951=432), I954+(203-E952),IF(E953=0,0,(E953+(E951-E952)-1))))</f>
        <v>480</v>
      </c>
      <c r="J955" s="287" t="str">
        <f>IFERROR(IF(OR(E950="EUC",E950="SS"),"---",IF(OR(P949,S949),"NO 2F Tethers for RPX!",IF(OR(P951,S951),"NO 6F Tethers for RPX!","---"))),"---")</f>
        <v>---</v>
      </c>
      <c r="K955" s="288"/>
      <c r="L955" s="289"/>
      <c r="M955" s="287" t="str">
        <f>IF(E952&gt;60,"Dead Count &gt;60: Consider Downsize","---")</f>
        <v>---</v>
      </c>
      <c r="N955" s="288"/>
      <c r="O955" s="288"/>
      <c r="P955" s="288"/>
      <c r="Q955" s="288"/>
      <c r="R955" s="288"/>
      <c r="S955" s="288"/>
      <c r="T955" s="288"/>
      <c r="U955" s="289"/>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12</v>
      </c>
      <c r="D956" s="31" t="s">
        <v>259</v>
      </c>
      <c r="E956" s="101" t="str">
        <f>IF(AS950="Y","DBL",IF(AS951="Y","TRPL",IF(AS952="Y","QUAD","")))</f>
        <v/>
      </c>
      <c r="F956" s="88"/>
      <c r="G956" s="192"/>
      <c r="H956" s="57"/>
      <c r="I956" s="192"/>
      <c r="J956" s="287"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8"/>
      <c r="L956" s="289"/>
      <c r="M956" s="287" t="str">
        <f>IF(AND(OR(E950="SS",E950="RPX",E950="EUC",E950="RPX-T"),(OR(C960="",C960="Field SPL"))),"Cannot have FlexNap cables without tethers","---")</f>
        <v>---</v>
      </c>
      <c r="N956" s="288"/>
      <c r="O956" s="288"/>
      <c r="P956" s="288"/>
      <c r="Q956" s="288"/>
      <c r="R956" s="288"/>
      <c r="S956" s="288"/>
      <c r="T956" s="288"/>
      <c r="U956" s="289"/>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7" t="str">
        <f>IF(AND(OR(E950="RPX", E950="RPX-T", E950="SS"),E951=216),"NO 216 For RPX, RPX-T, OR SS CABLE","---")</f>
        <v>---</v>
      </c>
      <c r="K957" s="288"/>
      <c r="L957" s="289"/>
      <c r="M957" s="287" t="str" cm="1">
        <f t="array" ref="M957">IF(AND(E950="",OR(C960:C984="FST",C960:C984="REV T",C960:C984="DBL REV",C960:C984="TPL REV", C960:C984="QD REV")),"Non-FlexNap cables cannot have tethers","---")</f>
        <v>---</v>
      </c>
      <c r="N957" s="288"/>
      <c r="O957" s="288"/>
      <c r="P957" s="288"/>
      <c r="Q957" s="288"/>
      <c r="R957" s="288"/>
      <c r="S957" s="288"/>
      <c r="T957" s="288"/>
      <c r="U957" s="289"/>
      <c r="V957" s="25"/>
      <c r="W957" s="58"/>
      <c r="X957" s="58"/>
      <c r="Y957" s="25"/>
      <c r="Z957" s="45">
        <v>6</v>
      </c>
      <c r="AA957" s="65">
        <v>61</v>
      </c>
      <c r="AB957" s="65">
        <v>72</v>
      </c>
      <c r="AC957" s="25"/>
      <c r="AD957" s="25"/>
      <c r="BA957" s="226"/>
    </row>
    <row r="958" spans="1:53" ht="15.75" customHeight="1" thickBot="1" x14ac:dyDescent="0.3">
      <c r="A958" s="88"/>
      <c r="B958" s="322" t="s">
        <v>260</v>
      </c>
      <c r="C958" s="294" t="s">
        <v>261</v>
      </c>
      <c r="D958" s="294" t="s">
        <v>262</v>
      </c>
      <c r="E958" s="307" t="s">
        <v>263</v>
      </c>
      <c r="F958" s="294" t="s">
        <v>264</v>
      </c>
      <c r="G958" s="309" t="s">
        <v>265</v>
      </c>
      <c r="H958" s="309" t="s">
        <v>266</v>
      </c>
      <c r="I958" s="309" t="s">
        <v>267</v>
      </c>
      <c r="J958" s="311" t="s">
        <v>268</v>
      </c>
      <c r="K958" s="294" t="s">
        <v>269</v>
      </c>
      <c r="L958" s="281" t="s">
        <v>270</v>
      </c>
      <c r="M958" s="283" t="s">
        <v>271</v>
      </c>
      <c r="N958" s="283"/>
      <c r="O958" s="283"/>
      <c r="P958" s="283"/>
      <c r="Q958" s="283"/>
      <c r="R958" s="283"/>
      <c r="S958" s="283"/>
      <c r="T958" s="283"/>
      <c r="U958" s="284"/>
      <c r="V958" s="107"/>
      <c r="W958" s="72"/>
      <c r="X958" s="72"/>
      <c r="Y958" s="72"/>
      <c r="Z958" s="45">
        <v>7</v>
      </c>
      <c r="AA958" s="65">
        <v>73</v>
      </c>
      <c r="AB958" s="65">
        <v>84</v>
      </c>
      <c r="AC958" s="25"/>
      <c r="AD958" s="25"/>
      <c r="BA958" s="228"/>
    </row>
    <row r="959" spans="1:53" ht="15.75" thickBot="1" x14ac:dyDescent="0.3">
      <c r="A959" s="88"/>
      <c r="B959" s="323"/>
      <c r="C959" s="295"/>
      <c r="D959" s="295"/>
      <c r="E959" s="308"/>
      <c r="F959" s="295"/>
      <c r="G959" s="310"/>
      <c r="H959" s="310"/>
      <c r="I959" s="310"/>
      <c r="J959" s="312"/>
      <c r="K959" s="295"/>
      <c r="L959" s="282"/>
      <c r="M959" s="285"/>
      <c r="N959" s="285"/>
      <c r="O959" s="285"/>
      <c r="P959" s="285"/>
      <c r="Q959" s="285"/>
      <c r="R959" s="285"/>
      <c r="S959" s="285"/>
      <c r="T959" s="285"/>
      <c r="U959" s="286"/>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824</v>
      </c>
      <c r="E960" s="32">
        <v>12</v>
      </c>
      <c r="F960" s="32" t="s">
        <v>483</v>
      </c>
      <c r="G960" s="68" t="s">
        <v>277</v>
      </c>
      <c r="H960" s="69">
        <f>IF(I960=0,0,I960-(E960-1))</f>
        <v>469</v>
      </c>
      <c r="I960" s="70">
        <f>IF(E960=0,0,I955)</f>
        <v>480</v>
      </c>
      <c r="J960" s="71" t="s">
        <v>278</v>
      </c>
      <c r="K960" s="32"/>
      <c r="L960" s="233"/>
      <c r="M960" s="279"/>
      <c r="N960" s="279"/>
      <c r="O960" s="279"/>
      <c r="P960" s="279"/>
      <c r="Q960" s="279"/>
      <c r="R960" s="279"/>
      <c r="S960" s="279"/>
      <c r="T960" s="279"/>
      <c r="U960" s="280"/>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469-480</v>
      </c>
      <c r="AF960" s="109" t="str">
        <f t="shared" ref="AF960:AF984" si="394">IF(C960="Field SPL","N","Y")</f>
        <v>Y</v>
      </c>
      <c r="AG960" s="109" t="str">
        <f t="shared" ref="AG960:AG984" si="395">IF(OR(E$950="RPX",E$950="SS"),"A","B")</f>
        <v>A</v>
      </c>
      <c r="AH960" s="109">
        <v>2</v>
      </c>
      <c r="AI960" s="109" t="str">
        <f>IF(E950="SS",COUNTIFS(C960:C984,"TCF",E960:E984,"2"),"")</f>
        <v/>
      </c>
      <c r="AJ960" s="109">
        <f>IF(E950="RPX",COUNTIFS(C960:C984,"TCF",E960:E984,"2"),"")</f>
        <v>0</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79"/>
      <c r="N961" s="279"/>
      <c r="O961" s="279"/>
      <c r="P961" s="279"/>
      <c r="Q961" s="279"/>
      <c r="R961" s="279"/>
      <c r="S961" s="279"/>
      <c r="T961" s="279"/>
      <c r="U961" s="280"/>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A</v>
      </c>
      <c r="AH961" s="109">
        <v>4</v>
      </c>
      <c r="AI961" s="109" t="str">
        <f>IF(E950="SS",COUNTIFS(C960:C984,"TCF",E960:E984,"4"),"")</f>
        <v/>
      </c>
      <c r="AJ961" s="109">
        <f>IF(E950="RPX",COUNTIFS(C960:C984,"TCF",E960:E984,"4"),"")</f>
        <v>0</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79"/>
      <c r="N962" s="279"/>
      <c r="O962" s="279"/>
      <c r="P962" s="279"/>
      <c r="Q962" s="279"/>
      <c r="R962" s="279"/>
      <c r="S962" s="279"/>
      <c r="T962" s="279"/>
      <c r="U962" s="280"/>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A</v>
      </c>
      <c r="AH962" s="109">
        <v>6</v>
      </c>
      <c r="AI962" s="109" t="str">
        <f>IF(E950="SS",COUNTIFS(C960:C984,"TCF",E960:E984,"6"),"")</f>
        <v/>
      </c>
      <c r="AJ962" s="109">
        <f>IF(E950="RPX",COUNTIFS(C960:C984,"TCF",E960:E984,"6"),"")</f>
        <v>0</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79"/>
      <c r="N963" s="279"/>
      <c r="O963" s="279"/>
      <c r="P963" s="279"/>
      <c r="Q963" s="279"/>
      <c r="R963" s="279"/>
      <c r="S963" s="279"/>
      <c r="T963" s="279"/>
      <c r="U963" s="280"/>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A</v>
      </c>
      <c r="AH963" s="109">
        <v>8</v>
      </c>
      <c r="AI963" s="109" t="str">
        <f>IF(E950="SS",COUNTIFS(C960:C984,"TCF",E960:E984,"8"),"")</f>
        <v/>
      </c>
      <c r="AJ963" s="109">
        <f>IF(E950="RPX",COUNTIFS(C960:C984,"TCF",E960:E984,"8"),"")</f>
        <v>0</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79"/>
      <c r="N964" s="279"/>
      <c r="O964" s="279"/>
      <c r="P964" s="279"/>
      <c r="Q964" s="279"/>
      <c r="R964" s="279"/>
      <c r="S964" s="279"/>
      <c r="T964" s="279"/>
      <c r="U964" s="280"/>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A</v>
      </c>
      <c r="AH964" s="109">
        <v>12</v>
      </c>
      <c r="AI964" s="109" t="str">
        <f>IF(E950="SS",COUNTIFS(C960:C984,"TCF",E960:E984,"12"),"")</f>
        <v/>
      </c>
      <c r="AJ964" s="109">
        <f>IF(E950="RPX",COUNTIFS(C960:C984,"TCF",E960:E984,"12"),"")</f>
        <v>0</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79"/>
      <c r="N965" s="279"/>
      <c r="O965" s="279"/>
      <c r="P965" s="279"/>
      <c r="Q965" s="279"/>
      <c r="R965" s="279"/>
      <c r="S965" s="279"/>
      <c r="T965" s="279"/>
      <c r="U965" s="280"/>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A</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9"/>
      <c r="N966" s="279"/>
      <c r="O966" s="279"/>
      <c r="P966" s="279"/>
      <c r="Q966" s="279"/>
      <c r="R966" s="279"/>
      <c r="S966" s="279"/>
      <c r="T966" s="279"/>
      <c r="U966" s="280"/>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A</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9"/>
      <c r="N967" s="279"/>
      <c r="O967" s="279"/>
      <c r="P967" s="279"/>
      <c r="Q967" s="279"/>
      <c r="R967" s="279"/>
      <c r="S967" s="279"/>
      <c r="T967" s="279"/>
      <c r="U967" s="280"/>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A</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9"/>
      <c r="N968" s="279"/>
      <c r="O968" s="279"/>
      <c r="P968" s="279"/>
      <c r="Q968" s="279"/>
      <c r="R968" s="279"/>
      <c r="S968" s="279"/>
      <c r="T968" s="279"/>
      <c r="U968" s="280"/>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A</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9"/>
      <c r="N969" s="279"/>
      <c r="O969" s="279"/>
      <c r="P969" s="279"/>
      <c r="Q969" s="279"/>
      <c r="R969" s="279"/>
      <c r="S969" s="279"/>
      <c r="T969" s="279"/>
      <c r="U969" s="280"/>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A</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9"/>
      <c r="N970" s="279"/>
      <c r="O970" s="279"/>
      <c r="P970" s="279"/>
      <c r="Q970" s="279"/>
      <c r="R970" s="279"/>
      <c r="S970" s="279"/>
      <c r="T970" s="279"/>
      <c r="U970" s="280"/>
      <c r="V970" s="103"/>
      <c r="W970" s="84"/>
      <c r="X970" s="84"/>
      <c r="Y970" s="72"/>
      <c r="Z970" s="72"/>
      <c r="AA970" s="72"/>
      <c r="AB970" s="72"/>
      <c r="AC970" s="72">
        <f t="shared" si="391"/>
        <v>1</v>
      </c>
      <c r="AD970" s="72">
        <f t="shared" si="392"/>
        <v>1</v>
      </c>
      <c r="AE970" s="109" t="str">
        <f t="shared" si="393"/>
        <v>0-0</v>
      </c>
      <c r="AF970" s="109" t="str">
        <f t="shared" si="394"/>
        <v>Y</v>
      </c>
      <c r="AG970" s="109" t="str">
        <f t="shared" si="395"/>
        <v>A</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9"/>
      <c r="N971" s="279"/>
      <c r="O971" s="279"/>
      <c r="P971" s="279"/>
      <c r="Q971" s="279"/>
      <c r="R971" s="279"/>
      <c r="S971" s="279"/>
      <c r="T971" s="279"/>
      <c r="U971" s="280"/>
      <c r="V971" s="103"/>
      <c r="W971" s="84">
        <f>Y971+1</f>
        <v>13</v>
      </c>
      <c r="X971" s="84"/>
      <c r="Y971" s="78">
        <f>SUM(E960:E971)</f>
        <v>12</v>
      </c>
      <c r="Z971" s="72"/>
      <c r="AA971" s="72"/>
      <c r="AB971" s="72"/>
      <c r="AC971" s="72">
        <f t="shared" si="391"/>
        <v>1</v>
      </c>
      <c r="AD971" s="72">
        <f t="shared" si="392"/>
        <v>1</v>
      </c>
      <c r="AE971" s="109" t="str">
        <f t="shared" si="393"/>
        <v>0-0</v>
      </c>
      <c r="AF971" s="109" t="str">
        <f t="shared" si="394"/>
        <v>Y</v>
      </c>
      <c r="AG971" s="109" t="str">
        <f t="shared" si="395"/>
        <v>A</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9"/>
      <c r="N972" s="279"/>
      <c r="O972" s="279"/>
      <c r="P972" s="279"/>
      <c r="Q972" s="279"/>
      <c r="R972" s="279"/>
      <c r="S972" s="279"/>
      <c r="T972" s="279"/>
      <c r="U972" s="280"/>
      <c r="V972" s="103"/>
      <c r="W972" s="84">
        <f>Y972+1</f>
        <v>13</v>
      </c>
      <c r="X972" s="84"/>
      <c r="Y972" s="78">
        <f>SUM(E960:E972)</f>
        <v>12</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A</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9"/>
      <c r="N973" s="279"/>
      <c r="O973" s="279"/>
      <c r="P973" s="279"/>
      <c r="Q973" s="279"/>
      <c r="R973" s="279"/>
      <c r="S973" s="279"/>
      <c r="T973" s="279"/>
      <c r="U973" s="280"/>
      <c r="V973" s="103"/>
      <c r="W973" s="84">
        <f>Y973+1</f>
        <v>13</v>
      </c>
      <c r="X973" s="84"/>
      <c r="Y973" s="78">
        <f>SUM(E960:E973)</f>
        <v>12</v>
      </c>
      <c r="Z973" s="72" t="str">
        <f t="shared" si="405"/>
        <v/>
      </c>
      <c r="AA973" s="72"/>
      <c r="AB973" s="72"/>
      <c r="AC973" s="72">
        <f t="shared" si="391"/>
        <v>1</v>
      </c>
      <c r="AD973" s="72">
        <f t="shared" si="392"/>
        <v>1</v>
      </c>
      <c r="AE973" s="109" t="str">
        <f t="shared" si="393"/>
        <v>0-0</v>
      </c>
      <c r="AF973" s="109" t="str">
        <f t="shared" si="394"/>
        <v>Y</v>
      </c>
      <c r="AG973" s="109" t="str">
        <f t="shared" si="395"/>
        <v>A</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9"/>
      <c r="N974" s="279"/>
      <c r="O974" s="279"/>
      <c r="P974" s="279"/>
      <c r="Q974" s="279"/>
      <c r="R974" s="279"/>
      <c r="S974" s="279"/>
      <c r="T974" s="279"/>
      <c r="U974" s="280"/>
      <c r="V974" s="103"/>
      <c r="W974" s="84">
        <f>Y974+1</f>
        <v>13</v>
      </c>
      <c r="X974" s="84"/>
      <c r="Y974" s="78">
        <f>SUM(E960:E974)</f>
        <v>12</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A</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9"/>
      <c r="N975" s="279"/>
      <c r="O975" s="279"/>
      <c r="P975" s="279"/>
      <c r="Q975" s="279"/>
      <c r="R975" s="279"/>
      <c r="S975" s="279"/>
      <c r="T975" s="279"/>
      <c r="U975" s="280"/>
      <c r="V975" s="103"/>
      <c r="W975" s="84">
        <f t="shared" ref="W975:W983" si="407">Y975+1</f>
        <v>13</v>
      </c>
      <c r="X975" s="84"/>
      <c r="Y975" s="78">
        <f>SUM(E960:E975)</f>
        <v>12</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A</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9"/>
      <c r="N976" s="279"/>
      <c r="O976" s="279"/>
      <c r="P976" s="279"/>
      <c r="Q976" s="279"/>
      <c r="R976" s="279"/>
      <c r="S976" s="279"/>
      <c r="T976" s="279"/>
      <c r="U976" s="280"/>
      <c r="V976" s="103"/>
      <c r="W976" s="84">
        <f t="shared" si="407"/>
        <v>13</v>
      </c>
      <c r="X976" s="84"/>
      <c r="Y976" s="78">
        <f>SUM(E960:E976)</f>
        <v>12</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A</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9"/>
      <c r="N977" s="279"/>
      <c r="O977" s="279"/>
      <c r="P977" s="279"/>
      <c r="Q977" s="279"/>
      <c r="R977" s="279"/>
      <c r="S977" s="279"/>
      <c r="T977" s="279"/>
      <c r="U977" s="280"/>
      <c r="V977" s="103"/>
      <c r="W977" s="84">
        <f t="shared" si="407"/>
        <v>13</v>
      </c>
      <c r="X977" s="84"/>
      <c r="Y977" s="78">
        <f>SUM(E960:E977)</f>
        <v>12</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A</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9"/>
      <c r="N978" s="279"/>
      <c r="O978" s="279"/>
      <c r="P978" s="279"/>
      <c r="Q978" s="279"/>
      <c r="R978" s="279"/>
      <c r="S978" s="279"/>
      <c r="T978" s="279"/>
      <c r="U978" s="280"/>
      <c r="V978" s="103"/>
      <c r="W978" s="84">
        <f t="shared" si="407"/>
        <v>13</v>
      </c>
      <c r="X978" s="84"/>
      <c r="Y978" s="78">
        <f>SUM(E960:E978)</f>
        <v>12</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A</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9"/>
      <c r="N979" s="279"/>
      <c r="O979" s="279"/>
      <c r="P979" s="279"/>
      <c r="Q979" s="279"/>
      <c r="R979" s="279"/>
      <c r="S979" s="279"/>
      <c r="T979" s="279"/>
      <c r="U979" s="280"/>
      <c r="V979" s="103"/>
      <c r="W979" s="84">
        <f t="shared" si="407"/>
        <v>13</v>
      </c>
      <c r="X979" s="84"/>
      <c r="Y979" s="78">
        <f>SUM(E960:E979)</f>
        <v>12</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A</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9"/>
      <c r="N980" s="279"/>
      <c r="O980" s="279"/>
      <c r="P980" s="279"/>
      <c r="Q980" s="279"/>
      <c r="R980" s="279"/>
      <c r="S980" s="279"/>
      <c r="T980" s="279"/>
      <c r="U980" s="280"/>
      <c r="V980" s="103"/>
      <c r="W980" s="84">
        <f t="shared" si="407"/>
        <v>13</v>
      </c>
      <c r="X980" s="84"/>
      <c r="Y980" s="78">
        <f>SUM(E960:E980)</f>
        <v>12</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A</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9"/>
      <c r="N981" s="279"/>
      <c r="O981" s="279"/>
      <c r="P981" s="279"/>
      <c r="Q981" s="279"/>
      <c r="R981" s="279"/>
      <c r="S981" s="279"/>
      <c r="T981" s="279"/>
      <c r="U981" s="280"/>
      <c r="V981" s="103"/>
      <c r="W981" s="84">
        <f t="shared" si="407"/>
        <v>13</v>
      </c>
      <c r="X981" s="84"/>
      <c r="Y981" s="78">
        <f>SUM(E960:E981)</f>
        <v>12</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A</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9"/>
      <c r="N982" s="279"/>
      <c r="O982" s="279"/>
      <c r="P982" s="279"/>
      <c r="Q982" s="279"/>
      <c r="R982" s="279"/>
      <c r="S982" s="279"/>
      <c r="T982" s="279"/>
      <c r="U982" s="280"/>
      <c r="V982" s="103"/>
      <c r="W982" s="84">
        <f t="shared" si="407"/>
        <v>13</v>
      </c>
      <c r="X982" s="84"/>
      <c r="Y982" s="78">
        <f>SUM(E960:E982)</f>
        <v>12</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A</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9"/>
      <c r="N983" s="279"/>
      <c r="O983" s="279"/>
      <c r="P983" s="279"/>
      <c r="Q983" s="279"/>
      <c r="R983" s="279"/>
      <c r="S983" s="279"/>
      <c r="T983" s="279"/>
      <c r="U983" s="280"/>
      <c r="V983" s="103"/>
      <c r="W983" s="84">
        <f t="shared" si="407"/>
        <v>13</v>
      </c>
      <c r="X983" s="84"/>
      <c r="Y983" s="78">
        <f>SUM(E960:E983)</f>
        <v>12</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A</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9"/>
      <c r="N984" s="279"/>
      <c r="O984" s="279"/>
      <c r="P984" s="279"/>
      <c r="Q984" s="279"/>
      <c r="R984" s="279"/>
      <c r="S984" s="279"/>
      <c r="T984" s="279"/>
      <c r="U984" s="280"/>
      <c r="V984" s="103"/>
      <c r="W984" s="72"/>
      <c r="X984" s="72"/>
      <c r="Y984" s="78">
        <f>SUM(E960:E984)</f>
        <v>12</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A</v>
      </c>
      <c r="AM984" s="109">
        <f t="shared" si="396"/>
        <v>0</v>
      </c>
      <c r="AN984" s="109">
        <f t="shared" si="397"/>
        <v>0</v>
      </c>
      <c r="AO984" s="109" t="str">
        <f t="shared" si="398"/>
        <v/>
      </c>
      <c r="AQ984" s="109" t="str">
        <f t="shared" si="399"/>
        <v/>
      </c>
      <c r="BA984" s="228"/>
    </row>
    <row r="985" spans="1:53" ht="16.5" thickBot="1" x14ac:dyDescent="0.3">
      <c r="A985" s="88"/>
      <c r="B985" s="320" t="s">
        <v>351</v>
      </c>
      <c r="C985" s="321"/>
      <c r="D985" s="79"/>
      <c r="E985" s="80"/>
      <c r="F985" s="80"/>
      <c r="G985" s="81"/>
      <c r="H985" s="192"/>
      <c r="I985" s="192"/>
      <c r="J985" s="192"/>
      <c r="K985" s="82"/>
      <c r="L985" s="320" t="s">
        <v>306</v>
      </c>
      <c r="M985" s="331"/>
      <c r="N985" s="331"/>
      <c r="O985" s="331"/>
      <c r="P985" s="331"/>
      <c r="Q985" s="331"/>
      <c r="R985" s="331"/>
      <c r="S985" s="331"/>
      <c r="T985" s="331"/>
      <c r="U985" s="321"/>
      <c r="V985" s="104"/>
      <c r="W985" s="72"/>
      <c r="X985" s="72"/>
      <c r="Y985" s="72"/>
      <c r="Z985" s="72"/>
      <c r="AA985" s="72" t="str">
        <f t="shared" si="406"/>
        <v/>
      </c>
      <c r="AB985" s="72"/>
      <c r="AC985" s="72">
        <f>SUM(AC960:AC984)</f>
        <v>25</v>
      </c>
      <c r="AD985" s="72">
        <f>SUM(AD960:AD984)</f>
        <v>24</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20" t="s">
        <v>307</v>
      </c>
      <c r="C986" s="321"/>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3" t="s">
        <v>222</v>
      </c>
      <c r="C990" s="314"/>
      <c r="D990" s="315" t="s">
        <v>223</v>
      </c>
      <c r="E990" s="306"/>
      <c r="F990" s="88"/>
      <c r="G990" s="316" t="s">
        <v>224</v>
      </c>
      <c r="H990" s="317"/>
      <c r="I990" s="28">
        <f>SUM(E1001:E1025)</f>
        <v>48</v>
      </c>
      <c r="J990" s="318" t="s">
        <v>225</v>
      </c>
      <c r="K990" s="319"/>
      <c r="L990" s="306"/>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6" t="s">
        <v>226</v>
      </c>
      <c r="AA990" s="297"/>
      <c r="AB990" s="298"/>
      <c r="AC990" s="25"/>
      <c r="AD990" s="25"/>
      <c r="AH990" s="109">
        <v>2</v>
      </c>
      <c r="AI990" s="109" t="str">
        <f>IF($E991="SS",COUNTIFS($C1001:$C1025,"FST",$E1001:$E1025,"2"),"0")</f>
        <v>0</v>
      </c>
      <c r="AJ990" s="109">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RPX</v>
      </c>
      <c r="F991" s="88"/>
      <c r="G991" s="305" t="s">
        <v>230</v>
      </c>
      <c r="H991" s="306"/>
      <c r="I991" s="33">
        <f>E992-I990</f>
        <v>0</v>
      </c>
      <c r="J991" s="290" t="s">
        <v>231</v>
      </c>
      <c r="K991" s="291"/>
      <c r="L991" s="34">
        <f>I995</f>
        <v>397</v>
      </c>
      <c r="M991" s="196">
        <v>4</v>
      </c>
      <c r="N991" s="35">
        <f>SUM(AI991,AI1002)</f>
        <v>0</v>
      </c>
      <c r="O991" s="35">
        <v>0</v>
      </c>
      <c r="P991" s="35">
        <f>SUM(AJ991,AJ1002)</f>
        <v>3</v>
      </c>
      <c r="Q991" s="35">
        <v>0</v>
      </c>
      <c r="R991" s="35">
        <f>COUNTIFS($E1001:$E1025,"4",$F1001:$F1025,"Pole",$C1001:$C1025,"FST")</f>
        <v>3</v>
      </c>
      <c r="S991" s="35">
        <f>SUM(AL991,AK1002)</f>
        <v>0</v>
      </c>
      <c r="T991" s="35">
        <v>0</v>
      </c>
      <c r="U991" s="35">
        <f>SUM(AK991,AL1002)</f>
        <v>0</v>
      </c>
      <c r="V991" s="35">
        <v>0</v>
      </c>
      <c r="W991" s="34">
        <f>COUNTIFS($E1001:$E1025,"4",$F1001:$F1025,"HH",$C1001:$C1025,"FST")</f>
        <v>0</v>
      </c>
      <c r="X991" s="35">
        <f>COUNTIFS($E1001:$E1025,"4",$F1001:$F1025,"Ped",$C1001:$C1025,"FST")</f>
        <v>0</v>
      </c>
      <c r="Y991" s="25"/>
      <c r="Z991" s="299" t="s">
        <v>232</v>
      </c>
      <c r="AA991" s="301" t="s">
        <v>233</v>
      </c>
      <c r="AB991" s="302"/>
      <c r="AC991" s="25"/>
      <c r="AD991" s="25"/>
      <c r="AH991" s="109">
        <v>4</v>
      </c>
      <c r="AI991" s="109" t="str">
        <f>IF($E991="SS",COUNTIFS($C1001:$C1025,"FST",$E1001:$E1025,"4"),"0")</f>
        <v>0</v>
      </c>
      <c r="AJ991" s="109">
        <f>IF($E991="RPX",COUNTIFS($C1001:$C1025,"FST",$E1001:$E1025,"4"),"0")</f>
        <v>3</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48</v>
      </c>
      <c r="F992" s="88"/>
      <c r="G992" s="292" t="s">
        <v>237</v>
      </c>
      <c r="H992" s="293"/>
      <c r="I992" s="35">
        <f>IF(E992=0,0,12-(MOD(I990,12)))</f>
        <v>12</v>
      </c>
      <c r="J992" s="290" t="s">
        <v>238</v>
      </c>
      <c r="K992" s="291"/>
      <c r="L992" s="39">
        <f>I996-I990</f>
        <v>396</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0"/>
      <c r="AA992" s="303"/>
      <c r="AB992" s="304"/>
      <c r="AC992" s="25"/>
      <c r="AD992" s="25"/>
      <c r="AH992" s="109">
        <v>6</v>
      </c>
      <c r="AI992" s="109" t="str">
        <f>IF($E991="SS",COUNTIFS($C1001:$C1025,"FST",$E1001:$E1025,"6"),"0")</f>
        <v>0</v>
      </c>
      <c r="AJ992" s="109">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0</v>
      </c>
      <c r="F993" s="88"/>
      <c r="G993" s="322" t="s">
        <v>242</v>
      </c>
      <c r="H993" s="43" t="s">
        <v>243</v>
      </c>
      <c r="I993" s="35">
        <f>IF(E993&lt;&gt;0,1,0)</f>
        <v>0</v>
      </c>
      <c r="J993" s="292" t="s">
        <v>244</v>
      </c>
      <c r="K993" s="293"/>
      <c r="L993" s="44">
        <f>'Cable Calculator'!DT3</f>
        <v>2177</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397</v>
      </c>
      <c r="F994" s="88"/>
      <c r="G994" s="323"/>
      <c r="H994" s="47" t="s">
        <v>248</v>
      </c>
      <c r="I994" s="35">
        <f>IF(E993&lt;&gt;0,E993,0)</f>
        <v>0</v>
      </c>
      <c r="J994" s="194"/>
      <c r="K994" s="195"/>
      <c r="L994" s="48"/>
      <c r="M994" s="196">
        <v>12</v>
      </c>
      <c r="N994" s="35" t="str">
        <f>IF($E991="SS",SUM(AI994,AJ1005,AM1026,AO1026,AQ1026),"0")</f>
        <v>0</v>
      </c>
      <c r="O994" s="35" t="str">
        <f>IF($E991="SS",SUM(AN1026,AP1026,AR1026),"0")</f>
        <v>0</v>
      </c>
      <c r="P994" s="35">
        <f>IF($E991="RPX",SUM(AJ994,AJ1005,AM1026,AO1026,AQ1026),"0")</f>
        <v>2</v>
      </c>
      <c r="Q994" s="35">
        <f>IF($E991="RPX",SUM(AN1026,AP1026,AR1026),"0")</f>
        <v>0</v>
      </c>
      <c r="R994" s="35">
        <f>COUNTIFS($E1001:$E1025,"12",$F1001:$F1025,"Pole",$C1001:$C1025,"FST")</f>
        <v>1</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f>IF($E991="RPX",COUNTIFS($C1001:$C1025,"FST",$E1001:$E1025,"12"),"0")</f>
        <v>1</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4</v>
      </c>
      <c r="F995" s="88"/>
      <c r="G995" s="322" t="s">
        <v>251</v>
      </c>
      <c r="H995" s="51" t="s">
        <v>252</v>
      </c>
      <c r="I995" s="112">
        <f>E994</f>
        <v>397</v>
      </c>
      <c r="J995" s="324" t="s">
        <v>253</v>
      </c>
      <c r="K995" s="325"/>
      <c r="L995" s="326"/>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323"/>
      <c r="H996" s="47" t="s">
        <v>257</v>
      </c>
      <c r="I996" s="35">
        <f>IF(E994="","0",IF(AND(E991="EUC",E992=432), I995+(203-E993),IF(E994=0,0,(E994+(E992-E993)-1))))</f>
        <v>444</v>
      </c>
      <c r="J996" s="287" t="str">
        <f>IFERROR(IF(OR(E991="EUC",E991="SS"),"---",IF(OR(P990,S990),"NO 2F Tethers for RPX!",IF(OR(P992,S992),"NO 6F Tethers for RPX!","---"))),"---")</f>
        <v>---</v>
      </c>
      <c r="K996" s="288"/>
      <c r="L996" s="289"/>
      <c r="M996" s="287" t="str">
        <f>IF(E993&gt;60,"Dead Count &gt;60: Consider Downsize","---")</f>
        <v>---</v>
      </c>
      <c r="N996" s="288"/>
      <c r="O996" s="288"/>
      <c r="P996" s="288"/>
      <c r="Q996" s="288"/>
      <c r="R996" s="288"/>
      <c r="S996" s="288"/>
      <c r="T996" s="288"/>
      <c r="U996" s="289"/>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48</v>
      </c>
      <c r="D997" s="31" t="s">
        <v>259</v>
      </c>
      <c r="E997" s="101" t="str">
        <f>IF(AS991="Y","DBL",IF(AS992="Y","TRPL",IF(AS993="Y","QUAD","")))</f>
        <v/>
      </c>
      <c r="F997" s="88"/>
      <c r="G997" s="192"/>
      <c r="H997" s="57"/>
      <c r="I997" s="192"/>
      <c r="J997" s="287"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8"/>
      <c r="L997" s="289"/>
      <c r="M997" s="287" t="str">
        <f>IF(AND(OR(E991="SS",E991="RPX",E991="EUC",E991="RPX-T"),(OR(C1001="",C1001="Field SPL"))),"Cannot have FlexNap cables without tethers","---")</f>
        <v>---</v>
      </c>
      <c r="N997" s="288"/>
      <c r="O997" s="288"/>
      <c r="P997" s="288"/>
      <c r="Q997" s="288"/>
      <c r="R997" s="288"/>
      <c r="S997" s="288"/>
      <c r="T997" s="288"/>
      <c r="U997" s="289"/>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7" t="str">
        <f>IF(AND(OR(E991="RPX", E991="RPX-T", E991="SS"),E992=216),"NO 216 For RPX, RPX-T, OR SS CABLE","---")</f>
        <v>---</v>
      </c>
      <c r="K998" s="288"/>
      <c r="L998" s="289"/>
      <c r="M998" s="287" t="str" cm="1">
        <f t="array" ref="M998">IF(AND(E991="",OR(C1001:C1025="FST",C1001:C1025="REV T",C1001:C1025="DBL REV",C1001:C1025="TPL REV", C1001:C1025="QD REV")),"Non-FlexNap cables cannot have tethers","---")</f>
        <v>---</v>
      </c>
      <c r="N998" s="288"/>
      <c r="O998" s="288"/>
      <c r="P998" s="288"/>
      <c r="Q998" s="288"/>
      <c r="R998" s="288"/>
      <c r="S998" s="288"/>
      <c r="T998" s="288"/>
      <c r="U998" s="289"/>
      <c r="V998" s="25"/>
      <c r="W998" s="58"/>
      <c r="X998" s="58"/>
      <c r="Y998" s="25"/>
      <c r="Z998" s="45">
        <v>6</v>
      </c>
      <c r="AA998" s="65">
        <v>61</v>
      </c>
      <c r="AB998" s="65">
        <v>72</v>
      </c>
      <c r="AC998" s="25"/>
      <c r="AD998" s="25"/>
      <c r="BA998" s="226"/>
    </row>
    <row r="999" spans="1:53" ht="15.75" customHeight="1" thickBot="1" x14ac:dyDescent="0.3">
      <c r="A999" s="88"/>
      <c r="B999" s="322" t="s">
        <v>260</v>
      </c>
      <c r="C999" s="294" t="s">
        <v>261</v>
      </c>
      <c r="D999" s="294" t="s">
        <v>262</v>
      </c>
      <c r="E999" s="307" t="s">
        <v>263</v>
      </c>
      <c r="F999" s="294" t="s">
        <v>264</v>
      </c>
      <c r="G999" s="309" t="s">
        <v>265</v>
      </c>
      <c r="H999" s="309" t="s">
        <v>266</v>
      </c>
      <c r="I999" s="309" t="s">
        <v>267</v>
      </c>
      <c r="J999" s="311" t="s">
        <v>268</v>
      </c>
      <c r="K999" s="294" t="s">
        <v>269</v>
      </c>
      <c r="L999" s="281" t="s">
        <v>270</v>
      </c>
      <c r="M999" s="283" t="s">
        <v>271</v>
      </c>
      <c r="N999" s="283"/>
      <c r="O999" s="283"/>
      <c r="P999" s="283"/>
      <c r="Q999" s="283"/>
      <c r="R999" s="283"/>
      <c r="S999" s="283"/>
      <c r="T999" s="283"/>
      <c r="U999" s="284"/>
      <c r="V999" s="107"/>
      <c r="W999" s="72"/>
      <c r="X999" s="72"/>
      <c r="Y999" s="72"/>
      <c r="Z999" s="45">
        <v>7</v>
      </c>
      <c r="AA999" s="65">
        <v>73</v>
      </c>
      <c r="AB999" s="65">
        <v>84</v>
      </c>
      <c r="AC999" s="25"/>
      <c r="AD999" s="25"/>
      <c r="BA999" s="228"/>
    </row>
    <row r="1000" spans="1:53" ht="15.75" thickBot="1" x14ac:dyDescent="0.3">
      <c r="A1000" s="88"/>
      <c r="B1000" s="323"/>
      <c r="C1000" s="295"/>
      <c r="D1000" s="295"/>
      <c r="E1000" s="308"/>
      <c r="F1000" s="295"/>
      <c r="G1000" s="310"/>
      <c r="H1000" s="310"/>
      <c r="I1000" s="310"/>
      <c r="J1000" s="312"/>
      <c r="K1000" s="295"/>
      <c r="L1000" s="282"/>
      <c r="M1000" s="285"/>
      <c r="N1000" s="285"/>
      <c r="O1000" s="285"/>
      <c r="P1000" s="285"/>
      <c r="Q1000" s="285"/>
      <c r="R1000" s="285"/>
      <c r="S1000" s="285"/>
      <c r="T1000" s="285"/>
      <c r="U1000" s="286"/>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809</v>
      </c>
      <c r="E1001" s="32">
        <v>12</v>
      </c>
      <c r="F1001" s="32" t="s">
        <v>483</v>
      </c>
      <c r="G1001" s="68" t="s">
        <v>277</v>
      </c>
      <c r="H1001" s="69">
        <f>IF(I1001=0,0,I1001-(E1001-1))</f>
        <v>433</v>
      </c>
      <c r="I1001" s="70">
        <f>IF(E1001=0,0,I996)</f>
        <v>444</v>
      </c>
      <c r="J1001" s="71" t="s">
        <v>278</v>
      </c>
      <c r="K1001" s="32"/>
      <c r="L1001" s="233"/>
      <c r="M1001" s="279"/>
      <c r="N1001" s="279"/>
      <c r="O1001" s="279"/>
      <c r="P1001" s="279"/>
      <c r="Q1001" s="279"/>
      <c r="R1001" s="279"/>
      <c r="S1001" s="279"/>
      <c r="T1001" s="279"/>
      <c r="U1001" s="280"/>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433-444</v>
      </c>
      <c r="AF1001" s="109" t="str">
        <f t="shared" ref="AF1001:AF1025" si="411">IF(C1001="Field SPL","N","Y")</f>
        <v>Y</v>
      </c>
      <c r="AG1001" s="109" t="str">
        <f t="shared" ref="AG1001:AG1025" si="412">IF(OR(E$991="RPX",E$991="SS"),"A","B")</f>
        <v>A</v>
      </c>
      <c r="AH1001" s="109">
        <v>2</v>
      </c>
      <c r="AI1001" s="109" t="str">
        <f>IF(E991="SS",COUNTIFS(C1001:C1025,"TCF",E1001:E1025,"2"),"")</f>
        <v/>
      </c>
      <c r="AJ1001" s="109">
        <f>IF(E991="RPX",COUNTIFS(C1001:C1025,"TCF",E1001:E1025,"2"),"")</f>
        <v>0</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t="s">
        <v>494</v>
      </c>
      <c r="D1002" s="102"/>
      <c r="E1002" s="32">
        <v>12</v>
      </c>
      <c r="F1002" s="32"/>
      <c r="G1002" s="68" t="s">
        <v>277</v>
      </c>
      <c r="H1002" s="69">
        <f t="shared" ref="H1002:H1025" si="417">IF(E1002=0,0,I1002-(E1002-1))</f>
        <v>421</v>
      </c>
      <c r="I1002" s="70">
        <f t="shared" ref="I1002:I1025" si="418">IF(E1002=0,0,H1001-1)</f>
        <v>432</v>
      </c>
      <c r="J1002" s="73" t="str">
        <f>IF(C1002="","--",IF(AND(C1002&lt;&gt;"FST",C1002&lt;&gt;"TCF",BA1001&lt;&gt;0),BA1001,"--"))</f>
        <v>--</v>
      </c>
      <c r="K1002" s="32"/>
      <c r="L1002" s="233"/>
      <c r="M1002" s="279" t="s">
        <v>428</v>
      </c>
      <c r="N1002" s="279"/>
      <c r="O1002" s="279"/>
      <c r="P1002" s="279"/>
      <c r="Q1002" s="279"/>
      <c r="R1002" s="279"/>
      <c r="S1002" s="279"/>
      <c r="T1002" s="279"/>
      <c r="U1002" s="280"/>
      <c r="V1002" s="103"/>
      <c r="W1002" s="72"/>
      <c r="X1002" s="72"/>
      <c r="Y1002" s="72"/>
      <c r="Z1002" s="45">
        <v>10</v>
      </c>
      <c r="AA1002" s="46">
        <v>109</v>
      </c>
      <c r="AB1002" s="46">
        <v>120</v>
      </c>
      <c r="AC1002" s="72">
        <f t="shared" si="408"/>
        <v>1</v>
      </c>
      <c r="AD1002" s="72">
        <f t="shared" si="409"/>
        <v>1</v>
      </c>
      <c r="AE1002" s="109" t="str">
        <f t="shared" si="410"/>
        <v>421-432</v>
      </c>
      <c r="AF1002" s="109" t="str">
        <f t="shared" si="411"/>
        <v>Y</v>
      </c>
      <c r="AG1002" s="109" t="str">
        <f t="shared" si="412"/>
        <v>A</v>
      </c>
      <c r="AH1002" s="109">
        <v>4</v>
      </c>
      <c r="AI1002" s="109" t="str">
        <f>IF(E991="SS",COUNTIFS(C1001:C1025,"TCF",E1001:E1025,"4"),"")</f>
        <v/>
      </c>
      <c r="AJ1002" s="109">
        <f>IF(E991="RPX",COUNTIFS(C1001:C1025,"TCF",E1001:E1025,"4"),"")</f>
        <v>0</v>
      </c>
      <c r="AK1002" s="109" t="str">
        <f>IF(E991="RPX-T",COUNTIFS(C1001:C1025,"TCF",E1001:E1025,"4"),"")</f>
        <v/>
      </c>
      <c r="AL1002" s="109" t="str">
        <f>IF(E991="EUC",COUNTIFS(C1001:C1025,"TCF",E1001:E1025,"4"),"")</f>
        <v/>
      </c>
      <c r="AM1002" s="109">
        <f t="shared" si="413"/>
        <v>1</v>
      </c>
      <c r="AN1002" s="109">
        <f t="shared" si="414"/>
        <v>0</v>
      </c>
      <c r="AO1002" s="109" t="str">
        <f t="shared" si="415"/>
        <v/>
      </c>
      <c r="AQ1002" s="109" t="str">
        <f t="shared" si="416"/>
        <v/>
      </c>
      <c r="BA1002" s="229">
        <f>MOD(SUM(E1001:E1002),12)</f>
        <v>0</v>
      </c>
    </row>
    <row r="1003" spans="1:53" ht="15.75" thickBot="1" x14ac:dyDescent="0.3">
      <c r="A1003" s="88"/>
      <c r="B1003" s="74" t="s">
        <v>280</v>
      </c>
      <c r="C1003" s="67" t="s">
        <v>484</v>
      </c>
      <c r="D1003" s="102" t="s">
        <v>810</v>
      </c>
      <c r="E1003" s="32">
        <v>4</v>
      </c>
      <c r="F1003" s="32" t="s">
        <v>483</v>
      </c>
      <c r="G1003" s="75" t="s">
        <v>277</v>
      </c>
      <c r="H1003" s="69">
        <f t="shared" si="417"/>
        <v>417</v>
      </c>
      <c r="I1003" s="70">
        <f t="shared" si="418"/>
        <v>420</v>
      </c>
      <c r="J1003" s="73" t="str">
        <f t="shared" ref="J1003:J1025" si="419">IF(C1003="","--",IF(AND(C1003&lt;&gt;"FST",C1003&lt;&gt;"TCF",BA1002&lt;&gt;0),BA1002,"--"))</f>
        <v>--</v>
      </c>
      <c r="K1003" s="32"/>
      <c r="L1003" s="233"/>
      <c r="M1003" s="279"/>
      <c r="N1003" s="279"/>
      <c r="O1003" s="279"/>
      <c r="P1003" s="279"/>
      <c r="Q1003" s="279"/>
      <c r="R1003" s="279"/>
      <c r="S1003" s="279"/>
      <c r="T1003" s="279"/>
      <c r="U1003" s="280"/>
      <c r="V1003" s="103"/>
      <c r="W1003" s="72"/>
      <c r="X1003" s="72"/>
      <c r="Y1003" s="72"/>
      <c r="Z1003" s="45">
        <v>11</v>
      </c>
      <c r="AA1003" s="46">
        <v>121</v>
      </c>
      <c r="AB1003" s="46">
        <v>132</v>
      </c>
      <c r="AC1003" s="72">
        <f t="shared" si="408"/>
        <v>1</v>
      </c>
      <c r="AD1003" s="72">
        <f t="shared" si="409"/>
        <v>0</v>
      </c>
      <c r="AE1003" s="109" t="str">
        <f t="shared" si="410"/>
        <v>417-420</v>
      </c>
      <c r="AF1003" s="109" t="str">
        <f t="shared" si="411"/>
        <v>Y</v>
      </c>
      <c r="AG1003" s="109" t="str">
        <f t="shared" si="412"/>
        <v>A</v>
      </c>
      <c r="AH1003" s="109">
        <v>6</v>
      </c>
      <c r="AI1003" s="109" t="str">
        <f>IF(E991="SS",COUNTIFS(C1001:C1025,"TCF",E1001:E1025,"6"),"")</f>
        <v/>
      </c>
      <c r="AJ1003" s="109">
        <f>IF(E991="RPX",COUNTIFS(C1001:C1025,"TCF",E1001:E1025,"6"),"")</f>
        <v>0</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8</v>
      </c>
    </row>
    <row r="1004" spans="1:53" ht="15.75" thickBot="1" x14ac:dyDescent="0.3">
      <c r="A1004" s="88"/>
      <c r="B1004" s="66" t="s">
        <v>281</v>
      </c>
      <c r="C1004" s="67" t="s">
        <v>484</v>
      </c>
      <c r="D1004" s="102" t="s">
        <v>811</v>
      </c>
      <c r="E1004" s="32">
        <v>4</v>
      </c>
      <c r="F1004" s="32" t="s">
        <v>483</v>
      </c>
      <c r="G1004" s="68" t="s">
        <v>277</v>
      </c>
      <c r="H1004" s="69">
        <f t="shared" si="417"/>
        <v>413</v>
      </c>
      <c r="I1004" s="70">
        <f t="shared" si="418"/>
        <v>416</v>
      </c>
      <c r="J1004" s="73" t="str">
        <f t="shared" si="419"/>
        <v>--</v>
      </c>
      <c r="K1004" s="32"/>
      <c r="L1004" s="233"/>
      <c r="M1004" s="279"/>
      <c r="N1004" s="279"/>
      <c r="O1004" s="279"/>
      <c r="P1004" s="279"/>
      <c r="Q1004" s="279"/>
      <c r="R1004" s="279"/>
      <c r="S1004" s="279"/>
      <c r="T1004" s="279"/>
      <c r="U1004" s="280"/>
      <c r="V1004" s="103"/>
      <c r="W1004" s="72"/>
      <c r="X1004" s="72"/>
      <c r="Y1004" s="72"/>
      <c r="Z1004" s="45">
        <v>12</v>
      </c>
      <c r="AA1004" s="76">
        <v>133</v>
      </c>
      <c r="AB1004" s="76">
        <v>144</v>
      </c>
      <c r="AC1004" s="72">
        <f t="shared" si="408"/>
        <v>1</v>
      </c>
      <c r="AD1004" s="72">
        <f t="shared" si="409"/>
        <v>0</v>
      </c>
      <c r="AE1004" s="109" t="str">
        <f t="shared" si="410"/>
        <v>413-416</v>
      </c>
      <c r="AF1004" s="109" t="str">
        <f t="shared" si="411"/>
        <v>Y</v>
      </c>
      <c r="AG1004" s="109" t="str">
        <f t="shared" si="412"/>
        <v>A</v>
      </c>
      <c r="AH1004" s="109">
        <v>8</v>
      </c>
      <c r="AI1004" s="109" t="str">
        <f>IF(E991="SS",COUNTIFS(C1001:C1025,"TCF",E1001:E1025,"8"),"")</f>
        <v/>
      </c>
      <c r="AJ1004" s="109">
        <f>IF(E991="RPX",COUNTIFS(C1001:C1025,"TCF",E1001:E1025,"8"),"")</f>
        <v>0</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t="s">
        <v>484</v>
      </c>
      <c r="D1005" s="102" t="s">
        <v>812</v>
      </c>
      <c r="E1005" s="32">
        <v>4</v>
      </c>
      <c r="F1005" s="32" t="s">
        <v>483</v>
      </c>
      <c r="G1005" s="68" t="s">
        <v>277</v>
      </c>
      <c r="H1005" s="69">
        <f t="shared" si="417"/>
        <v>409</v>
      </c>
      <c r="I1005" s="70">
        <f t="shared" si="418"/>
        <v>412</v>
      </c>
      <c r="J1005" s="73" t="str">
        <f t="shared" si="419"/>
        <v>--</v>
      </c>
      <c r="K1005" s="32"/>
      <c r="L1005" s="233"/>
      <c r="M1005" s="279"/>
      <c r="N1005" s="279"/>
      <c r="O1005" s="279"/>
      <c r="P1005" s="279"/>
      <c r="Q1005" s="279"/>
      <c r="R1005" s="279"/>
      <c r="S1005" s="279"/>
      <c r="T1005" s="279"/>
      <c r="U1005" s="280"/>
      <c r="V1005" s="103"/>
      <c r="W1005" s="72"/>
      <c r="X1005" s="72"/>
      <c r="Y1005" s="72"/>
      <c r="Z1005" s="45">
        <v>13</v>
      </c>
      <c r="AA1005" s="77">
        <f t="shared" ref="AA1005:AA1010" si="420">AB1004+1</f>
        <v>145</v>
      </c>
      <c r="AB1005" s="77">
        <f t="shared" ref="AB1005:AB1010" si="421">AB1004+12</f>
        <v>156</v>
      </c>
      <c r="AC1005" s="72">
        <f t="shared" si="408"/>
        <v>1</v>
      </c>
      <c r="AD1005" s="72">
        <f t="shared" si="409"/>
        <v>0</v>
      </c>
      <c r="AE1005" s="109" t="str">
        <f t="shared" si="410"/>
        <v>409-412</v>
      </c>
      <c r="AF1005" s="109" t="str">
        <f t="shared" si="411"/>
        <v>Y</v>
      </c>
      <c r="AG1005" s="109" t="str">
        <f t="shared" si="412"/>
        <v>A</v>
      </c>
      <c r="AH1005" s="109">
        <v>12</v>
      </c>
      <c r="AI1005" s="109" t="str">
        <f>IF(E991="SS",COUNTIFS(C1001:C1025,"TCF",E1001:E1025,"12"),"")</f>
        <v/>
      </c>
      <c r="AJ1005" s="109">
        <f>IF(E991="RPX",COUNTIFS(C1001:C1025,"TCF",E1001:E1025,"12"),"")</f>
        <v>0</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t="s">
        <v>502</v>
      </c>
      <c r="D1006" s="102"/>
      <c r="E1006" s="32">
        <v>12</v>
      </c>
      <c r="F1006" s="32"/>
      <c r="G1006" s="68" t="s">
        <v>277</v>
      </c>
      <c r="H1006" s="69">
        <f t="shared" si="417"/>
        <v>397</v>
      </c>
      <c r="I1006" s="70">
        <f t="shared" si="418"/>
        <v>408</v>
      </c>
      <c r="J1006" s="73" t="str">
        <f t="shared" si="419"/>
        <v>--</v>
      </c>
      <c r="K1006" s="32"/>
      <c r="L1006" s="233"/>
      <c r="M1006" s="279" t="s">
        <v>429</v>
      </c>
      <c r="N1006" s="279"/>
      <c r="O1006" s="279"/>
      <c r="P1006" s="279"/>
      <c r="Q1006" s="279"/>
      <c r="R1006" s="279"/>
      <c r="S1006" s="279"/>
      <c r="T1006" s="279"/>
      <c r="U1006" s="280"/>
      <c r="V1006" s="103"/>
      <c r="W1006" s="72"/>
      <c r="X1006" s="72"/>
      <c r="Y1006" s="72"/>
      <c r="Z1006" s="45">
        <v>14</v>
      </c>
      <c r="AA1006" s="77">
        <f t="shared" si="420"/>
        <v>157</v>
      </c>
      <c r="AB1006" s="77">
        <f t="shared" si="421"/>
        <v>168</v>
      </c>
      <c r="AC1006" s="72">
        <f t="shared" si="408"/>
        <v>1</v>
      </c>
      <c r="AD1006" s="72">
        <f t="shared" si="409"/>
        <v>1</v>
      </c>
      <c r="AE1006" s="109" t="str">
        <f t="shared" si="410"/>
        <v>397-408</v>
      </c>
      <c r="AF1006" s="109" t="str">
        <f t="shared" si="411"/>
        <v>N</v>
      </c>
      <c r="AG1006" s="109" t="str">
        <f t="shared" si="412"/>
        <v>A</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9"/>
      <c r="N1007" s="279"/>
      <c r="O1007" s="279"/>
      <c r="P1007" s="279"/>
      <c r="Q1007" s="279"/>
      <c r="R1007" s="279"/>
      <c r="S1007" s="279"/>
      <c r="T1007" s="279"/>
      <c r="U1007" s="280"/>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A</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9"/>
      <c r="N1008" s="279"/>
      <c r="O1008" s="279"/>
      <c r="P1008" s="279"/>
      <c r="Q1008" s="279"/>
      <c r="R1008" s="279"/>
      <c r="S1008" s="279"/>
      <c r="T1008" s="279"/>
      <c r="U1008" s="280"/>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A</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9"/>
      <c r="N1009" s="279"/>
      <c r="O1009" s="279"/>
      <c r="P1009" s="279"/>
      <c r="Q1009" s="279"/>
      <c r="R1009" s="279"/>
      <c r="S1009" s="279"/>
      <c r="T1009" s="279"/>
      <c r="U1009" s="280"/>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A</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9"/>
      <c r="N1010" s="279"/>
      <c r="O1010" s="279"/>
      <c r="P1010" s="279"/>
      <c r="Q1010" s="279"/>
      <c r="R1010" s="279"/>
      <c r="S1010" s="279"/>
      <c r="T1010" s="279"/>
      <c r="U1010" s="280"/>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A</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9"/>
      <c r="N1011" s="279"/>
      <c r="O1011" s="279"/>
      <c r="P1011" s="279"/>
      <c r="Q1011" s="279"/>
      <c r="R1011" s="279"/>
      <c r="S1011" s="279"/>
      <c r="T1011" s="279"/>
      <c r="U1011" s="280"/>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A</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9"/>
      <c r="N1012" s="279"/>
      <c r="O1012" s="279"/>
      <c r="P1012" s="279"/>
      <c r="Q1012" s="279"/>
      <c r="R1012" s="279"/>
      <c r="S1012" s="279"/>
      <c r="T1012" s="279"/>
      <c r="U1012" s="280"/>
      <c r="V1012" s="103"/>
      <c r="W1012" s="84">
        <f>Y1012+1</f>
        <v>49</v>
      </c>
      <c r="X1012" s="84"/>
      <c r="Y1012" s="78">
        <f>SUM(E1001:E1012)</f>
        <v>48</v>
      </c>
      <c r="Z1012" s="72"/>
      <c r="AA1012" s="72"/>
      <c r="AB1012" s="72"/>
      <c r="AC1012" s="72">
        <f t="shared" si="408"/>
        <v>1</v>
      </c>
      <c r="AD1012" s="72">
        <f t="shared" si="409"/>
        <v>1</v>
      </c>
      <c r="AE1012" s="109" t="str">
        <f t="shared" si="410"/>
        <v>0-0</v>
      </c>
      <c r="AF1012" s="109" t="str">
        <f t="shared" si="411"/>
        <v>Y</v>
      </c>
      <c r="AG1012" s="109" t="str">
        <f t="shared" si="412"/>
        <v>A</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9"/>
      <c r="N1013" s="279"/>
      <c r="O1013" s="279"/>
      <c r="P1013" s="279"/>
      <c r="Q1013" s="279"/>
      <c r="R1013" s="279"/>
      <c r="S1013" s="279"/>
      <c r="T1013" s="279"/>
      <c r="U1013" s="280"/>
      <c r="V1013" s="103"/>
      <c r="W1013" s="84">
        <f>Y1013+1</f>
        <v>49</v>
      </c>
      <c r="X1013" s="84"/>
      <c r="Y1013" s="78">
        <f>SUM(E1001:E1013)</f>
        <v>48</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A</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9"/>
      <c r="N1014" s="279"/>
      <c r="O1014" s="279"/>
      <c r="P1014" s="279"/>
      <c r="Q1014" s="279"/>
      <c r="R1014" s="279"/>
      <c r="S1014" s="279"/>
      <c r="T1014" s="279"/>
      <c r="U1014" s="280"/>
      <c r="V1014" s="103"/>
      <c r="W1014" s="84">
        <f>Y1014+1</f>
        <v>49</v>
      </c>
      <c r="X1014" s="84"/>
      <c r="Y1014" s="78">
        <f>SUM(E1001:E1014)</f>
        <v>48</v>
      </c>
      <c r="Z1014" s="72" t="str">
        <f t="shared" si="422"/>
        <v/>
      </c>
      <c r="AA1014" s="72"/>
      <c r="AB1014" s="72"/>
      <c r="AC1014" s="72">
        <f t="shared" si="408"/>
        <v>1</v>
      </c>
      <c r="AD1014" s="72">
        <f t="shared" si="409"/>
        <v>1</v>
      </c>
      <c r="AE1014" s="109" t="str">
        <f t="shared" si="410"/>
        <v>0-0</v>
      </c>
      <c r="AF1014" s="109" t="str">
        <f t="shared" si="411"/>
        <v>Y</v>
      </c>
      <c r="AG1014" s="109" t="str">
        <f t="shared" si="412"/>
        <v>A</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9"/>
      <c r="N1015" s="279"/>
      <c r="O1015" s="279"/>
      <c r="P1015" s="279"/>
      <c r="Q1015" s="279"/>
      <c r="R1015" s="279"/>
      <c r="S1015" s="279"/>
      <c r="T1015" s="279"/>
      <c r="U1015" s="280"/>
      <c r="V1015" s="103"/>
      <c r="W1015" s="84">
        <f>Y1015+1</f>
        <v>49</v>
      </c>
      <c r="X1015" s="84"/>
      <c r="Y1015" s="78">
        <f>SUM(E1001:E1015)</f>
        <v>48</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A</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9"/>
      <c r="N1016" s="279"/>
      <c r="O1016" s="279"/>
      <c r="P1016" s="279"/>
      <c r="Q1016" s="279"/>
      <c r="R1016" s="279"/>
      <c r="S1016" s="279"/>
      <c r="T1016" s="279"/>
      <c r="U1016" s="280"/>
      <c r="V1016" s="103"/>
      <c r="W1016" s="84">
        <f t="shared" ref="W1016:W1024" si="424">Y1016+1</f>
        <v>49</v>
      </c>
      <c r="X1016" s="84"/>
      <c r="Y1016" s="78">
        <f>SUM(E1001:E1016)</f>
        <v>48</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A</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9"/>
      <c r="N1017" s="279"/>
      <c r="O1017" s="279"/>
      <c r="P1017" s="279"/>
      <c r="Q1017" s="279"/>
      <c r="R1017" s="279"/>
      <c r="S1017" s="279"/>
      <c r="T1017" s="279"/>
      <c r="U1017" s="280"/>
      <c r="V1017" s="103"/>
      <c r="W1017" s="84">
        <f t="shared" si="424"/>
        <v>49</v>
      </c>
      <c r="X1017" s="84"/>
      <c r="Y1017" s="78">
        <f>SUM(E1001:E1017)</f>
        <v>48</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A</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9"/>
      <c r="N1018" s="279"/>
      <c r="O1018" s="279"/>
      <c r="P1018" s="279"/>
      <c r="Q1018" s="279"/>
      <c r="R1018" s="279"/>
      <c r="S1018" s="279"/>
      <c r="T1018" s="279"/>
      <c r="U1018" s="280"/>
      <c r="V1018" s="103"/>
      <c r="W1018" s="84">
        <f t="shared" si="424"/>
        <v>49</v>
      </c>
      <c r="X1018" s="84"/>
      <c r="Y1018" s="78">
        <f>SUM(E1001:E1018)</f>
        <v>48</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A</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9"/>
      <c r="N1019" s="279"/>
      <c r="O1019" s="279"/>
      <c r="P1019" s="279"/>
      <c r="Q1019" s="279"/>
      <c r="R1019" s="279"/>
      <c r="S1019" s="279"/>
      <c r="T1019" s="279"/>
      <c r="U1019" s="280"/>
      <c r="V1019" s="103"/>
      <c r="W1019" s="84">
        <f t="shared" si="424"/>
        <v>49</v>
      </c>
      <c r="X1019" s="84"/>
      <c r="Y1019" s="78">
        <f>SUM(E1001:E1019)</f>
        <v>48</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A</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9"/>
      <c r="N1020" s="279"/>
      <c r="O1020" s="279"/>
      <c r="P1020" s="279"/>
      <c r="Q1020" s="279"/>
      <c r="R1020" s="279"/>
      <c r="S1020" s="279"/>
      <c r="T1020" s="279"/>
      <c r="U1020" s="280"/>
      <c r="V1020" s="103"/>
      <c r="W1020" s="84">
        <f t="shared" si="424"/>
        <v>49</v>
      </c>
      <c r="X1020" s="84"/>
      <c r="Y1020" s="78">
        <f>SUM(E1001:E1020)</f>
        <v>48</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A</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9"/>
      <c r="N1021" s="279"/>
      <c r="O1021" s="279"/>
      <c r="P1021" s="279"/>
      <c r="Q1021" s="279"/>
      <c r="R1021" s="279"/>
      <c r="S1021" s="279"/>
      <c r="T1021" s="279"/>
      <c r="U1021" s="280"/>
      <c r="V1021" s="103"/>
      <c r="W1021" s="84">
        <f t="shared" si="424"/>
        <v>49</v>
      </c>
      <c r="X1021" s="84"/>
      <c r="Y1021" s="78">
        <f>SUM(E1001:E1021)</f>
        <v>48</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A</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9"/>
      <c r="N1022" s="279"/>
      <c r="O1022" s="279"/>
      <c r="P1022" s="279"/>
      <c r="Q1022" s="279"/>
      <c r="R1022" s="279"/>
      <c r="S1022" s="279"/>
      <c r="T1022" s="279"/>
      <c r="U1022" s="280"/>
      <c r="V1022" s="103"/>
      <c r="W1022" s="84">
        <f t="shared" si="424"/>
        <v>49</v>
      </c>
      <c r="X1022" s="84"/>
      <c r="Y1022" s="78">
        <f>SUM(E1001:E1022)</f>
        <v>48</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A</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9"/>
      <c r="N1023" s="279"/>
      <c r="O1023" s="279"/>
      <c r="P1023" s="279"/>
      <c r="Q1023" s="279"/>
      <c r="R1023" s="279"/>
      <c r="S1023" s="279"/>
      <c r="T1023" s="279"/>
      <c r="U1023" s="280"/>
      <c r="V1023" s="103"/>
      <c r="W1023" s="84">
        <f t="shared" si="424"/>
        <v>49</v>
      </c>
      <c r="X1023" s="84"/>
      <c r="Y1023" s="78">
        <f>SUM(E1001:E1023)</f>
        <v>48</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A</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9"/>
      <c r="N1024" s="279"/>
      <c r="O1024" s="279"/>
      <c r="P1024" s="279"/>
      <c r="Q1024" s="279"/>
      <c r="R1024" s="279"/>
      <c r="S1024" s="279"/>
      <c r="T1024" s="279"/>
      <c r="U1024" s="280"/>
      <c r="V1024" s="103"/>
      <c r="W1024" s="84">
        <f t="shared" si="424"/>
        <v>49</v>
      </c>
      <c r="X1024" s="84"/>
      <c r="Y1024" s="78">
        <f>SUM(E1001:E1024)</f>
        <v>48</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A</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9"/>
      <c r="N1025" s="279"/>
      <c r="O1025" s="279"/>
      <c r="P1025" s="279"/>
      <c r="Q1025" s="279"/>
      <c r="R1025" s="279"/>
      <c r="S1025" s="279"/>
      <c r="T1025" s="279"/>
      <c r="U1025" s="280"/>
      <c r="V1025" s="103"/>
      <c r="W1025" s="72"/>
      <c r="X1025" s="72"/>
      <c r="Y1025" s="78">
        <f>SUM(E1001:E1025)</f>
        <v>48</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A</v>
      </c>
      <c r="AM1025" s="109">
        <f t="shared" si="413"/>
        <v>0</v>
      </c>
      <c r="AN1025" s="109">
        <f t="shared" si="414"/>
        <v>0</v>
      </c>
      <c r="AO1025" s="109" t="str">
        <f t="shared" si="415"/>
        <v/>
      </c>
      <c r="AQ1025" s="109" t="str">
        <f t="shared" si="416"/>
        <v/>
      </c>
      <c r="BA1025" s="228"/>
    </row>
    <row r="1026" spans="1:53" ht="16.5" thickBot="1" x14ac:dyDescent="0.3">
      <c r="A1026" s="88"/>
      <c r="B1026" s="320" t="s">
        <v>353</v>
      </c>
      <c r="C1026" s="321"/>
      <c r="D1026" s="79"/>
      <c r="E1026" s="80"/>
      <c r="F1026" s="80"/>
      <c r="G1026" s="81"/>
      <c r="H1026" s="192"/>
      <c r="I1026" s="192"/>
      <c r="J1026" s="192"/>
      <c r="K1026" s="82"/>
      <c r="L1026" s="320" t="s">
        <v>306</v>
      </c>
      <c r="M1026" s="331"/>
      <c r="N1026" s="331"/>
      <c r="O1026" s="331"/>
      <c r="P1026" s="331"/>
      <c r="Q1026" s="331"/>
      <c r="R1026" s="331"/>
      <c r="S1026" s="331"/>
      <c r="T1026" s="331"/>
      <c r="U1026" s="321"/>
      <c r="V1026" s="104"/>
      <c r="W1026" s="72"/>
      <c r="X1026" s="72"/>
      <c r="Y1026" s="72"/>
      <c r="Z1026" s="72"/>
      <c r="AA1026" s="72" t="str">
        <f t="shared" si="423"/>
        <v/>
      </c>
      <c r="AB1026" s="72"/>
      <c r="AC1026" s="72">
        <f>SUM(AC1001:AC1025)</f>
        <v>25</v>
      </c>
      <c r="AD1026" s="72">
        <f>SUM(AD1001:AD1025)</f>
        <v>21</v>
      </c>
      <c r="AM1026" s="109">
        <f>SUM(AM1001:AM1025)</f>
        <v>1</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20" t="s">
        <v>307</v>
      </c>
      <c r="C1027" s="321"/>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3" t="s">
        <v>222</v>
      </c>
      <c r="C1031" s="314"/>
      <c r="D1031" s="315" t="s">
        <v>223</v>
      </c>
      <c r="E1031" s="306"/>
      <c r="F1031" s="88"/>
      <c r="G1031" s="316" t="s">
        <v>224</v>
      </c>
      <c r="H1031" s="317"/>
      <c r="I1031" s="28">
        <f>SUM(E1042:E1066)</f>
        <v>12</v>
      </c>
      <c r="J1031" s="318" t="s">
        <v>225</v>
      </c>
      <c r="K1031" s="319"/>
      <c r="L1031" s="306"/>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6" t="s">
        <v>226</v>
      </c>
      <c r="AA1031" s="297"/>
      <c r="AB1031" s="298"/>
      <c r="AC1031" s="25"/>
      <c r="AD1031" s="25"/>
      <c r="AH1031" s="109">
        <v>2</v>
      </c>
      <c r="AI1031" s="109" t="str">
        <f>IF($E1032="SS",COUNTIFS($C1042:$C1066,"FST",$E1042:$E1066,"2"),"0")</f>
        <v>0</v>
      </c>
      <c r="AJ1031" s="109">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1</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RPX</v>
      </c>
      <c r="F1032" s="88"/>
      <c r="G1032" s="305" t="s">
        <v>230</v>
      </c>
      <c r="H1032" s="306"/>
      <c r="I1032" s="33">
        <f>E1033-I1031</f>
        <v>12</v>
      </c>
      <c r="J1032" s="290" t="s">
        <v>231</v>
      </c>
      <c r="K1032" s="291"/>
      <c r="L1032" s="34">
        <f>I1036</f>
        <v>421</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9" t="s">
        <v>232</v>
      </c>
      <c r="AA1032" s="301" t="s">
        <v>233</v>
      </c>
      <c r="AB1032" s="302"/>
      <c r="AC1032" s="25"/>
      <c r="AD1032" s="25"/>
      <c r="AH1032" s="109">
        <v>4</v>
      </c>
      <c r="AI1032" s="109" t="str">
        <f>IF($E1032="SS",COUNTIFS($C1042:$C1066,"FST",$E1042:$E1066,"4"),"0")</f>
        <v>0</v>
      </c>
      <c r="AJ1032" s="109">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24</v>
      </c>
      <c r="F1033" s="88"/>
      <c r="G1033" s="292" t="s">
        <v>237</v>
      </c>
      <c r="H1033" s="293"/>
      <c r="I1033" s="35">
        <f>IF(E1033=0,0,12-(MOD(I1031,12)))</f>
        <v>12</v>
      </c>
      <c r="J1033" s="290" t="s">
        <v>238</v>
      </c>
      <c r="K1033" s="291"/>
      <c r="L1033" s="39">
        <f>I1037-I1031</f>
        <v>420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0"/>
      <c r="AA1033" s="303"/>
      <c r="AB1033" s="304"/>
      <c r="AC1033" s="25"/>
      <c r="AD1033" s="25"/>
      <c r="AH1033" s="109">
        <v>6</v>
      </c>
      <c r="AI1033" s="109" t="str">
        <f>IF($E1032="SS",COUNTIFS($C1042:$C1066,"FST",$E1042:$E1066,"6"),"0")</f>
        <v>0</v>
      </c>
      <c r="AJ1033" s="109">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12</v>
      </c>
      <c r="F1034" s="88"/>
      <c r="G1034" s="322" t="s">
        <v>242</v>
      </c>
      <c r="H1034" s="43" t="s">
        <v>243</v>
      </c>
      <c r="I1034" s="35">
        <f>IF(E1034&lt;&gt;0,1,0)</f>
        <v>1</v>
      </c>
      <c r="J1034" s="292" t="s">
        <v>244</v>
      </c>
      <c r="K1034" s="293"/>
      <c r="L1034" s="44">
        <f>'Cable Calculator'!DY3</f>
        <v>416</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421</v>
      </c>
      <c r="F1035" s="88"/>
      <c r="G1035" s="323"/>
      <c r="H1035" s="47" t="s">
        <v>248</v>
      </c>
      <c r="I1035" s="35">
        <f>IF(E1034&lt;&gt;0,E1034,0)</f>
        <v>12</v>
      </c>
      <c r="J1035" s="194"/>
      <c r="K1035" s="195"/>
      <c r="L1035" s="48"/>
      <c r="M1035" s="196">
        <v>12</v>
      </c>
      <c r="N1035" s="35" t="str">
        <f>IF($E1032="SS",SUM(AI1035,AJ1046,AM1067,AO1067,AQ1067),"0")</f>
        <v>0</v>
      </c>
      <c r="O1035" s="35" t="str">
        <f>IF($E1032="SS",SUM(AN1067,AP1067,AR1067),"0")</f>
        <v>0</v>
      </c>
      <c r="P1035" s="35">
        <f>IF($E1032="RPX",SUM(AJ1035,AJ1046,AM1067,AO1067,AQ1067),"0")</f>
        <v>1</v>
      </c>
      <c r="Q1035" s="35">
        <f>IF($E1032="RPX",SUM(AN1067,AP1067,AR1067),"0")</f>
        <v>0</v>
      </c>
      <c r="R1035" s="35">
        <f>COUNTIFS($E1042:$E1066,"12",$F1042:$F1066,"Pole",$C1042:$C1066,"FST")</f>
        <v>1</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f>IF($E1032="RPX",COUNTIFS($C1042:$C1066,"FST",$E1042:$E1066,"12"),"0")</f>
        <v>1</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2</v>
      </c>
      <c r="F1036" s="88"/>
      <c r="G1036" s="322" t="s">
        <v>251</v>
      </c>
      <c r="H1036" s="51" t="s">
        <v>252</v>
      </c>
      <c r="I1036" s="112">
        <f>E1035</f>
        <v>421</v>
      </c>
      <c r="J1036" s="324" t="s">
        <v>253</v>
      </c>
      <c r="K1036" s="325"/>
      <c r="L1036" s="326"/>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Y</v>
      </c>
      <c r="F1037" s="88"/>
      <c r="G1037" s="323"/>
      <c r="H1037" s="47" t="s">
        <v>257</v>
      </c>
      <c r="I1037" s="35">
        <f>IF(E1035="","0",IF(AND(E1032="EUC",E1033=432), I1036+(203-E1034),IF(E1035=0,0,(E1035+(E1033-E1034)-1))))</f>
        <v>432</v>
      </c>
      <c r="J1037" s="287" t="str">
        <f>IFERROR(IF(OR(E1032="EUC",E1032="SS"),"---",IF(OR(P1031,S1031),"NO 2F Tethers for RPX!",IF(OR(P1033,S1033),"NO 6F Tethers for RPX!","---"))),"---")</f>
        <v>---</v>
      </c>
      <c r="K1037" s="288"/>
      <c r="L1037" s="289"/>
      <c r="M1037" s="287" t="str">
        <f>IF(E1034&gt;60,"Dead Count &gt;60: Consider Downsize","---")</f>
        <v>---</v>
      </c>
      <c r="N1037" s="288"/>
      <c r="O1037" s="288"/>
      <c r="P1037" s="288"/>
      <c r="Q1037" s="288"/>
      <c r="R1037" s="288"/>
      <c r="S1037" s="288"/>
      <c r="T1037" s="288"/>
      <c r="U1037" s="289"/>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12</v>
      </c>
      <c r="D1038" s="31" t="s">
        <v>259</v>
      </c>
      <c r="E1038" s="101" t="str">
        <f>IF(AS1032="Y","DBL",IF(AS1033="Y","TRPL",IF(AS1034="Y","QUAD","")))</f>
        <v/>
      </c>
      <c r="F1038" s="88"/>
      <c r="G1038" s="192"/>
      <c r="H1038" s="57"/>
      <c r="I1038" s="192"/>
      <c r="J1038" s="287"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8"/>
      <c r="L1038" s="289"/>
      <c r="M1038" s="287" t="str">
        <f>IF(AND(OR(E1032="SS",E1032="RPX",E1032="EUC",E1032="RPX-T"),(OR(C1042="",C1042="Field SPL"))),"Cannot have FlexNap cables without tethers","---")</f>
        <v>---</v>
      </c>
      <c r="N1038" s="288"/>
      <c r="O1038" s="288"/>
      <c r="P1038" s="288"/>
      <c r="Q1038" s="288"/>
      <c r="R1038" s="288"/>
      <c r="S1038" s="288"/>
      <c r="T1038" s="288"/>
      <c r="U1038" s="289"/>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7" t="str">
        <f>IF(AND(OR(E1032="RPX", E1032="RPX-T", E1032="SS"),E1033=216),"NO 216 For RPX, RPX-T, OR SS CABLE","---")</f>
        <v>---</v>
      </c>
      <c r="K1039" s="288"/>
      <c r="L1039" s="289"/>
      <c r="M1039" s="287" t="str" cm="1">
        <f t="array" ref="M1039">IF(AND(E1032="",OR(C1042:C1066="FST",C1042:C1066="REV T",C1042:C1066="DBL REV",C1042:C1066="TPL REV", C1042:C1066="QD REV")),"Non-FlexNap cables cannot have tethers","---")</f>
        <v>---</v>
      </c>
      <c r="N1039" s="288"/>
      <c r="O1039" s="288"/>
      <c r="P1039" s="288"/>
      <c r="Q1039" s="288"/>
      <c r="R1039" s="288"/>
      <c r="S1039" s="288"/>
      <c r="T1039" s="288"/>
      <c r="U1039" s="289"/>
      <c r="V1039" s="25"/>
      <c r="W1039" s="58"/>
      <c r="X1039" s="58"/>
      <c r="Y1039" s="25"/>
      <c r="Z1039" s="45">
        <v>6</v>
      </c>
      <c r="AA1039" s="65">
        <v>61</v>
      </c>
      <c r="AB1039" s="65">
        <v>72</v>
      </c>
      <c r="AC1039" s="25"/>
      <c r="AD1039" s="25"/>
      <c r="BA1039" s="226"/>
    </row>
    <row r="1040" spans="1:53" ht="15.75" customHeight="1" thickBot="1" x14ac:dyDescent="0.3">
      <c r="A1040" s="88"/>
      <c r="B1040" s="322" t="s">
        <v>260</v>
      </c>
      <c r="C1040" s="294" t="s">
        <v>261</v>
      </c>
      <c r="D1040" s="294" t="s">
        <v>262</v>
      </c>
      <c r="E1040" s="307" t="s">
        <v>263</v>
      </c>
      <c r="F1040" s="294" t="s">
        <v>264</v>
      </c>
      <c r="G1040" s="309" t="s">
        <v>265</v>
      </c>
      <c r="H1040" s="309" t="s">
        <v>266</v>
      </c>
      <c r="I1040" s="309" t="s">
        <v>267</v>
      </c>
      <c r="J1040" s="311" t="s">
        <v>268</v>
      </c>
      <c r="K1040" s="294" t="s">
        <v>269</v>
      </c>
      <c r="L1040" s="281" t="s">
        <v>270</v>
      </c>
      <c r="M1040" s="283" t="s">
        <v>271</v>
      </c>
      <c r="N1040" s="283"/>
      <c r="O1040" s="283"/>
      <c r="P1040" s="283"/>
      <c r="Q1040" s="283"/>
      <c r="R1040" s="283"/>
      <c r="S1040" s="283"/>
      <c r="T1040" s="283"/>
      <c r="U1040" s="284"/>
      <c r="V1040" s="107"/>
      <c r="W1040" s="72"/>
      <c r="X1040" s="72"/>
      <c r="Y1040" s="72"/>
      <c r="Z1040" s="45">
        <v>7</v>
      </c>
      <c r="AA1040" s="65">
        <v>73</v>
      </c>
      <c r="AB1040" s="65">
        <v>84</v>
      </c>
      <c r="AC1040" s="25"/>
      <c r="AD1040" s="25"/>
      <c r="BA1040" s="228"/>
    </row>
    <row r="1041" spans="1:53" ht="15.75" thickBot="1" x14ac:dyDescent="0.3">
      <c r="A1041" s="88"/>
      <c r="B1041" s="323"/>
      <c r="C1041" s="295"/>
      <c r="D1041" s="295"/>
      <c r="E1041" s="308"/>
      <c r="F1041" s="295"/>
      <c r="G1041" s="310"/>
      <c r="H1041" s="310"/>
      <c r="I1041" s="310"/>
      <c r="J1041" s="312"/>
      <c r="K1041" s="295"/>
      <c r="L1041" s="282"/>
      <c r="M1041" s="285"/>
      <c r="N1041" s="285"/>
      <c r="O1041" s="285"/>
      <c r="P1041" s="285"/>
      <c r="Q1041" s="285"/>
      <c r="R1041" s="285"/>
      <c r="S1041" s="285"/>
      <c r="T1041" s="285"/>
      <c r="U1041" s="286"/>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813</v>
      </c>
      <c r="E1042" s="32">
        <v>12</v>
      </c>
      <c r="F1042" s="32" t="s">
        <v>483</v>
      </c>
      <c r="G1042" s="68" t="s">
        <v>277</v>
      </c>
      <c r="H1042" s="69">
        <f>IF(I1042=0,0,I1042-(E1042-1))</f>
        <v>421</v>
      </c>
      <c r="I1042" s="70">
        <f>IF(E1042=0,0,I1037)</f>
        <v>432</v>
      </c>
      <c r="J1042" s="71" t="s">
        <v>278</v>
      </c>
      <c r="K1042" s="32"/>
      <c r="L1042" s="233"/>
      <c r="M1042" s="279"/>
      <c r="N1042" s="279"/>
      <c r="O1042" s="279"/>
      <c r="P1042" s="279"/>
      <c r="Q1042" s="279"/>
      <c r="R1042" s="279"/>
      <c r="S1042" s="279"/>
      <c r="T1042" s="279"/>
      <c r="U1042" s="280"/>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421-432</v>
      </c>
      <c r="AF1042" s="109" t="str">
        <f t="shared" ref="AF1042:AF1066" si="428">IF(C1042="Field SPL","N","Y")</f>
        <v>Y</v>
      </c>
      <c r="AG1042" s="109" t="str">
        <f t="shared" ref="AG1042:AG1066" si="429">IF(OR(E$1032="RPX",E$1032="SS"),"A","B")</f>
        <v>A</v>
      </c>
      <c r="AH1042" s="109">
        <v>2</v>
      </c>
      <c r="AI1042" s="109" t="str">
        <f>IF(E1032="SS",COUNTIFS(C1042:C1066,"TCF",E1042:E1066,"2"),"")</f>
        <v/>
      </c>
      <c r="AJ1042" s="109">
        <f>IF(E1032="RPX",COUNTIFS(C1042:C1066,"TCF",E1042:E1066,"2"),"")</f>
        <v>0</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79"/>
      <c r="N1043" s="279"/>
      <c r="O1043" s="279"/>
      <c r="P1043" s="279"/>
      <c r="Q1043" s="279"/>
      <c r="R1043" s="279"/>
      <c r="S1043" s="279"/>
      <c r="T1043" s="279"/>
      <c r="U1043" s="280"/>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A</v>
      </c>
      <c r="AH1043" s="109">
        <v>4</v>
      </c>
      <c r="AI1043" s="109" t="str">
        <f>IF(E1032="SS",COUNTIFS(C1042:C1066,"TCF",E1042:E1066,"4"),"")</f>
        <v/>
      </c>
      <c r="AJ1043" s="109">
        <f>IF(E1032="RPX",COUNTIFS(C1042:C1066,"TCF",E1042:E1066,"4"),"")</f>
        <v>0</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79"/>
      <c r="N1044" s="279"/>
      <c r="O1044" s="279"/>
      <c r="P1044" s="279"/>
      <c r="Q1044" s="279"/>
      <c r="R1044" s="279"/>
      <c r="S1044" s="279"/>
      <c r="T1044" s="279"/>
      <c r="U1044" s="280"/>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A</v>
      </c>
      <c r="AH1044" s="109">
        <v>6</v>
      </c>
      <c r="AI1044" s="109" t="str">
        <f>IF(E1032="SS",COUNTIFS(C1042:C1066,"TCF",E1042:E1066,"6"),"")</f>
        <v/>
      </c>
      <c r="AJ1044" s="109">
        <f>IF(E1032="RPX",COUNTIFS(C1042:C1066,"TCF",E1042:E1066,"6"),"")</f>
        <v>0</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79"/>
      <c r="N1045" s="279"/>
      <c r="O1045" s="279"/>
      <c r="P1045" s="279"/>
      <c r="Q1045" s="279"/>
      <c r="R1045" s="279"/>
      <c r="S1045" s="279"/>
      <c r="T1045" s="279"/>
      <c r="U1045" s="280"/>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A</v>
      </c>
      <c r="AH1045" s="109">
        <v>8</v>
      </c>
      <c r="AI1045" s="109" t="str">
        <f>IF(E1032="SS",COUNTIFS(C1042:C1066,"TCF",E1042:E1066,"8"),"")</f>
        <v/>
      </c>
      <c r="AJ1045" s="109">
        <f>IF(E1032="RPX",COUNTIFS(C1042:C1066,"TCF",E1042:E1066,"8"),"")</f>
        <v>0</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79"/>
      <c r="N1046" s="279"/>
      <c r="O1046" s="279"/>
      <c r="P1046" s="279"/>
      <c r="Q1046" s="279"/>
      <c r="R1046" s="279"/>
      <c r="S1046" s="279"/>
      <c r="T1046" s="279"/>
      <c r="U1046" s="280"/>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A</v>
      </c>
      <c r="AH1046" s="109">
        <v>12</v>
      </c>
      <c r="AI1046" s="109" t="str">
        <f>IF(E1032="SS",COUNTIFS(C1042:C1066,"TCF",E1042:E1066,"12"),"")</f>
        <v/>
      </c>
      <c r="AJ1046" s="109">
        <f>IF(E1032="RPX",COUNTIFS(C1042:C1066,"TCF",E1042:E1066,"12"),"")</f>
        <v>0</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79"/>
      <c r="N1047" s="279"/>
      <c r="O1047" s="279"/>
      <c r="P1047" s="279"/>
      <c r="Q1047" s="279"/>
      <c r="R1047" s="279"/>
      <c r="S1047" s="279"/>
      <c r="T1047" s="279"/>
      <c r="U1047" s="280"/>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A</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79"/>
      <c r="N1048" s="279"/>
      <c r="O1048" s="279"/>
      <c r="P1048" s="279"/>
      <c r="Q1048" s="279"/>
      <c r="R1048" s="279"/>
      <c r="S1048" s="279"/>
      <c r="T1048" s="279"/>
      <c r="U1048" s="280"/>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A</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79"/>
      <c r="N1049" s="279"/>
      <c r="O1049" s="279"/>
      <c r="P1049" s="279"/>
      <c r="Q1049" s="279"/>
      <c r="R1049" s="279"/>
      <c r="S1049" s="279"/>
      <c r="T1049" s="279"/>
      <c r="U1049" s="280"/>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A</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79"/>
      <c r="N1050" s="279"/>
      <c r="O1050" s="279"/>
      <c r="P1050" s="279"/>
      <c r="Q1050" s="279"/>
      <c r="R1050" s="279"/>
      <c r="S1050" s="279"/>
      <c r="T1050" s="279"/>
      <c r="U1050" s="280"/>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A</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79"/>
      <c r="N1051" s="279"/>
      <c r="O1051" s="279"/>
      <c r="P1051" s="279"/>
      <c r="Q1051" s="279"/>
      <c r="R1051" s="279"/>
      <c r="S1051" s="279"/>
      <c r="T1051" s="279"/>
      <c r="U1051" s="280"/>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A</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9"/>
      <c r="N1052" s="279"/>
      <c r="O1052" s="279"/>
      <c r="P1052" s="279"/>
      <c r="Q1052" s="279"/>
      <c r="R1052" s="279"/>
      <c r="S1052" s="279"/>
      <c r="T1052" s="279"/>
      <c r="U1052" s="280"/>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A</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9"/>
      <c r="N1053" s="279"/>
      <c r="O1053" s="279"/>
      <c r="P1053" s="279"/>
      <c r="Q1053" s="279"/>
      <c r="R1053" s="279"/>
      <c r="S1053" s="279"/>
      <c r="T1053" s="279"/>
      <c r="U1053" s="280"/>
      <c r="V1053" s="103"/>
      <c r="W1053" s="84">
        <f>Y1053+1</f>
        <v>13</v>
      </c>
      <c r="X1053" s="84"/>
      <c r="Y1053" s="78">
        <f>SUM(E1042:E1053)</f>
        <v>12</v>
      </c>
      <c r="Z1053" s="72"/>
      <c r="AA1053" s="72"/>
      <c r="AB1053" s="72"/>
      <c r="AC1053" s="72">
        <f t="shared" si="425"/>
        <v>1</v>
      </c>
      <c r="AD1053" s="72">
        <f t="shared" si="426"/>
        <v>1</v>
      </c>
      <c r="AE1053" s="109" t="str">
        <f t="shared" si="427"/>
        <v>0-0</v>
      </c>
      <c r="AF1053" s="109" t="str">
        <f t="shared" si="428"/>
        <v>Y</v>
      </c>
      <c r="AG1053" s="109" t="str">
        <f t="shared" si="429"/>
        <v>A</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9"/>
      <c r="N1054" s="279"/>
      <c r="O1054" s="279"/>
      <c r="P1054" s="279"/>
      <c r="Q1054" s="279"/>
      <c r="R1054" s="279"/>
      <c r="S1054" s="279"/>
      <c r="T1054" s="279"/>
      <c r="U1054" s="280"/>
      <c r="V1054" s="103"/>
      <c r="W1054" s="84">
        <f>Y1054+1</f>
        <v>13</v>
      </c>
      <c r="X1054" s="84"/>
      <c r="Y1054" s="78">
        <f>SUM(E1042:E1054)</f>
        <v>12</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A</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9"/>
      <c r="N1055" s="279"/>
      <c r="O1055" s="279"/>
      <c r="P1055" s="279"/>
      <c r="Q1055" s="279"/>
      <c r="R1055" s="279"/>
      <c r="S1055" s="279"/>
      <c r="T1055" s="279"/>
      <c r="U1055" s="280"/>
      <c r="V1055" s="103"/>
      <c r="W1055" s="84">
        <f>Y1055+1</f>
        <v>13</v>
      </c>
      <c r="X1055" s="84"/>
      <c r="Y1055" s="78">
        <f>SUM(E1042:E1055)</f>
        <v>12</v>
      </c>
      <c r="Z1055" s="72" t="str">
        <f t="shared" si="439"/>
        <v/>
      </c>
      <c r="AA1055" s="72"/>
      <c r="AB1055" s="72"/>
      <c r="AC1055" s="72">
        <f t="shared" si="425"/>
        <v>1</v>
      </c>
      <c r="AD1055" s="72">
        <f t="shared" si="426"/>
        <v>1</v>
      </c>
      <c r="AE1055" s="109" t="str">
        <f t="shared" si="427"/>
        <v>0-0</v>
      </c>
      <c r="AF1055" s="109" t="str">
        <f t="shared" si="428"/>
        <v>Y</v>
      </c>
      <c r="AG1055" s="109" t="str">
        <f t="shared" si="429"/>
        <v>A</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9"/>
      <c r="N1056" s="279"/>
      <c r="O1056" s="279"/>
      <c r="P1056" s="279"/>
      <c r="Q1056" s="279"/>
      <c r="R1056" s="279"/>
      <c r="S1056" s="279"/>
      <c r="T1056" s="279"/>
      <c r="U1056" s="280"/>
      <c r="V1056" s="103"/>
      <c r="W1056" s="84">
        <f>Y1056+1</f>
        <v>13</v>
      </c>
      <c r="X1056" s="84"/>
      <c r="Y1056" s="78">
        <f>SUM(E1042:E1056)</f>
        <v>12</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A</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9"/>
      <c r="N1057" s="279"/>
      <c r="O1057" s="279"/>
      <c r="P1057" s="279"/>
      <c r="Q1057" s="279"/>
      <c r="R1057" s="279"/>
      <c r="S1057" s="279"/>
      <c r="T1057" s="279"/>
      <c r="U1057" s="280"/>
      <c r="V1057" s="103"/>
      <c r="W1057" s="84">
        <f t="shared" ref="W1057:W1065" si="441">Y1057+1</f>
        <v>13</v>
      </c>
      <c r="X1057" s="84"/>
      <c r="Y1057" s="78">
        <f>SUM(E1042:E1057)</f>
        <v>12</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A</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9"/>
      <c r="N1058" s="279"/>
      <c r="O1058" s="279"/>
      <c r="P1058" s="279"/>
      <c r="Q1058" s="279"/>
      <c r="R1058" s="279"/>
      <c r="S1058" s="279"/>
      <c r="T1058" s="279"/>
      <c r="U1058" s="280"/>
      <c r="V1058" s="103"/>
      <c r="W1058" s="84">
        <f t="shared" si="441"/>
        <v>13</v>
      </c>
      <c r="X1058" s="84"/>
      <c r="Y1058" s="78">
        <f>SUM(E1042:E1058)</f>
        <v>12</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A</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9"/>
      <c r="N1059" s="279"/>
      <c r="O1059" s="279"/>
      <c r="P1059" s="279"/>
      <c r="Q1059" s="279"/>
      <c r="R1059" s="279"/>
      <c r="S1059" s="279"/>
      <c r="T1059" s="279"/>
      <c r="U1059" s="280"/>
      <c r="V1059" s="103"/>
      <c r="W1059" s="84">
        <f t="shared" si="441"/>
        <v>13</v>
      </c>
      <c r="X1059" s="84"/>
      <c r="Y1059" s="78">
        <f>SUM(E1042:E1059)</f>
        <v>12</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A</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9"/>
      <c r="N1060" s="279"/>
      <c r="O1060" s="279"/>
      <c r="P1060" s="279"/>
      <c r="Q1060" s="279"/>
      <c r="R1060" s="279"/>
      <c r="S1060" s="279"/>
      <c r="T1060" s="279"/>
      <c r="U1060" s="280"/>
      <c r="V1060" s="103"/>
      <c r="W1060" s="84">
        <f t="shared" si="441"/>
        <v>13</v>
      </c>
      <c r="X1060" s="84"/>
      <c r="Y1060" s="78">
        <f>SUM(E1042:E1060)</f>
        <v>12</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A</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9"/>
      <c r="N1061" s="279"/>
      <c r="O1061" s="279"/>
      <c r="P1061" s="279"/>
      <c r="Q1061" s="279"/>
      <c r="R1061" s="279"/>
      <c r="S1061" s="279"/>
      <c r="T1061" s="279"/>
      <c r="U1061" s="280"/>
      <c r="V1061" s="103"/>
      <c r="W1061" s="84">
        <f t="shared" si="441"/>
        <v>13</v>
      </c>
      <c r="X1061" s="84"/>
      <c r="Y1061" s="78">
        <f>SUM(E1042:E1061)</f>
        <v>12</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A</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9"/>
      <c r="N1062" s="279"/>
      <c r="O1062" s="279"/>
      <c r="P1062" s="279"/>
      <c r="Q1062" s="279"/>
      <c r="R1062" s="279"/>
      <c r="S1062" s="279"/>
      <c r="T1062" s="279"/>
      <c r="U1062" s="280"/>
      <c r="V1062" s="103"/>
      <c r="W1062" s="84">
        <f t="shared" si="441"/>
        <v>13</v>
      </c>
      <c r="X1062" s="84"/>
      <c r="Y1062" s="78">
        <f>SUM(E1042:E1062)</f>
        <v>12</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A</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9"/>
      <c r="N1063" s="279"/>
      <c r="O1063" s="279"/>
      <c r="P1063" s="279"/>
      <c r="Q1063" s="279"/>
      <c r="R1063" s="279"/>
      <c r="S1063" s="279"/>
      <c r="T1063" s="279"/>
      <c r="U1063" s="280"/>
      <c r="V1063" s="103"/>
      <c r="W1063" s="84">
        <f t="shared" si="441"/>
        <v>13</v>
      </c>
      <c r="X1063" s="84"/>
      <c r="Y1063" s="78">
        <f>SUM(E1042:E1063)</f>
        <v>12</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A</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9"/>
      <c r="N1064" s="279"/>
      <c r="O1064" s="279"/>
      <c r="P1064" s="279"/>
      <c r="Q1064" s="279"/>
      <c r="R1064" s="279"/>
      <c r="S1064" s="279"/>
      <c r="T1064" s="279"/>
      <c r="U1064" s="280"/>
      <c r="V1064" s="103"/>
      <c r="W1064" s="84">
        <f t="shared" si="441"/>
        <v>13</v>
      </c>
      <c r="X1064" s="84"/>
      <c r="Y1064" s="78">
        <f>SUM(E1042:E1064)</f>
        <v>12</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A</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9"/>
      <c r="N1065" s="279"/>
      <c r="O1065" s="279"/>
      <c r="P1065" s="279"/>
      <c r="Q1065" s="279"/>
      <c r="R1065" s="279"/>
      <c r="S1065" s="279"/>
      <c r="T1065" s="279"/>
      <c r="U1065" s="280"/>
      <c r="V1065" s="103"/>
      <c r="W1065" s="84">
        <f t="shared" si="441"/>
        <v>13</v>
      </c>
      <c r="X1065" s="84"/>
      <c r="Y1065" s="78">
        <f>SUM(E1042:E1065)</f>
        <v>12</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A</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9"/>
      <c r="N1066" s="279"/>
      <c r="O1066" s="279"/>
      <c r="P1066" s="279"/>
      <c r="Q1066" s="279"/>
      <c r="R1066" s="279"/>
      <c r="S1066" s="279"/>
      <c r="T1066" s="279"/>
      <c r="U1066" s="280"/>
      <c r="V1066" s="103"/>
      <c r="W1066" s="72"/>
      <c r="X1066" s="72"/>
      <c r="Y1066" s="78">
        <f>SUM(E1042:E1066)</f>
        <v>12</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A</v>
      </c>
      <c r="AM1066" s="109">
        <f t="shared" si="430"/>
        <v>0</v>
      </c>
      <c r="AN1066" s="109">
        <f t="shared" si="431"/>
        <v>0</v>
      </c>
      <c r="AO1066" s="109" t="str">
        <f t="shared" si="432"/>
        <v/>
      </c>
      <c r="AQ1066" s="109" t="str">
        <f t="shared" si="433"/>
        <v/>
      </c>
      <c r="BA1066" s="228"/>
    </row>
    <row r="1067" spans="1:53" ht="16.5" thickBot="1" x14ac:dyDescent="0.3">
      <c r="A1067" s="88"/>
      <c r="B1067" s="320" t="s">
        <v>355</v>
      </c>
      <c r="C1067" s="321"/>
      <c r="D1067" s="79"/>
      <c r="E1067" s="80"/>
      <c r="F1067" s="80"/>
      <c r="G1067" s="81"/>
      <c r="H1067" s="192"/>
      <c r="I1067" s="192"/>
      <c r="J1067" s="192"/>
      <c r="K1067" s="82"/>
      <c r="L1067" s="320" t="s">
        <v>306</v>
      </c>
      <c r="M1067" s="331"/>
      <c r="N1067" s="331"/>
      <c r="O1067" s="331"/>
      <c r="P1067" s="331"/>
      <c r="Q1067" s="331"/>
      <c r="R1067" s="331"/>
      <c r="S1067" s="331"/>
      <c r="T1067" s="331"/>
      <c r="U1067" s="321"/>
      <c r="V1067" s="104"/>
      <c r="W1067" s="72"/>
      <c r="X1067" s="72"/>
      <c r="Y1067" s="72"/>
      <c r="Z1067" s="72"/>
      <c r="AA1067" s="72" t="str">
        <f t="shared" si="440"/>
        <v/>
      </c>
      <c r="AB1067" s="72"/>
      <c r="AC1067" s="72">
        <f>SUM(AC1042:AC1066)</f>
        <v>25</v>
      </c>
      <c r="AD1067" s="72">
        <f>SUM(AD1042:AD1066)</f>
        <v>24</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20" t="s">
        <v>307</v>
      </c>
      <c r="C1068" s="321"/>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3" t="s">
        <v>222</v>
      </c>
      <c r="C1072" s="314"/>
      <c r="D1072" s="315" t="s">
        <v>223</v>
      </c>
      <c r="E1072" s="306"/>
      <c r="F1072" s="88"/>
      <c r="G1072" s="316" t="s">
        <v>224</v>
      </c>
      <c r="H1072" s="317"/>
      <c r="I1072" s="28">
        <f>SUM(E1083:E1107)</f>
        <v>12</v>
      </c>
      <c r="J1072" s="318" t="s">
        <v>225</v>
      </c>
      <c r="K1072" s="319"/>
      <c r="L1072" s="306"/>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6" t="s">
        <v>226</v>
      </c>
      <c r="AA1072" s="297"/>
      <c r="AB1072" s="298"/>
      <c r="AC1072" s="25"/>
      <c r="AD1072" s="25"/>
      <c r="AH1072" s="109">
        <v>2</v>
      </c>
      <c r="AI1072" s="109" t="str">
        <f>IF($E1073="SS",COUNTIFS($C1083:$C1107,"FST",$E1083:$E1107,"2"),"0")</f>
        <v>0</v>
      </c>
      <c r="AJ1072" s="109">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RPX</v>
      </c>
      <c r="F1073" s="88"/>
      <c r="G1073" s="305" t="s">
        <v>230</v>
      </c>
      <c r="H1073" s="306"/>
      <c r="I1073" s="33">
        <f>E1074-I1072</f>
        <v>12</v>
      </c>
      <c r="J1073" s="290" t="s">
        <v>231</v>
      </c>
      <c r="K1073" s="291"/>
      <c r="L1073" s="34">
        <f>I1077</f>
        <v>397</v>
      </c>
      <c r="M1073" s="196">
        <v>4</v>
      </c>
      <c r="N1073" s="35">
        <f>SUM(AI1073,AI1084)</f>
        <v>0</v>
      </c>
      <c r="O1073" s="35">
        <v>0</v>
      </c>
      <c r="P1073" s="35">
        <f>SUM(AJ1073,AJ1084)</f>
        <v>1</v>
      </c>
      <c r="Q1073" s="35">
        <v>0</v>
      </c>
      <c r="R1073" s="35">
        <f>COUNTIFS($E1083:$E1107,"4",$F1083:$F1107,"Pole",$C1083:$C1107,"FST")</f>
        <v>1</v>
      </c>
      <c r="S1073" s="35">
        <f>SUM(AL1073,AK1084)</f>
        <v>0</v>
      </c>
      <c r="T1073" s="35">
        <v>0</v>
      </c>
      <c r="U1073" s="35">
        <f>SUM(AK1073,AL1084)</f>
        <v>0</v>
      </c>
      <c r="V1073" s="35">
        <v>0</v>
      </c>
      <c r="W1073" s="34">
        <f>COUNTIFS($E1083:$E1107,"4",$F1083:$F1107,"HH",$C1083:$C1107,"FST")</f>
        <v>0</v>
      </c>
      <c r="X1073" s="35">
        <f>COUNTIFS($E1083:$E1107,"4",$F1083:$F1107,"Ped",$C1083:$C1107,"FST")</f>
        <v>0</v>
      </c>
      <c r="Y1073" s="25"/>
      <c r="Z1073" s="299" t="s">
        <v>232</v>
      </c>
      <c r="AA1073" s="301" t="s">
        <v>233</v>
      </c>
      <c r="AB1073" s="302"/>
      <c r="AC1073" s="25"/>
      <c r="AD1073" s="25"/>
      <c r="AH1073" s="109">
        <v>4</v>
      </c>
      <c r="AI1073" s="109" t="str">
        <f>IF($E1073="SS",COUNTIFS($C1083:$C1107,"FST",$E1083:$E1107,"4"),"0")</f>
        <v>0</v>
      </c>
      <c r="AJ1073" s="109">
        <f>IF($E1073="RPX",COUNTIFS($C1083:$C1107,"FST",$E1083:$E1107,"4"),"0")</f>
        <v>1</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24</v>
      </c>
      <c r="F1074" s="88"/>
      <c r="G1074" s="292" t="s">
        <v>237</v>
      </c>
      <c r="H1074" s="293"/>
      <c r="I1074" s="35">
        <f>IF(E1074=0,0,12-(MOD(I1072,12)))</f>
        <v>12</v>
      </c>
      <c r="J1074" s="290" t="s">
        <v>238</v>
      </c>
      <c r="K1074" s="291"/>
      <c r="L1074" s="39">
        <f>I1078-I1072</f>
        <v>396</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0"/>
      <c r="AA1074" s="303"/>
      <c r="AB1074" s="304"/>
      <c r="AC1074" s="25"/>
      <c r="AD1074" s="25"/>
      <c r="AH1074" s="109">
        <v>6</v>
      </c>
      <c r="AI1074" s="109" t="str">
        <f>IF($E1073="SS",COUNTIFS($C1083:$C1107,"FST",$E1083:$E1107,"6"),"0")</f>
        <v>0</v>
      </c>
      <c r="AJ1074" s="109">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12</v>
      </c>
      <c r="F1075" s="88"/>
      <c r="G1075" s="322" t="s">
        <v>242</v>
      </c>
      <c r="H1075" s="43" t="s">
        <v>243</v>
      </c>
      <c r="I1075" s="35">
        <f>IF(E1075&lt;&gt;0,1,0)</f>
        <v>1</v>
      </c>
      <c r="J1075" s="292" t="s">
        <v>244</v>
      </c>
      <c r="K1075" s="293"/>
      <c r="L1075" s="44">
        <f>'Cable Calculator'!ED3</f>
        <v>1053</v>
      </c>
      <c r="M1075" s="196">
        <v>8</v>
      </c>
      <c r="N1075" s="35">
        <f>SUM(AI1075,AI1086)</f>
        <v>0</v>
      </c>
      <c r="O1075" s="35">
        <v>0</v>
      </c>
      <c r="P1075" s="35">
        <f>SUM(AJ1075,AJ1086)</f>
        <v>1</v>
      </c>
      <c r="Q1075" s="35">
        <v>0</v>
      </c>
      <c r="R1075" s="35">
        <f>COUNTIFS($E1083:$E1107,"8",$F1083:$F1107,"Pole",$C1083:$C1107,"FST")</f>
        <v>1</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f>IF($E1073="RPX",COUNTIFS($C1083:$C1107,"FST",$E1083:$E1107,"8"),"0")</f>
        <v>1</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397</v>
      </c>
      <c r="F1076" s="88"/>
      <c r="G1076" s="323"/>
      <c r="H1076" s="47" t="s">
        <v>248</v>
      </c>
      <c r="I1076" s="35">
        <f>IF(E1075&lt;&gt;0,E1075,0)</f>
        <v>12</v>
      </c>
      <c r="J1076" s="194"/>
      <c r="K1076" s="195"/>
      <c r="L1076" s="48"/>
      <c r="M1076" s="196">
        <v>12</v>
      </c>
      <c r="N1076" s="35" t="str">
        <f>IF($E1073="SS",SUM(AI1076,AJ1087,AM1108,AO1108,AQ1108),"0")</f>
        <v>0</v>
      </c>
      <c r="O1076" s="35" t="str">
        <f>IF($E1073="SS",SUM(AN1108,AP1108,AR1108),"0")</f>
        <v>0</v>
      </c>
      <c r="P1076" s="35">
        <f>IF($E1073="RPX",SUM(AJ1076,AJ1087,AM1108,AO1108,AQ1108),"0")</f>
        <v>0</v>
      </c>
      <c r="Q1076" s="35">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2</v>
      </c>
      <c r="F1077" s="88"/>
      <c r="G1077" s="322" t="s">
        <v>251</v>
      </c>
      <c r="H1077" s="51" t="s">
        <v>252</v>
      </c>
      <c r="I1077" s="112">
        <f>E1076</f>
        <v>397</v>
      </c>
      <c r="J1077" s="324" t="s">
        <v>253</v>
      </c>
      <c r="K1077" s="325"/>
      <c r="L1077" s="326"/>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N</v>
      </c>
      <c r="F1078" s="88"/>
      <c r="G1078" s="323"/>
      <c r="H1078" s="47" t="s">
        <v>257</v>
      </c>
      <c r="I1078" s="35">
        <f>IF(E1076="","0",IF(AND(E1073="EUC",E1074=432), I1077+(203-E1075),IF(E1076=0,0,(E1076+(E1074-E1075)-1))))</f>
        <v>408</v>
      </c>
      <c r="J1078" s="287" t="str">
        <f>IFERROR(IF(OR(E1073="EUC",E1073="SS"),"---",IF(OR(P1072,S1072),"NO 2F Tethers for RPX!",IF(OR(P1074,S1074),"NO 6F Tethers for RPX!","---"))),"---")</f>
        <v>---</v>
      </c>
      <c r="K1078" s="288"/>
      <c r="L1078" s="289"/>
      <c r="M1078" s="287" t="str">
        <f>IF(E1075&gt;60,"Dead Count &gt;60: Consider Downsize","---")</f>
        <v>---</v>
      </c>
      <c r="N1078" s="288"/>
      <c r="O1078" s="288"/>
      <c r="P1078" s="288"/>
      <c r="Q1078" s="288"/>
      <c r="R1078" s="288"/>
      <c r="S1078" s="288"/>
      <c r="T1078" s="288"/>
      <c r="U1078" s="289"/>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12</v>
      </c>
      <c r="D1079" s="31" t="s">
        <v>259</v>
      </c>
      <c r="E1079" s="101" t="str">
        <f>IF(AS1073="Y","DBL",IF(AS1074="Y","TRPL",IF(AS1075="Y","QUAD","")))</f>
        <v/>
      </c>
      <c r="F1079" s="88"/>
      <c r="G1079" s="192"/>
      <c r="H1079" s="57"/>
      <c r="I1079" s="192"/>
      <c r="J1079" s="287"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8"/>
      <c r="L1079" s="289"/>
      <c r="M1079" s="287" t="str">
        <f>IF(AND(OR(E1073="SS",E1073="RPX",E1073="EUC",E1073="RPX-T"),(OR(C1083="",C1083="Field SPL"))),"Cannot have FlexNap cables without tethers","---")</f>
        <v>---</v>
      </c>
      <c r="N1079" s="288"/>
      <c r="O1079" s="288"/>
      <c r="P1079" s="288"/>
      <c r="Q1079" s="288"/>
      <c r="R1079" s="288"/>
      <c r="S1079" s="288"/>
      <c r="T1079" s="288"/>
      <c r="U1079" s="289"/>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7" t="str">
        <f>IF(AND(OR(E1073="RPX", E1073="RPX-T", E1073="SS"),E1074=216),"NO 216 For RPX, RPX-T, OR SS CABLE","---")</f>
        <v>---</v>
      </c>
      <c r="K1080" s="288"/>
      <c r="L1080" s="289"/>
      <c r="M1080" s="287" t="str" cm="1">
        <f t="array" ref="M1080">IF(AND(E1073="",OR(C1083:C1107="FST",C1083:C1107="REV T",C1083:C1107="DBL REV",C1083:C1107="TPL REV", C1083:C1107="QD REV")),"Non-FlexNap cables cannot have tethers","---")</f>
        <v>---</v>
      </c>
      <c r="N1080" s="288"/>
      <c r="O1080" s="288"/>
      <c r="P1080" s="288"/>
      <c r="Q1080" s="288"/>
      <c r="R1080" s="288"/>
      <c r="S1080" s="288"/>
      <c r="T1080" s="288"/>
      <c r="U1080" s="289"/>
      <c r="V1080" s="25"/>
      <c r="W1080" s="58"/>
      <c r="X1080" s="58"/>
      <c r="Y1080" s="25"/>
      <c r="Z1080" s="45">
        <v>6</v>
      </c>
      <c r="AA1080" s="65">
        <v>61</v>
      </c>
      <c r="AB1080" s="65">
        <v>72</v>
      </c>
      <c r="AC1080" s="25"/>
      <c r="AD1080" s="25"/>
      <c r="BA1080" s="226"/>
    </row>
    <row r="1081" spans="1:53" ht="15.75" customHeight="1" thickBot="1" x14ac:dyDescent="0.3">
      <c r="A1081" s="88"/>
      <c r="B1081" s="322" t="s">
        <v>260</v>
      </c>
      <c r="C1081" s="294" t="s">
        <v>261</v>
      </c>
      <c r="D1081" s="294" t="s">
        <v>262</v>
      </c>
      <c r="E1081" s="307" t="s">
        <v>263</v>
      </c>
      <c r="F1081" s="294" t="s">
        <v>264</v>
      </c>
      <c r="G1081" s="309" t="s">
        <v>265</v>
      </c>
      <c r="H1081" s="309" t="s">
        <v>266</v>
      </c>
      <c r="I1081" s="309" t="s">
        <v>267</v>
      </c>
      <c r="J1081" s="311" t="s">
        <v>268</v>
      </c>
      <c r="K1081" s="294" t="s">
        <v>269</v>
      </c>
      <c r="L1081" s="281" t="s">
        <v>270</v>
      </c>
      <c r="M1081" s="283" t="s">
        <v>271</v>
      </c>
      <c r="N1081" s="283"/>
      <c r="O1081" s="283"/>
      <c r="P1081" s="283"/>
      <c r="Q1081" s="283"/>
      <c r="R1081" s="283"/>
      <c r="S1081" s="283"/>
      <c r="T1081" s="283"/>
      <c r="U1081" s="284"/>
      <c r="V1081" s="107"/>
      <c r="W1081" s="72"/>
      <c r="X1081" s="72"/>
      <c r="Y1081" s="72"/>
      <c r="Z1081" s="45">
        <v>7</v>
      </c>
      <c r="AA1081" s="65">
        <v>73</v>
      </c>
      <c r="AB1081" s="65">
        <v>84</v>
      </c>
      <c r="AC1081" s="25"/>
      <c r="AD1081" s="25"/>
      <c r="BA1081" s="228"/>
    </row>
    <row r="1082" spans="1:53" ht="15.75" thickBot="1" x14ac:dyDescent="0.3">
      <c r="A1082" s="88"/>
      <c r="B1082" s="323"/>
      <c r="C1082" s="295"/>
      <c r="D1082" s="295"/>
      <c r="E1082" s="308"/>
      <c r="F1082" s="295"/>
      <c r="G1082" s="310"/>
      <c r="H1082" s="310"/>
      <c r="I1082" s="310"/>
      <c r="J1082" s="312"/>
      <c r="K1082" s="295"/>
      <c r="L1082" s="282"/>
      <c r="M1082" s="285"/>
      <c r="N1082" s="285"/>
      <c r="O1082" s="285"/>
      <c r="P1082" s="285"/>
      <c r="Q1082" s="285"/>
      <c r="R1082" s="285"/>
      <c r="S1082" s="285"/>
      <c r="T1082" s="285"/>
      <c r="U1082" s="286"/>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484</v>
      </c>
      <c r="D1083" s="102" t="s">
        <v>814</v>
      </c>
      <c r="E1083" s="32">
        <v>4</v>
      </c>
      <c r="F1083" s="32" t="s">
        <v>483</v>
      </c>
      <c r="G1083" s="68" t="s">
        <v>277</v>
      </c>
      <c r="H1083" s="69">
        <f>IF(I1083=0,0,I1083-(E1083-1))</f>
        <v>405</v>
      </c>
      <c r="I1083" s="70">
        <f>IF(E1083=0,0,I1078)</f>
        <v>408</v>
      </c>
      <c r="J1083" s="71" t="s">
        <v>278</v>
      </c>
      <c r="K1083" s="32"/>
      <c r="L1083" s="233"/>
      <c r="M1083" s="279"/>
      <c r="N1083" s="279"/>
      <c r="O1083" s="279"/>
      <c r="P1083" s="279"/>
      <c r="Q1083" s="279"/>
      <c r="R1083" s="279"/>
      <c r="S1083" s="279"/>
      <c r="T1083" s="279"/>
      <c r="U1083" s="280"/>
      <c r="V1083" s="103"/>
      <c r="W1083" s="72"/>
      <c r="X1083" s="72"/>
      <c r="Y1083" s="72"/>
      <c r="Z1083" s="45">
        <v>9</v>
      </c>
      <c r="AA1083" s="46">
        <v>97</v>
      </c>
      <c r="AB1083" s="46">
        <v>108</v>
      </c>
      <c r="AC1083" s="72">
        <f t="shared" ref="AC1083:AC1107" si="442">IF(B1083&lt;&gt;"FST",1,0)</f>
        <v>1</v>
      </c>
      <c r="AD1083" s="72">
        <f t="shared" ref="AD1083:AD1107" si="443">IF(C1083&lt;&gt;"FST",1,0)</f>
        <v>0</v>
      </c>
      <c r="AE1083" s="109" t="str">
        <f t="shared" ref="AE1083:AE1107" si="444">CONCATENATE(H1083,"-",I1083)</f>
        <v>405-408</v>
      </c>
      <c r="AF1083" s="109" t="str">
        <f t="shared" ref="AF1083:AF1107" si="445">IF(C1083="Field SPL","N","Y")</f>
        <v>Y</v>
      </c>
      <c r="AG1083" s="109" t="str">
        <f t="shared" ref="AG1083:AG1107" si="446">IF(OR(E$1073="RPX",E$1073="SS"),"A","B")</f>
        <v>A</v>
      </c>
      <c r="AH1083" s="109">
        <v>2</v>
      </c>
      <c r="AI1083" s="109" t="str">
        <f>IF(E1073="SS",COUNTIFS(C1083:C1107,"TCF",E1083:E1107,"2"),"")</f>
        <v/>
      </c>
      <c r="AJ1083" s="109">
        <f>IF(E1073="RPX",COUNTIFS(C1083:C1107,"TCF",E1083:E1107,"2"),"")</f>
        <v>0</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4</v>
      </c>
    </row>
    <row r="1084" spans="1:53" ht="15.75" thickBot="1" x14ac:dyDescent="0.3">
      <c r="A1084" s="88"/>
      <c r="B1084" s="66" t="s">
        <v>279</v>
      </c>
      <c r="C1084" s="67" t="s">
        <v>484</v>
      </c>
      <c r="D1084" s="102" t="s">
        <v>815</v>
      </c>
      <c r="E1084" s="32">
        <v>8</v>
      </c>
      <c r="F1084" s="32" t="s">
        <v>483</v>
      </c>
      <c r="G1084" s="68" t="s">
        <v>277</v>
      </c>
      <c r="H1084" s="69">
        <f t="shared" ref="H1084:H1107" si="451">IF(E1084=0,0,I1084-(E1084-1))</f>
        <v>397</v>
      </c>
      <c r="I1084" s="70">
        <f t="shared" ref="I1084:I1107" si="452">IF(E1084=0,0,H1083-1)</f>
        <v>404</v>
      </c>
      <c r="J1084" s="73" t="str">
        <f>IF(C1084="","--",IF(AND(C1084&lt;&gt;"FST",C1084&lt;&gt;"TCF",BA1083&lt;&gt;0),BA1083,"--"))</f>
        <v>--</v>
      </c>
      <c r="K1084" s="32"/>
      <c r="L1084" s="233"/>
      <c r="M1084" s="279"/>
      <c r="N1084" s="279"/>
      <c r="O1084" s="279"/>
      <c r="P1084" s="279"/>
      <c r="Q1084" s="279"/>
      <c r="R1084" s="279"/>
      <c r="S1084" s="279"/>
      <c r="T1084" s="279"/>
      <c r="U1084" s="280"/>
      <c r="V1084" s="103"/>
      <c r="W1084" s="72"/>
      <c r="X1084" s="72"/>
      <c r="Y1084" s="72"/>
      <c r="Z1084" s="45">
        <v>10</v>
      </c>
      <c r="AA1084" s="46">
        <v>109</v>
      </c>
      <c r="AB1084" s="46">
        <v>120</v>
      </c>
      <c r="AC1084" s="72">
        <f t="shared" si="442"/>
        <v>1</v>
      </c>
      <c r="AD1084" s="72">
        <f t="shared" si="443"/>
        <v>0</v>
      </c>
      <c r="AE1084" s="109" t="str">
        <f t="shared" si="444"/>
        <v>397-404</v>
      </c>
      <c r="AF1084" s="109" t="str">
        <f t="shared" si="445"/>
        <v>Y</v>
      </c>
      <c r="AG1084" s="109" t="str">
        <f t="shared" si="446"/>
        <v>A</v>
      </c>
      <c r="AH1084" s="109">
        <v>4</v>
      </c>
      <c r="AI1084" s="109" t="str">
        <f>IF(E1073="SS",COUNTIFS(C1083:C1107,"TCF",E1083:E1107,"4"),"")</f>
        <v/>
      </c>
      <c r="AJ1084" s="109">
        <f>IF(E1073="RPX",COUNTIFS(C1083:C1107,"TCF",E1083:E1107,"4"),"")</f>
        <v>0</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79"/>
      <c r="N1085" s="279"/>
      <c r="O1085" s="279"/>
      <c r="P1085" s="279"/>
      <c r="Q1085" s="279"/>
      <c r="R1085" s="279"/>
      <c r="S1085" s="279"/>
      <c r="T1085" s="279"/>
      <c r="U1085" s="280"/>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A</v>
      </c>
      <c r="AH1085" s="109">
        <v>6</v>
      </c>
      <c r="AI1085" s="109" t="str">
        <f>IF(E1073="SS",COUNTIFS(C1083:C1107,"TCF",E1083:E1107,"6"),"")</f>
        <v/>
      </c>
      <c r="AJ1085" s="109">
        <f>IF(E1073="RPX",COUNTIFS(C1083:C1107,"TCF",E1083:E1107,"6"),"")</f>
        <v>0</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79"/>
      <c r="N1086" s="279"/>
      <c r="O1086" s="279"/>
      <c r="P1086" s="279"/>
      <c r="Q1086" s="279"/>
      <c r="R1086" s="279"/>
      <c r="S1086" s="279"/>
      <c r="T1086" s="279"/>
      <c r="U1086" s="280"/>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A</v>
      </c>
      <c r="AH1086" s="109">
        <v>8</v>
      </c>
      <c r="AI1086" s="109" t="str">
        <f>IF(E1073="SS",COUNTIFS(C1083:C1107,"TCF",E1083:E1107,"8"),"")</f>
        <v/>
      </c>
      <c r="AJ1086" s="109">
        <f>IF(E1073="RPX",COUNTIFS(C1083:C1107,"TCF",E1083:E1107,"8"),"")</f>
        <v>0</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79"/>
      <c r="N1087" s="279"/>
      <c r="O1087" s="279"/>
      <c r="P1087" s="279"/>
      <c r="Q1087" s="279"/>
      <c r="R1087" s="279"/>
      <c r="S1087" s="279"/>
      <c r="T1087" s="279"/>
      <c r="U1087" s="280"/>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A</v>
      </c>
      <c r="AH1087" s="109">
        <v>12</v>
      </c>
      <c r="AI1087" s="109" t="str">
        <f>IF(E1073="SS",COUNTIFS(C1083:C1107,"TCF",E1083:E1107,"12"),"")</f>
        <v/>
      </c>
      <c r="AJ1087" s="109">
        <f>IF(E1073="RPX",COUNTIFS(C1083:C1107,"TCF",E1083:E1107,"12"),"")</f>
        <v>0</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79"/>
      <c r="N1088" s="279"/>
      <c r="O1088" s="279"/>
      <c r="P1088" s="279"/>
      <c r="Q1088" s="279"/>
      <c r="R1088" s="279"/>
      <c r="S1088" s="279"/>
      <c r="T1088" s="279"/>
      <c r="U1088" s="280"/>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A</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79"/>
      <c r="N1089" s="279"/>
      <c r="O1089" s="279"/>
      <c r="P1089" s="279"/>
      <c r="Q1089" s="279"/>
      <c r="R1089" s="279"/>
      <c r="S1089" s="279"/>
      <c r="T1089" s="279"/>
      <c r="U1089" s="280"/>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A</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79"/>
      <c r="N1090" s="279"/>
      <c r="O1090" s="279"/>
      <c r="P1090" s="279"/>
      <c r="Q1090" s="279"/>
      <c r="R1090" s="279"/>
      <c r="S1090" s="279"/>
      <c r="T1090" s="279"/>
      <c r="U1090" s="280"/>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A</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9"/>
      <c r="N1091" s="279"/>
      <c r="O1091" s="279"/>
      <c r="P1091" s="279"/>
      <c r="Q1091" s="279"/>
      <c r="R1091" s="279"/>
      <c r="S1091" s="279"/>
      <c r="T1091" s="279"/>
      <c r="U1091" s="280"/>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A</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9"/>
      <c r="N1092" s="279"/>
      <c r="O1092" s="279"/>
      <c r="P1092" s="279"/>
      <c r="Q1092" s="279"/>
      <c r="R1092" s="279"/>
      <c r="S1092" s="279"/>
      <c r="T1092" s="279"/>
      <c r="U1092" s="280"/>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A</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9"/>
      <c r="N1093" s="279"/>
      <c r="O1093" s="279"/>
      <c r="P1093" s="279"/>
      <c r="Q1093" s="279"/>
      <c r="R1093" s="279"/>
      <c r="S1093" s="279"/>
      <c r="T1093" s="279"/>
      <c r="U1093" s="280"/>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A</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9"/>
      <c r="N1094" s="279"/>
      <c r="O1094" s="279"/>
      <c r="P1094" s="279"/>
      <c r="Q1094" s="279"/>
      <c r="R1094" s="279"/>
      <c r="S1094" s="279"/>
      <c r="T1094" s="279"/>
      <c r="U1094" s="280"/>
      <c r="V1094" s="103"/>
      <c r="W1094" s="84">
        <f>Y1094+1</f>
        <v>13</v>
      </c>
      <c r="X1094" s="84"/>
      <c r="Y1094" s="78">
        <f>SUM(E1083:E1094)</f>
        <v>12</v>
      </c>
      <c r="Z1094" s="72"/>
      <c r="AA1094" s="72"/>
      <c r="AB1094" s="72"/>
      <c r="AC1094" s="72">
        <f t="shared" si="442"/>
        <v>1</v>
      </c>
      <c r="AD1094" s="72">
        <f t="shared" si="443"/>
        <v>1</v>
      </c>
      <c r="AE1094" s="109" t="str">
        <f t="shared" si="444"/>
        <v>0-0</v>
      </c>
      <c r="AF1094" s="109" t="str">
        <f t="shared" si="445"/>
        <v>Y</v>
      </c>
      <c r="AG1094" s="109" t="str">
        <f t="shared" si="446"/>
        <v>A</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9"/>
      <c r="N1095" s="279"/>
      <c r="O1095" s="279"/>
      <c r="P1095" s="279"/>
      <c r="Q1095" s="279"/>
      <c r="R1095" s="279"/>
      <c r="S1095" s="279"/>
      <c r="T1095" s="279"/>
      <c r="U1095" s="280"/>
      <c r="V1095" s="103"/>
      <c r="W1095" s="84">
        <f>Y1095+1</f>
        <v>13</v>
      </c>
      <c r="X1095" s="84"/>
      <c r="Y1095" s="78">
        <f>SUM(E1083:E1095)</f>
        <v>12</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A</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9"/>
      <c r="N1096" s="279"/>
      <c r="O1096" s="279"/>
      <c r="P1096" s="279"/>
      <c r="Q1096" s="279"/>
      <c r="R1096" s="279"/>
      <c r="S1096" s="279"/>
      <c r="T1096" s="279"/>
      <c r="U1096" s="280"/>
      <c r="V1096" s="103"/>
      <c r="W1096" s="84">
        <f>Y1096+1</f>
        <v>13</v>
      </c>
      <c r="X1096" s="84"/>
      <c r="Y1096" s="78">
        <f>SUM(E1083:E1096)</f>
        <v>12</v>
      </c>
      <c r="Z1096" s="72" t="str">
        <f t="shared" si="456"/>
        <v/>
      </c>
      <c r="AA1096" s="72"/>
      <c r="AB1096" s="72"/>
      <c r="AC1096" s="72">
        <f t="shared" si="442"/>
        <v>1</v>
      </c>
      <c r="AD1096" s="72">
        <f t="shared" si="443"/>
        <v>1</v>
      </c>
      <c r="AE1096" s="109" t="str">
        <f t="shared" si="444"/>
        <v>0-0</v>
      </c>
      <c r="AF1096" s="109" t="str">
        <f t="shared" si="445"/>
        <v>Y</v>
      </c>
      <c r="AG1096" s="109" t="str">
        <f t="shared" si="446"/>
        <v>A</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9"/>
      <c r="N1097" s="279"/>
      <c r="O1097" s="279"/>
      <c r="P1097" s="279"/>
      <c r="Q1097" s="279"/>
      <c r="R1097" s="279"/>
      <c r="S1097" s="279"/>
      <c r="T1097" s="279"/>
      <c r="U1097" s="280"/>
      <c r="V1097" s="103"/>
      <c r="W1097" s="84">
        <f>Y1097+1</f>
        <v>13</v>
      </c>
      <c r="X1097" s="84"/>
      <c r="Y1097" s="78">
        <f>SUM(E1083:E1097)</f>
        <v>12</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A</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9"/>
      <c r="N1098" s="279"/>
      <c r="O1098" s="279"/>
      <c r="P1098" s="279"/>
      <c r="Q1098" s="279"/>
      <c r="R1098" s="279"/>
      <c r="S1098" s="279"/>
      <c r="T1098" s="279"/>
      <c r="U1098" s="280"/>
      <c r="V1098" s="103"/>
      <c r="W1098" s="84">
        <f t="shared" ref="W1098:W1106" si="458">Y1098+1</f>
        <v>13</v>
      </c>
      <c r="X1098" s="84"/>
      <c r="Y1098" s="78">
        <f>SUM(E1083:E1098)</f>
        <v>12</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A</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9"/>
      <c r="N1099" s="279"/>
      <c r="O1099" s="279"/>
      <c r="P1099" s="279"/>
      <c r="Q1099" s="279"/>
      <c r="R1099" s="279"/>
      <c r="S1099" s="279"/>
      <c r="T1099" s="279"/>
      <c r="U1099" s="280"/>
      <c r="V1099" s="103"/>
      <c r="W1099" s="84">
        <f t="shared" si="458"/>
        <v>13</v>
      </c>
      <c r="X1099" s="84"/>
      <c r="Y1099" s="78">
        <f>SUM(E1083:E1099)</f>
        <v>12</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A</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9"/>
      <c r="N1100" s="279"/>
      <c r="O1100" s="279"/>
      <c r="P1100" s="279"/>
      <c r="Q1100" s="279"/>
      <c r="R1100" s="279"/>
      <c r="S1100" s="279"/>
      <c r="T1100" s="279"/>
      <c r="U1100" s="280"/>
      <c r="V1100" s="103"/>
      <c r="W1100" s="84">
        <f t="shared" si="458"/>
        <v>13</v>
      </c>
      <c r="X1100" s="84"/>
      <c r="Y1100" s="78">
        <f>SUM(E1083:E1100)</f>
        <v>12</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A</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9"/>
      <c r="N1101" s="279"/>
      <c r="O1101" s="279"/>
      <c r="P1101" s="279"/>
      <c r="Q1101" s="279"/>
      <c r="R1101" s="279"/>
      <c r="S1101" s="279"/>
      <c r="T1101" s="279"/>
      <c r="U1101" s="280"/>
      <c r="V1101" s="103"/>
      <c r="W1101" s="84">
        <f t="shared" si="458"/>
        <v>13</v>
      </c>
      <c r="X1101" s="84"/>
      <c r="Y1101" s="78">
        <f>SUM(E1083:E1101)</f>
        <v>12</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A</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9"/>
      <c r="N1102" s="279"/>
      <c r="O1102" s="279"/>
      <c r="P1102" s="279"/>
      <c r="Q1102" s="279"/>
      <c r="R1102" s="279"/>
      <c r="S1102" s="279"/>
      <c r="T1102" s="279"/>
      <c r="U1102" s="280"/>
      <c r="V1102" s="103"/>
      <c r="W1102" s="84">
        <f t="shared" si="458"/>
        <v>13</v>
      </c>
      <c r="X1102" s="84"/>
      <c r="Y1102" s="78">
        <f>SUM(E1083:E1102)</f>
        <v>12</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A</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9"/>
      <c r="N1103" s="279"/>
      <c r="O1103" s="279"/>
      <c r="P1103" s="279"/>
      <c r="Q1103" s="279"/>
      <c r="R1103" s="279"/>
      <c r="S1103" s="279"/>
      <c r="T1103" s="279"/>
      <c r="U1103" s="280"/>
      <c r="V1103" s="103"/>
      <c r="W1103" s="84">
        <f t="shared" si="458"/>
        <v>13</v>
      </c>
      <c r="X1103" s="84"/>
      <c r="Y1103" s="78">
        <f>SUM(E1083:E1103)</f>
        <v>12</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A</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9"/>
      <c r="N1104" s="279"/>
      <c r="O1104" s="279"/>
      <c r="P1104" s="279"/>
      <c r="Q1104" s="279"/>
      <c r="R1104" s="279"/>
      <c r="S1104" s="279"/>
      <c r="T1104" s="279"/>
      <c r="U1104" s="280"/>
      <c r="V1104" s="103"/>
      <c r="W1104" s="84">
        <f t="shared" si="458"/>
        <v>13</v>
      </c>
      <c r="X1104" s="84"/>
      <c r="Y1104" s="78">
        <f>SUM(E1083:E1104)</f>
        <v>12</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A</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9"/>
      <c r="N1105" s="279"/>
      <c r="O1105" s="279"/>
      <c r="P1105" s="279"/>
      <c r="Q1105" s="279"/>
      <c r="R1105" s="279"/>
      <c r="S1105" s="279"/>
      <c r="T1105" s="279"/>
      <c r="U1105" s="280"/>
      <c r="V1105" s="103"/>
      <c r="W1105" s="84">
        <f t="shared" si="458"/>
        <v>13</v>
      </c>
      <c r="X1105" s="84"/>
      <c r="Y1105" s="78">
        <f>SUM(E1083:E1105)</f>
        <v>12</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A</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9"/>
      <c r="N1106" s="279"/>
      <c r="O1106" s="279"/>
      <c r="P1106" s="279"/>
      <c r="Q1106" s="279"/>
      <c r="R1106" s="279"/>
      <c r="S1106" s="279"/>
      <c r="T1106" s="279"/>
      <c r="U1106" s="280"/>
      <c r="V1106" s="103"/>
      <c r="W1106" s="84">
        <f t="shared" si="458"/>
        <v>13</v>
      </c>
      <c r="X1106" s="84"/>
      <c r="Y1106" s="78">
        <f>SUM(E1083:E1106)</f>
        <v>12</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A</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9"/>
      <c r="N1107" s="279"/>
      <c r="O1107" s="279"/>
      <c r="P1107" s="279"/>
      <c r="Q1107" s="279"/>
      <c r="R1107" s="279"/>
      <c r="S1107" s="279"/>
      <c r="T1107" s="279"/>
      <c r="U1107" s="280"/>
      <c r="V1107" s="103"/>
      <c r="W1107" s="72"/>
      <c r="X1107" s="72"/>
      <c r="Y1107" s="78">
        <f>SUM(E1083:E1107)</f>
        <v>12</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A</v>
      </c>
      <c r="AM1107" s="109">
        <f t="shared" si="447"/>
        <v>0</v>
      </c>
      <c r="AN1107" s="109">
        <f t="shared" si="448"/>
        <v>0</v>
      </c>
      <c r="AO1107" s="109" t="str">
        <f t="shared" si="449"/>
        <v/>
      </c>
      <c r="AQ1107" s="109" t="str">
        <f t="shared" si="450"/>
        <v/>
      </c>
      <c r="BA1107" s="228"/>
    </row>
    <row r="1108" spans="1:53" ht="16.5" thickBot="1" x14ac:dyDescent="0.3">
      <c r="A1108" s="88"/>
      <c r="B1108" s="320" t="s">
        <v>357</v>
      </c>
      <c r="C1108" s="321"/>
      <c r="D1108" s="79"/>
      <c r="E1108" s="80"/>
      <c r="F1108" s="80"/>
      <c r="G1108" s="81"/>
      <c r="H1108" s="192"/>
      <c r="I1108" s="192"/>
      <c r="J1108" s="192"/>
      <c r="K1108" s="82"/>
      <c r="L1108" s="320" t="s">
        <v>306</v>
      </c>
      <c r="M1108" s="331"/>
      <c r="N1108" s="331"/>
      <c r="O1108" s="331"/>
      <c r="P1108" s="331"/>
      <c r="Q1108" s="331"/>
      <c r="R1108" s="331"/>
      <c r="S1108" s="331"/>
      <c r="T1108" s="331"/>
      <c r="U1108" s="321"/>
      <c r="V1108" s="104"/>
      <c r="W1108" s="72"/>
      <c r="X1108" s="72"/>
      <c r="Y1108" s="72"/>
      <c r="Z1108" s="72"/>
      <c r="AA1108" s="72" t="str">
        <f t="shared" si="457"/>
        <v/>
      </c>
      <c r="AB1108" s="72"/>
      <c r="AC1108" s="72">
        <f>SUM(AC1083:AC1107)</f>
        <v>25</v>
      </c>
      <c r="AD1108" s="72">
        <f>SUM(AD1083:AD1107)</f>
        <v>23</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20" t="s">
        <v>307</v>
      </c>
      <c r="C1109" s="321"/>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3" t="s">
        <v>222</v>
      </c>
      <c r="C1113" s="314"/>
      <c r="D1113" s="315" t="s">
        <v>223</v>
      </c>
      <c r="E1113" s="306"/>
      <c r="F1113" s="88"/>
      <c r="G1113" s="316" t="s">
        <v>224</v>
      </c>
      <c r="H1113" s="317"/>
      <c r="I1113" s="28">
        <f>SUM(E1124:E1148)</f>
        <v>372</v>
      </c>
      <c r="J1113" s="318" t="s">
        <v>225</v>
      </c>
      <c r="K1113" s="319"/>
      <c r="L1113" s="306"/>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6" t="s">
        <v>226</v>
      </c>
      <c r="AA1113" s="297"/>
      <c r="AB1113" s="298"/>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5" t="s">
        <v>230</v>
      </c>
      <c r="H1114" s="306"/>
      <c r="I1114" s="33">
        <f>E1115-I1113</f>
        <v>60</v>
      </c>
      <c r="J1114" s="290" t="s">
        <v>231</v>
      </c>
      <c r="K1114" s="291"/>
      <c r="L1114" s="34">
        <f>I1118</f>
        <v>433</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9" t="s">
        <v>232</v>
      </c>
      <c r="AA1114" s="301" t="s">
        <v>233</v>
      </c>
      <c r="AB1114" s="302"/>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v>432</v>
      </c>
      <c r="F1115" s="88"/>
      <c r="G1115" s="292" t="s">
        <v>237</v>
      </c>
      <c r="H1115" s="293"/>
      <c r="I1115" s="35">
        <f>IF(E1115=0,0,12-(MOD(I1113,12)))</f>
        <v>12</v>
      </c>
      <c r="J1115" s="290" t="s">
        <v>238</v>
      </c>
      <c r="K1115" s="291"/>
      <c r="L1115" s="39">
        <f>I1119-I1113</f>
        <v>432</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0"/>
      <c r="AA1115" s="303"/>
      <c r="AB1115" s="304"/>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60</v>
      </c>
      <c r="F1116" s="88"/>
      <c r="G1116" s="322" t="s">
        <v>242</v>
      </c>
      <c r="H1116" s="43" t="s">
        <v>243</v>
      </c>
      <c r="I1116" s="35">
        <f>IF(E1116&lt;&gt;0,1,0)</f>
        <v>1</v>
      </c>
      <c r="J1116" s="292" t="s">
        <v>244</v>
      </c>
      <c r="K1116" s="293"/>
      <c r="L1116" s="44">
        <f>'Cable Calculator'!EI3</f>
        <v>100</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433</v>
      </c>
      <c r="F1117" s="88"/>
      <c r="G1117" s="323"/>
      <c r="H1117" s="47" t="s">
        <v>248</v>
      </c>
      <c r="I1117" s="35">
        <f>IF(E1116&lt;&gt;0,E1116,0)</f>
        <v>60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36</v>
      </c>
      <c r="F1118" s="88"/>
      <c r="G1118" s="322" t="s">
        <v>251</v>
      </c>
      <c r="H1118" s="51" t="s">
        <v>252</v>
      </c>
      <c r="I1118" s="112">
        <f>E1117</f>
        <v>433</v>
      </c>
      <c r="J1118" s="324" t="s">
        <v>253</v>
      </c>
      <c r="K1118" s="325"/>
      <c r="L1118" s="326"/>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N</v>
      </c>
      <c r="F1119" s="88"/>
      <c r="G1119" s="323"/>
      <c r="H1119" s="47" t="s">
        <v>257</v>
      </c>
      <c r="I1119" s="35">
        <f>IF(E1117="","0",IF(AND(E1114="EUC",E1115=432), I1118+(203-E1116),IF(E1117=0,0,(E1117+(E1115-E1116)-1))))</f>
        <v>804</v>
      </c>
      <c r="J1119" s="287" t="str">
        <f>IFERROR(IF(OR(E1114="EUC",E1114="SS"),"---",IF(OR(P1113,S1113),"NO 2F Tethers for RPX!",IF(OR(P1115,S1115),"NO 6F Tethers for RPX!","---"))),"---")</f>
        <v>---</v>
      </c>
      <c r="K1119" s="288"/>
      <c r="L1119" s="289"/>
      <c r="M1119" s="287" t="str">
        <f>IF(E1116&gt;60,"Dead Count &gt;60: Consider Downsize","---")</f>
        <v>---</v>
      </c>
      <c r="N1119" s="288"/>
      <c r="O1119" s="288"/>
      <c r="P1119" s="288"/>
      <c r="Q1119" s="288"/>
      <c r="R1119" s="288"/>
      <c r="S1119" s="288"/>
      <c r="T1119" s="288"/>
      <c r="U1119" s="289"/>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372</v>
      </c>
      <c r="D1120" s="31" t="s">
        <v>259</v>
      </c>
      <c r="E1120" s="101" t="str">
        <f>IF(AS1114="Y","DBL",IF(AS1115="Y","TRPL",IF(AS1116="Y","QUAD","")))</f>
        <v/>
      </c>
      <c r="F1120" s="88"/>
      <c r="G1120" s="192"/>
      <c r="H1120" s="57"/>
      <c r="I1120" s="192"/>
      <c r="J1120" s="287"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8"/>
      <c r="L1120" s="289"/>
      <c r="M1120" s="287" t="str">
        <f>IF(AND(OR(E1114="SS",E1114="RPX",E1114="EUC",E1114="RPX-T"),(OR(C1124="",C1124="Field SPL"))),"Cannot have FlexNap cables without tethers","---")</f>
        <v>---</v>
      </c>
      <c r="N1120" s="288"/>
      <c r="O1120" s="288"/>
      <c r="P1120" s="288"/>
      <c r="Q1120" s="288"/>
      <c r="R1120" s="288"/>
      <c r="S1120" s="288"/>
      <c r="T1120" s="288"/>
      <c r="U1120" s="289"/>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7" t="str">
        <f>IF(AND(OR(E1114="RPX", E1114="RPX-T", E1114="SS"),E1115=216),"NO 216 For RPX, RPX-T, OR SS CABLE","---")</f>
        <v>---</v>
      </c>
      <c r="K1121" s="288"/>
      <c r="L1121" s="289"/>
      <c r="M1121" s="287" t="str" cm="1">
        <f t="array" ref="M1121">IF(AND(E1114="",OR(C1124:C1148="FST",C1124:C1148="REV T",C1124:C1148="DBL REV",C1124:C1148="TPL REV", C1124:C1148="QD REV")),"Non-FlexNap cables cannot have tethers","---")</f>
        <v>---</v>
      </c>
      <c r="N1121" s="288"/>
      <c r="O1121" s="288"/>
      <c r="P1121" s="288"/>
      <c r="Q1121" s="288"/>
      <c r="R1121" s="288"/>
      <c r="S1121" s="288"/>
      <c r="T1121" s="288"/>
      <c r="U1121" s="289"/>
      <c r="V1121" s="25"/>
      <c r="W1121" s="58"/>
      <c r="X1121" s="58"/>
      <c r="Y1121" s="25"/>
      <c r="Z1121" s="45">
        <v>6</v>
      </c>
      <c r="AA1121" s="65">
        <v>61</v>
      </c>
      <c r="AB1121" s="65">
        <v>72</v>
      </c>
      <c r="AC1121" s="25"/>
      <c r="AD1121" s="25"/>
      <c r="BA1121" s="226"/>
    </row>
    <row r="1122" spans="1:53" ht="15.75" customHeight="1" thickBot="1" x14ac:dyDescent="0.3">
      <c r="A1122" s="88"/>
      <c r="B1122" s="322" t="s">
        <v>260</v>
      </c>
      <c r="C1122" s="294" t="s">
        <v>261</v>
      </c>
      <c r="D1122" s="294" t="s">
        <v>262</v>
      </c>
      <c r="E1122" s="307" t="s">
        <v>263</v>
      </c>
      <c r="F1122" s="294" t="s">
        <v>264</v>
      </c>
      <c r="G1122" s="309" t="s">
        <v>265</v>
      </c>
      <c r="H1122" s="309" t="s">
        <v>266</v>
      </c>
      <c r="I1122" s="309" t="s">
        <v>267</v>
      </c>
      <c r="J1122" s="311" t="s">
        <v>268</v>
      </c>
      <c r="K1122" s="294" t="s">
        <v>269</v>
      </c>
      <c r="L1122" s="281" t="s">
        <v>270</v>
      </c>
      <c r="M1122" s="283" t="s">
        <v>271</v>
      </c>
      <c r="N1122" s="283"/>
      <c r="O1122" s="283"/>
      <c r="P1122" s="283"/>
      <c r="Q1122" s="283"/>
      <c r="R1122" s="283"/>
      <c r="S1122" s="283"/>
      <c r="T1122" s="283"/>
      <c r="U1122" s="284"/>
      <c r="V1122" s="107"/>
      <c r="W1122" s="72"/>
      <c r="X1122" s="72"/>
      <c r="Y1122" s="72"/>
      <c r="Z1122" s="45">
        <v>7</v>
      </c>
      <c r="AA1122" s="65">
        <v>73</v>
      </c>
      <c r="AB1122" s="65">
        <v>84</v>
      </c>
      <c r="AC1122" s="25"/>
      <c r="AD1122" s="25"/>
      <c r="BA1122" s="228"/>
    </row>
    <row r="1123" spans="1:53" ht="15.75" thickBot="1" x14ac:dyDescent="0.3">
      <c r="A1123" s="88"/>
      <c r="B1123" s="323"/>
      <c r="C1123" s="295"/>
      <c r="D1123" s="295"/>
      <c r="E1123" s="308"/>
      <c r="F1123" s="295"/>
      <c r="G1123" s="310"/>
      <c r="H1123" s="310"/>
      <c r="I1123" s="310"/>
      <c r="J1123" s="312"/>
      <c r="K1123" s="295"/>
      <c r="L1123" s="282"/>
      <c r="M1123" s="285"/>
      <c r="N1123" s="285"/>
      <c r="O1123" s="285"/>
      <c r="P1123" s="285"/>
      <c r="Q1123" s="285"/>
      <c r="R1123" s="285"/>
      <c r="S1123" s="285"/>
      <c r="T1123" s="285"/>
      <c r="U1123" s="286"/>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502</v>
      </c>
      <c r="D1124" s="102"/>
      <c r="E1124" s="32">
        <v>216</v>
      </c>
      <c r="F1124" s="32"/>
      <c r="G1124" s="68" t="s">
        <v>277</v>
      </c>
      <c r="H1124" s="69">
        <f>IF(I1124=0,0,I1124-(E1124-1))</f>
        <v>589</v>
      </c>
      <c r="I1124" s="70">
        <f>IF(E1124=0,0,I1119)</f>
        <v>804</v>
      </c>
      <c r="J1124" s="71" t="s">
        <v>278</v>
      </c>
      <c r="K1124" s="32"/>
      <c r="L1124" s="233"/>
      <c r="M1124" s="279" t="s">
        <v>820</v>
      </c>
      <c r="N1124" s="279"/>
      <c r="O1124" s="279"/>
      <c r="P1124" s="279"/>
      <c r="Q1124" s="279"/>
      <c r="R1124" s="279"/>
      <c r="S1124" s="279"/>
      <c r="T1124" s="279"/>
      <c r="U1124" s="280"/>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589-804</v>
      </c>
      <c r="AF1124" s="109" t="str">
        <f t="shared" ref="AF1124:AF1148" si="462">IF(C1124="Field SPL","N","Y")</f>
        <v>N</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t="s">
        <v>502</v>
      </c>
      <c r="D1125" s="102"/>
      <c r="E1125" s="32">
        <v>144</v>
      </c>
      <c r="F1125" s="32"/>
      <c r="G1125" s="68" t="s">
        <v>277</v>
      </c>
      <c r="H1125" s="69">
        <f t="shared" ref="H1125:H1148" si="468">IF(E1125=0,0,I1125-(E1125-1))</f>
        <v>445</v>
      </c>
      <c r="I1125" s="70">
        <f t="shared" ref="I1125:I1148" si="469">IF(E1125=0,0,H1124-1)</f>
        <v>588</v>
      </c>
      <c r="J1125" s="73" t="str">
        <f>IF(C1125="","--",IF(AND(C1125&lt;&gt;"FST",C1125&lt;&gt;"TCF",BA1124&lt;&gt;0),BA1124,"--"))</f>
        <v>--</v>
      </c>
      <c r="K1125" s="32"/>
      <c r="L1125" s="233"/>
      <c r="M1125" s="279"/>
      <c r="N1125" s="279"/>
      <c r="O1125" s="279"/>
      <c r="P1125" s="279"/>
      <c r="Q1125" s="279"/>
      <c r="R1125" s="279"/>
      <c r="S1125" s="279"/>
      <c r="T1125" s="279"/>
      <c r="U1125" s="280"/>
      <c r="V1125" s="103"/>
      <c r="W1125" s="72"/>
      <c r="X1125" s="72"/>
      <c r="Y1125" s="72"/>
      <c r="Z1125" s="45">
        <v>10</v>
      </c>
      <c r="AA1125" s="46">
        <v>109</v>
      </c>
      <c r="AB1125" s="46">
        <v>120</v>
      </c>
      <c r="AC1125" s="72">
        <f t="shared" si="459"/>
        <v>1</v>
      </c>
      <c r="AD1125" s="72">
        <f t="shared" si="460"/>
        <v>1</v>
      </c>
      <c r="AE1125" s="109" t="str">
        <f t="shared" si="461"/>
        <v>445-588</v>
      </c>
      <c r="AF1125" s="109" t="str">
        <f t="shared" si="462"/>
        <v>N</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t="s">
        <v>502</v>
      </c>
      <c r="D1126" s="102"/>
      <c r="E1126" s="32">
        <v>12</v>
      </c>
      <c r="F1126" s="32"/>
      <c r="G1126" s="75" t="s">
        <v>277</v>
      </c>
      <c r="H1126" s="69">
        <f t="shared" si="468"/>
        <v>433</v>
      </c>
      <c r="I1126" s="70">
        <f t="shared" si="469"/>
        <v>444</v>
      </c>
      <c r="J1126" s="73" t="str">
        <f t="shared" ref="J1126:J1148" si="470">IF(C1126="","--",IF(AND(C1126&lt;&gt;"FST",C1126&lt;&gt;"TCF",BA1125&lt;&gt;0),BA1125,"--"))</f>
        <v>--</v>
      </c>
      <c r="K1126" s="32"/>
      <c r="L1126" s="233"/>
      <c r="M1126" s="279"/>
      <c r="N1126" s="279"/>
      <c r="O1126" s="279"/>
      <c r="P1126" s="279"/>
      <c r="Q1126" s="279"/>
      <c r="R1126" s="279"/>
      <c r="S1126" s="279"/>
      <c r="T1126" s="279"/>
      <c r="U1126" s="280"/>
      <c r="V1126" s="103"/>
      <c r="W1126" s="72"/>
      <c r="X1126" s="72"/>
      <c r="Y1126" s="72"/>
      <c r="Z1126" s="45">
        <v>11</v>
      </c>
      <c r="AA1126" s="46">
        <v>121</v>
      </c>
      <c r="AB1126" s="46">
        <v>132</v>
      </c>
      <c r="AC1126" s="72">
        <f t="shared" si="459"/>
        <v>1</v>
      </c>
      <c r="AD1126" s="72">
        <f t="shared" si="460"/>
        <v>1</v>
      </c>
      <c r="AE1126" s="109" t="str">
        <f t="shared" si="461"/>
        <v>433-444</v>
      </c>
      <c r="AF1126" s="109" t="str">
        <f t="shared" si="462"/>
        <v>N</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79"/>
      <c r="N1127" s="279"/>
      <c r="O1127" s="279"/>
      <c r="P1127" s="279"/>
      <c r="Q1127" s="279"/>
      <c r="R1127" s="279"/>
      <c r="S1127" s="279"/>
      <c r="T1127" s="279"/>
      <c r="U1127" s="280"/>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79"/>
      <c r="N1128" s="279"/>
      <c r="O1128" s="279"/>
      <c r="P1128" s="279"/>
      <c r="Q1128" s="279"/>
      <c r="R1128" s="279"/>
      <c r="S1128" s="279"/>
      <c r="T1128" s="279"/>
      <c r="U1128" s="280"/>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79"/>
      <c r="N1129" s="279"/>
      <c r="O1129" s="279"/>
      <c r="P1129" s="279"/>
      <c r="Q1129" s="279"/>
      <c r="R1129" s="279"/>
      <c r="S1129" s="279"/>
      <c r="T1129" s="279"/>
      <c r="U1129" s="280"/>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9"/>
      <c r="N1130" s="279"/>
      <c r="O1130" s="279"/>
      <c r="P1130" s="279"/>
      <c r="Q1130" s="279"/>
      <c r="R1130" s="279"/>
      <c r="S1130" s="279"/>
      <c r="T1130" s="279"/>
      <c r="U1130" s="280"/>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9"/>
      <c r="N1131" s="279"/>
      <c r="O1131" s="279"/>
      <c r="P1131" s="279"/>
      <c r="Q1131" s="279"/>
      <c r="R1131" s="279"/>
      <c r="S1131" s="279"/>
      <c r="T1131" s="279"/>
      <c r="U1131" s="280"/>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9"/>
      <c r="N1132" s="279"/>
      <c r="O1132" s="279"/>
      <c r="P1132" s="279"/>
      <c r="Q1132" s="279"/>
      <c r="R1132" s="279"/>
      <c r="S1132" s="279"/>
      <c r="T1132" s="279"/>
      <c r="U1132" s="280"/>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9"/>
      <c r="N1133" s="279"/>
      <c r="O1133" s="279"/>
      <c r="P1133" s="279"/>
      <c r="Q1133" s="279"/>
      <c r="R1133" s="279"/>
      <c r="S1133" s="279"/>
      <c r="T1133" s="279"/>
      <c r="U1133" s="280"/>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9"/>
      <c r="N1134" s="279"/>
      <c r="O1134" s="279"/>
      <c r="P1134" s="279"/>
      <c r="Q1134" s="279"/>
      <c r="R1134" s="279"/>
      <c r="S1134" s="279"/>
      <c r="T1134" s="279"/>
      <c r="U1134" s="280"/>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9"/>
      <c r="N1135" s="279"/>
      <c r="O1135" s="279"/>
      <c r="P1135" s="279"/>
      <c r="Q1135" s="279"/>
      <c r="R1135" s="279"/>
      <c r="S1135" s="279"/>
      <c r="T1135" s="279"/>
      <c r="U1135" s="280"/>
      <c r="V1135" s="103"/>
      <c r="W1135" s="84">
        <f>Y1135+1</f>
        <v>373</v>
      </c>
      <c r="X1135" s="84"/>
      <c r="Y1135" s="78">
        <f>SUM(E1124:E1135)</f>
        <v>372</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9"/>
      <c r="N1136" s="279"/>
      <c r="O1136" s="279"/>
      <c r="P1136" s="279"/>
      <c r="Q1136" s="279"/>
      <c r="R1136" s="279"/>
      <c r="S1136" s="279"/>
      <c r="T1136" s="279"/>
      <c r="U1136" s="280"/>
      <c r="V1136" s="103"/>
      <c r="W1136" s="84">
        <f>Y1136+1</f>
        <v>373</v>
      </c>
      <c r="X1136" s="84"/>
      <c r="Y1136" s="78">
        <f>SUM(E1124:E1136)</f>
        <v>372</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9"/>
      <c r="N1137" s="279"/>
      <c r="O1137" s="279"/>
      <c r="P1137" s="279"/>
      <c r="Q1137" s="279"/>
      <c r="R1137" s="279"/>
      <c r="S1137" s="279"/>
      <c r="T1137" s="279"/>
      <c r="U1137" s="280"/>
      <c r="V1137" s="103"/>
      <c r="W1137" s="84">
        <f>Y1137+1</f>
        <v>373</v>
      </c>
      <c r="X1137" s="84"/>
      <c r="Y1137" s="78">
        <f>SUM(E1124:E1137)</f>
        <v>372</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9"/>
      <c r="N1138" s="279"/>
      <c r="O1138" s="279"/>
      <c r="P1138" s="279"/>
      <c r="Q1138" s="279"/>
      <c r="R1138" s="279"/>
      <c r="S1138" s="279"/>
      <c r="T1138" s="279"/>
      <c r="U1138" s="280"/>
      <c r="V1138" s="103"/>
      <c r="W1138" s="84">
        <f>Y1138+1</f>
        <v>373</v>
      </c>
      <c r="X1138" s="84"/>
      <c r="Y1138" s="78">
        <f>SUM(E1124:E1138)</f>
        <v>372</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9"/>
      <c r="N1139" s="279"/>
      <c r="O1139" s="279"/>
      <c r="P1139" s="279"/>
      <c r="Q1139" s="279"/>
      <c r="R1139" s="279"/>
      <c r="S1139" s="279"/>
      <c r="T1139" s="279"/>
      <c r="U1139" s="280"/>
      <c r="V1139" s="103"/>
      <c r="W1139" s="84">
        <f t="shared" ref="W1139:W1147" si="475">Y1139+1</f>
        <v>373</v>
      </c>
      <c r="X1139" s="84"/>
      <c r="Y1139" s="78">
        <f>SUM(E1124:E1139)</f>
        <v>372</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9"/>
      <c r="N1140" s="279"/>
      <c r="O1140" s="279"/>
      <c r="P1140" s="279"/>
      <c r="Q1140" s="279"/>
      <c r="R1140" s="279"/>
      <c r="S1140" s="279"/>
      <c r="T1140" s="279"/>
      <c r="U1140" s="280"/>
      <c r="V1140" s="103"/>
      <c r="W1140" s="84">
        <f t="shared" si="475"/>
        <v>373</v>
      </c>
      <c r="X1140" s="84"/>
      <c r="Y1140" s="78">
        <f>SUM(E1124:E1140)</f>
        <v>372</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9"/>
      <c r="N1141" s="279"/>
      <c r="O1141" s="279"/>
      <c r="P1141" s="279"/>
      <c r="Q1141" s="279"/>
      <c r="R1141" s="279"/>
      <c r="S1141" s="279"/>
      <c r="T1141" s="279"/>
      <c r="U1141" s="280"/>
      <c r="V1141" s="103"/>
      <c r="W1141" s="84">
        <f t="shared" si="475"/>
        <v>373</v>
      </c>
      <c r="X1141" s="84"/>
      <c r="Y1141" s="78">
        <f>SUM(E1124:E1141)</f>
        <v>372</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9"/>
      <c r="N1142" s="279"/>
      <c r="O1142" s="279"/>
      <c r="P1142" s="279"/>
      <c r="Q1142" s="279"/>
      <c r="R1142" s="279"/>
      <c r="S1142" s="279"/>
      <c r="T1142" s="279"/>
      <c r="U1142" s="280"/>
      <c r="V1142" s="103"/>
      <c r="W1142" s="84">
        <f t="shared" si="475"/>
        <v>373</v>
      </c>
      <c r="X1142" s="84"/>
      <c r="Y1142" s="78">
        <f>SUM(E1124:E1142)</f>
        <v>372</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9"/>
      <c r="N1143" s="279"/>
      <c r="O1143" s="279"/>
      <c r="P1143" s="279"/>
      <c r="Q1143" s="279"/>
      <c r="R1143" s="279"/>
      <c r="S1143" s="279"/>
      <c r="T1143" s="279"/>
      <c r="U1143" s="280"/>
      <c r="V1143" s="103"/>
      <c r="W1143" s="84">
        <f t="shared" si="475"/>
        <v>373</v>
      </c>
      <c r="X1143" s="84"/>
      <c r="Y1143" s="78">
        <f>SUM(E1124:E1143)</f>
        <v>372</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9"/>
      <c r="N1144" s="279"/>
      <c r="O1144" s="279"/>
      <c r="P1144" s="279"/>
      <c r="Q1144" s="279"/>
      <c r="R1144" s="279"/>
      <c r="S1144" s="279"/>
      <c r="T1144" s="279"/>
      <c r="U1144" s="280"/>
      <c r="V1144" s="103"/>
      <c r="W1144" s="84">
        <f t="shared" si="475"/>
        <v>373</v>
      </c>
      <c r="X1144" s="84"/>
      <c r="Y1144" s="78">
        <f>SUM(E1124:E1144)</f>
        <v>372</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9"/>
      <c r="N1145" s="279"/>
      <c r="O1145" s="279"/>
      <c r="P1145" s="279"/>
      <c r="Q1145" s="279"/>
      <c r="R1145" s="279"/>
      <c r="S1145" s="279"/>
      <c r="T1145" s="279"/>
      <c r="U1145" s="280"/>
      <c r="V1145" s="103"/>
      <c r="W1145" s="84">
        <f t="shared" si="475"/>
        <v>373</v>
      </c>
      <c r="X1145" s="84"/>
      <c r="Y1145" s="78">
        <f>SUM(E1124:E1145)</f>
        <v>372</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9"/>
      <c r="N1146" s="279"/>
      <c r="O1146" s="279"/>
      <c r="P1146" s="279"/>
      <c r="Q1146" s="279"/>
      <c r="R1146" s="279"/>
      <c r="S1146" s="279"/>
      <c r="T1146" s="279"/>
      <c r="U1146" s="280"/>
      <c r="V1146" s="103"/>
      <c r="W1146" s="84">
        <f t="shared" si="475"/>
        <v>373</v>
      </c>
      <c r="X1146" s="84"/>
      <c r="Y1146" s="78">
        <f>SUM(E1124:E1146)</f>
        <v>372</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9"/>
      <c r="N1147" s="279"/>
      <c r="O1147" s="279"/>
      <c r="P1147" s="279"/>
      <c r="Q1147" s="279"/>
      <c r="R1147" s="279"/>
      <c r="S1147" s="279"/>
      <c r="T1147" s="279"/>
      <c r="U1147" s="280"/>
      <c r="V1147" s="103"/>
      <c r="W1147" s="84">
        <f t="shared" si="475"/>
        <v>373</v>
      </c>
      <c r="X1147" s="84"/>
      <c r="Y1147" s="78">
        <f>SUM(E1124:E1147)</f>
        <v>372</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9"/>
      <c r="N1148" s="279"/>
      <c r="O1148" s="279"/>
      <c r="P1148" s="279"/>
      <c r="Q1148" s="279"/>
      <c r="R1148" s="279"/>
      <c r="S1148" s="279"/>
      <c r="T1148" s="279"/>
      <c r="U1148" s="280"/>
      <c r="V1148" s="103"/>
      <c r="W1148" s="72"/>
      <c r="X1148" s="72"/>
      <c r="Y1148" s="78">
        <f>SUM(E1124:E1148)</f>
        <v>372</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20" t="s">
        <v>359</v>
      </c>
      <c r="C1149" s="321"/>
      <c r="D1149" s="79"/>
      <c r="E1149" s="80"/>
      <c r="F1149" s="80"/>
      <c r="G1149" s="81"/>
      <c r="H1149" s="192"/>
      <c r="I1149" s="192"/>
      <c r="J1149" s="192"/>
      <c r="K1149" s="82"/>
      <c r="L1149" s="320" t="s">
        <v>306</v>
      </c>
      <c r="M1149" s="331"/>
      <c r="N1149" s="331"/>
      <c r="O1149" s="331"/>
      <c r="P1149" s="331"/>
      <c r="Q1149" s="331"/>
      <c r="R1149" s="331"/>
      <c r="S1149" s="331"/>
      <c r="T1149" s="331"/>
      <c r="U1149" s="321"/>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20" t="s">
        <v>307</v>
      </c>
      <c r="C1150" s="321"/>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3" t="s">
        <v>222</v>
      </c>
      <c r="C1154" s="314"/>
      <c r="D1154" s="315" t="s">
        <v>223</v>
      </c>
      <c r="E1154" s="306"/>
      <c r="F1154" s="88"/>
      <c r="G1154" s="316" t="s">
        <v>224</v>
      </c>
      <c r="H1154" s="317"/>
      <c r="I1154" s="28">
        <f>SUM(E1165:E1189)</f>
        <v>0</v>
      </c>
      <c r="J1154" s="318" t="s">
        <v>225</v>
      </c>
      <c r="K1154" s="319"/>
      <c r="L1154" s="306"/>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6" t="s">
        <v>226</v>
      </c>
      <c r="AA1154" s="297"/>
      <c r="AB1154" s="298"/>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5" t="s">
        <v>230</v>
      </c>
      <c r="H1155" s="306"/>
      <c r="I1155" s="33">
        <f>E1156-I1154</f>
        <v>0</v>
      </c>
      <c r="J1155" s="290" t="s">
        <v>231</v>
      </c>
      <c r="K1155" s="291"/>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9" t="s">
        <v>232</v>
      </c>
      <c r="AA1155" s="301" t="s">
        <v>233</v>
      </c>
      <c r="AB1155" s="302"/>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2" t="s">
        <v>237</v>
      </c>
      <c r="H1156" s="293"/>
      <c r="I1156" s="35">
        <f>IF(E1156=0,0,12-(MOD(I1154,12)))</f>
        <v>0</v>
      </c>
      <c r="J1156" s="290" t="s">
        <v>238</v>
      </c>
      <c r="K1156" s="291"/>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0"/>
      <c r="AA1156" s="303"/>
      <c r="AB1156" s="304"/>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2" t="s">
        <v>242</v>
      </c>
      <c r="H1157" s="43" t="s">
        <v>243</v>
      </c>
      <c r="I1157" s="35">
        <f>IF(E1157&lt;&gt;0,1,0)</f>
        <v>0</v>
      </c>
      <c r="J1157" s="292" t="s">
        <v>244</v>
      </c>
      <c r="K1157" s="293"/>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3"/>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2" t="s">
        <v>251</v>
      </c>
      <c r="H1159" s="51" t="s">
        <v>252</v>
      </c>
      <c r="I1159" s="112">
        <f>E1158</f>
        <v>0</v>
      </c>
      <c r="J1159" s="324" t="s">
        <v>253</v>
      </c>
      <c r="K1159" s="325"/>
      <c r="L1159" s="326"/>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N</v>
      </c>
      <c r="F1160" s="88"/>
      <c r="G1160" s="323"/>
      <c r="H1160" s="47" t="s">
        <v>257</v>
      </c>
      <c r="I1160" s="35" t="str">
        <f>IF(E1158="","0",IF(AND(E1155="EUC",E1156=432), I1159+(203-E1157),IF(E1158=0,0,(E1158+(E1156-E1157)-1))))</f>
        <v>0</v>
      </c>
      <c r="J1160" s="287" t="str">
        <f>IFERROR(IF(OR(E1155="EUC",E1155="SS"),"---",IF(OR(P1154,S1154),"NO 2F Tethers for RPX!",IF(OR(P1156,S1156),"NO 6F Tethers for RPX!","---"))),"---")</f>
        <v>---</v>
      </c>
      <c r="K1160" s="288"/>
      <c r="L1160" s="289"/>
      <c r="M1160" s="287" t="str">
        <f>IF(E1157&gt;60,"Dead Count &gt;60: Consider Downsize","---")</f>
        <v>---</v>
      </c>
      <c r="N1160" s="288"/>
      <c r="O1160" s="288"/>
      <c r="P1160" s="288"/>
      <c r="Q1160" s="288"/>
      <c r="R1160" s="288"/>
      <c r="S1160" s="288"/>
      <c r="T1160" s="288"/>
      <c r="U1160" s="289"/>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87"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8"/>
      <c r="L1161" s="289"/>
      <c r="M1161" s="287" t="str">
        <f>IF(AND(OR(E1155="SS",E1155="RPX",E1155="EUC",E1155="RPX-T"),(OR(C1165="",C1165="Field SPL"))),"Cannot have FlexNap cables without tethers","---")</f>
        <v>---</v>
      </c>
      <c r="N1161" s="288"/>
      <c r="O1161" s="288"/>
      <c r="P1161" s="288"/>
      <c r="Q1161" s="288"/>
      <c r="R1161" s="288"/>
      <c r="S1161" s="288"/>
      <c r="T1161" s="288"/>
      <c r="U1161" s="289"/>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7" t="str">
        <f>IF(AND(OR(E1155="RPX", E1155="RPX-T", E1155="SS"),E1156=216),"NO 216 For RPX, RPX-T, OR SS CABLE","---")</f>
        <v>---</v>
      </c>
      <c r="K1162" s="288"/>
      <c r="L1162" s="289"/>
      <c r="M1162" s="287" t="str" cm="1">
        <f t="array" ref="M1162">IF(AND(E1155="",OR(C1165:C1189="FST",C1165:C1189="REV T",C1165:C1189="DBL REV",C1165:C1189="TPL REV", C1165:C1189="QD REV")),"Non-FlexNap cables cannot have tethers","---")</f>
        <v>---</v>
      </c>
      <c r="N1162" s="288"/>
      <c r="O1162" s="288"/>
      <c r="P1162" s="288"/>
      <c r="Q1162" s="288"/>
      <c r="R1162" s="288"/>
      <c r="S1162" s="288"/>
      <c r="T1162" s="288"/>
      <c r="U1162" s="289"/>
      <c r="V1162" s="25"/>
      <c r="W1162" s="58"/>
      <c r="X1162" s="58"/>
      <c r="Y1162" s="25"/>
      <c r="Z1162" s="45">
        <v>6</v>
      </c>
      <c r="AA1162" s="65">
        <v>61</v>
      </c>
      <c r="AB1162" s="65">
        <v>72</v>
      </c>
      <c r="AC1162" s="25"/>
      <c r="AD1162" s="25"/>
      <c r="BA1162" s="226"/>
    </row>
    <row r="1163" spans="1:53" ht="15.75" customHeight="1" thickBot="1" x14ac:dyDescent="0.3">
      <c r="A1163" s="88"/>
      <c r="B1163" s="322" t="s">
        <v>260</v>
      </c>
      <c r="C1163" s="294" t="s">
        <v>261</v>
      </c>
      <c r="D1163" s="294" t="s">
        <v>262</v>
      </c>
      <c r="E1163" s="307" t="s">
        <v>263</v>
      </c>
      <c r="F1163" s="294" t="s">
        <v>264</v>
      </c>
      <c r="G1163" s="309" t="s">
        <v>265</v>
      </c>
      <c r="H1163" s="309" t="s">
        <v>266</v>
      </c>
      <c r="I1163" s="309" t="s">
        <v>267</v>
      </c>
      <c r="J1163" s="311" t="s">
        <v>268</v>
      </c>
      <c r="K1163" s="294" t="s">
        <v>269</v>
      </c>
      <c r="L1163" s="281" t="s">
        <v>270</v>
      </c>
      <c r="M1163" s="283" t="s">
        <v>271</v>
      </c>
      <c r="N1163" s="283"/>
      <c r="O1163" s="283"/>
      <c r="P1163" s="283"/>
      <c r="Q1163" s="283"/>
      <c r="R1163" s="283"/>
      <c r="S1163" s="283"/>
      <c r="T1163" s="283"/>
      <c r="U1163" s="284"/>
      <c r="V1163" s="107"/>
      <c r="W1163" s="72"/>
      <c r="X1163" s="72"/>
      <c r="Y1163" s="72"/>
      <c r="Z1163" s="45">
        <v>7</v>
      </c>
      <c r="AA1163" s="65">
        <v>73</v>
      </c>
      <c r="AB1163" s="65">
        <v>84</v>
      </c>
      <c r="AC1163" s="25"/>
      <c r="AD1163" s="25"/>
      <c r="BA1163" s="228"/>
    </row>
    <row r="1164" spans="1:53" ht="15.75" thickBot="1" x14ac:dyDescent="0.3">
      <c r="A1164" s="88"/>
      <c r="B1164" s="323"/>
      <c r="C1164" s="295"/>
      <c r="D1164" s="295"/>
      <c r="E1164" s="308"/>
      <c r="F1164" s="295"/>
      <c r="G1164" s="310"/>
      <c r="H1164" s="310"/>
      <c r="I1164" s="310"/>
      <c r="J1164" s="312"/>
      <c r="K1164" s="295"/>
      <c r="L1164" s="282"/>
      <c r="M1164" s="285"/>
      <c r="N1164" s="285"/>
      <c r="O1164" s="285"/>
      <c r="P1164" s="285"/>
      <c r="Q1164" s="285"/>
      <c r="R1164" s="285"/>
      <c r="S1164" s="285"/>
      <c r="T1164" s="285"/>
      <c r="U1164" s="286"/>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79"/>
      <c r="N1165" s="279"/>
      <c r="O1165" s="279"/>
      <c r="P1165" s="279"/>
      <c r="Q1165" s="279"/>
      <c r="R1165" s="279"/>
      <c r="S1165" s="279"/>
      <c r="T1165" s="279"/>
      <c r="U1165" s="280"/>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79"/>
      <c r="N1166" s="279"/>
      <c r="O1166" s="279"/>
      <c r="P1166" s="279"/>
      <c r="Q1166" s="279"/>
      <c r="R1166" s="279"/>
      <c r="S1166" s="279"/>
      <c r="T1166" s="279"/>
      <c r="U1166" s="280"/>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79"/>
      <c r="N1167" s="279"/>
      <c r="O1167" s="279"/>
      <c r="P1167" s="279"/>
      <c r="Q1167" s="279"/>
      <c r="R1167" s="279"/>
      <c r="S1167" s="279"/>
      <c r="T1167" s="279"/>
      <c r="U1167" s="280"/>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9"/>
      <c r="N1168" s="279"/>
      <c r="O1168" s="279"/>
      <c r="P1168" s="279"/>
      <c r="Q1168" s="279"/>
      <c r="R1168" s="279"/>
      <c r="S1168" s="279"/>
      <c r="T1168" s="279"/>
      <c r="U1168" s="280"/>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9"/>
      <c r="N1169" s="279"/>
      <c r="O1169" s="279"/>
      <c r="P1169" s="279"/>
      <c r="Q1169" s="279"/>
      <c r="R1169" s="279"/>
      <c r="S1169" s="279"/>
      <c r="T1169" s="279"/>
      <c r="U1169" s="280"/>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9"/>
      <c r="N1170" s="279"/>
      <c r="O1170" s="279"/>
      <c r="P1170" s="279"/>
      <c r="Q1170" s="279"/>
      <c r="R1170" s="279"/>
      <c r="S1170" s="279"/>
      <c r="T1170" s="279"/>
      <c r="U1170" s="280"/>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9"/>
      <c r="N1171" s="279"/>
      <c r="O1171" s="279"/>
      <c r="P1171" s="279"/>
      <c r="Q1171" s="279"/>
      <c r="R1171" s="279"/>
      <c r="S1171" s="279"/>
      <c r="T1171" s="279"/>
      <c r="U1171" s="280"/>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9"/>
      <c r="N1172" s="279"/>
      <c r="O1172" s="279"/>
      <c r="P1172" s="279"/>
      <c r="Q1172" s="279"/>
      <c r="R1172" s="279"/>
      <c r="S1172" s="279"/>
      <c r="T1172" s="279"/>
      <c r="U1172" s="280"/>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9"/>
      <c r="N1173" s="279"/>
      <c r="O1173" s="279"/>
      <c r="P1173" s="279"/>
      <c r="Q1173" s="279"/>
      <c r="R1173" s="279"/>
      <c r="S1173" s="279"/>
      <c r="T1173" s="279"/>
      <c r="U1173" s="280"/>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9"/>
      <c r="N1174" s="279"/>
      <c r="O1174" s="279"/>
      <c r="P1174" s="279"/>
      <c r="Q1174" s="279"/>
      <c r="R1174" s="279"/>
      <c r="S1174" s="279"/>
      <c r="T1174" s="279"/>
      <c r="U1174" s="280"/>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9"/>
      <c r="N1175" s="279"/>
      <c r="O1175" s="279"/>
      <c r="P1175" s="279"/>
      <c r="Q1175" s="279"/>
      <c r="R1175" s="279"/>
      <c r="S1175" s="279"/>
      <c r="T1175" s="279"/>
      <c r="U1175" s="280"/>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9"/>
      <c r="N1176" s="279"/>
      <c r="O1176" s="279"/>
      <c r="P1176" s="279"/>
      <c r="Q1176" s="279"/>
      <c r="R1176" s="279"/>
      <c r="S1176" s="279"/>
      <c r="T1176" s="279"/>
      <c r="U1176" s="280"/>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9"/>
      <c r="N1177" s="279"/>
      <c r="O1177" s="279"/>
      <c r="P1177" s="279"/>
      <c r="Q1177" s="279"/>
      <c r="R1177" s="279"/>
      <c r="S1177" s="279"/>
      <c r="T1177" s="279"/>
      <c r="U1177" s="280"/>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9"/>
      <c r="N1178" s="279"/>
      <c r="O1178" s="279"/>
      <c r="P1178" s="279"/>
      <c r="Q1178" s="279"/>
      <c r="R1178" s="279"/>
      <c r="S1178" s="279"/>
      <c r="T1178" s="279"/>
      <c r="U1178" s="280"/>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9"/>
      <c r="N1179" s="279"/>
      <c r="O1179" s="279"/>
      <c r="P1179" s="279"/>
      <c r="Q1179" s="279"/>
      <c r="R1179" s="279"/>
      <c r="S1179" s="279"/>
      <c r="T1179" s="279"/>
      <c r="U1179" s="280"/>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9"/>
      <c r="N1180" s="279"/>
      <c r="O1180" s="279"/>
      <c r="P1180" s="279"/>
      <c r="Q1180" s="279"/>
      <c r="R1180" s="279"/>
      <c r="S1180" s="279"/>
      <c r="T1180" s="279"/>
      <c r="U1180" s="280"/>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9"/>
      <c r="N1181" s="279"/>
      <c r="O1181" s="279"/>
      <c r="P1181" s="279"/>
      <c r="Q1181" s="279"/>
      <c r="R1181" s="279"/>
      <c r="S1181" s="279"/>
      <c r="T1181" s="279"/>
      <c r="U1181" s="280"/>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9"/>
      <c r="N1182" s="279"/>
      <c r="O1182" s="279"/>
      <c r="P1182" s="279"/>
      <c r="Q1182" s="279"/>
      <c r="R1182" s="279"/>
      <c r="S1182" s="279"/>
      <c r="T1182" s="279"/>
      <c r="U1182" s="280"/>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9"/>
      <c r="N1183" s="279"/>
      <c r="O1183" s="279"/>
      <c r="P1183" s="279"/>
      <c r="Q1183" s="279"/>
      <c r="R1183" s="279"/>
      <c r="S1183" s="279"/>
      <c r="T1183" s="279"/>
      <c r="U1183" s="280"/>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9"/>
      <c r="N1184" s="279"/>
      <c r="O1184" s="279"/>
      <c r="P1184" s="279"/>
      <c r="Q1184" s="279"/>
      <c r="R1184" s="279"/>
      <c r="S1184" s="279"/>
      <c r="T1184" s="279"/>
      <c r="U1184" s="280"/>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9"/>
      <c r="N1185" s="279"/>
      <c r="O1185" s="279"/>
      <c r="P1185" s="279"/>
      <c r="Q1185" s="279"/>
      <c r="R1185" s="279"/>
      <c r="S1185" s="279"/>
      <c r="T1185" s="279"/>
      <c r="U1185" s="280"/>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9"/>
      <c r="N1186" s="279"/>
      <c r="O1186" s="279"/>
      <c r="P1186" s="279"/>
      <c r="Q1186" s="279"/>
      <c r="R1186" s="279"/>
      <c r="S1186" s="279"/>
      <c r="T1186" s="279"/>
      <c r="U1186" s="280"/>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9"/>
      <c r="N1187" s="279"/>
      <c r="O1187" s="279"/>
      <c r="P1187" s="279"/>
      <c r="Q1187" s="279"/>
      <c r="R1187" s="279"/>
      <c r="S1187" s="279"/>
      <c r="T1187" s="279"/>
      <c r="U1187" s="280"/>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9"/>
      <c r="N1188" s="279"/>
      <c r="O1188" s="279"/>
      <c r="P1188" s="279"/>
      <c r="Q1188" s="279"/>
      <c r="R1188" s="279"/>
      <c r="S1188" s="279"/>
      <c r="T1188" s="279"/>
      <c r="U1188" s="280"/>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9"/>
      <c r="N1189" s="279"/>
      <c r="O1189" s="279"/>
      <c r="P1189" s="279"/>
      <c r="Q1189" s="279"/>
      <c r="R1189" s="279"/>
      <c r="S1189" s="279"/>
      <c r="T1189" s="279"/>
      <c r="U1189" s="280"/>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20" t="s">
        <v>361</v>
      </c>
      <c r="C1190" s="321"/>
      <c r="D1190" s="79"/>
      <c r="E1190" s="80"/>
      <c r="F1190" s="80"/>
      <c r="G1190" s="81"/>
      <c r="H1190" s="192"/>
      <c r="I1190" s="192"/>
      <c r="J1190" s="192"/>
      <c r="K1190" s="82"/>
      <c r="L1190" s="320" t="s">
        <v>306</v>
      </c>
      <c r="M1190" s="331"/>
      <c r="N1190" s="331"/>
      <c r="O1190" s="331"/>
      <c r="P1190" s="331"/>
      <c r="Q1190" s="331"/>
      <c r="R1190" s="331"/>
      <c r="S1190" s="331"/>
      <c r="T1190" s="331"/>
      <c r="U1190" s="321"/>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20" t="s">
        <v>307</v>
      </c>
      <c r="C1191" s="321"/>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3" t="s">
        <v>222</v>
      </c>
      <c r="C1195" s="314"/>
      <c r="D1195" s="315" t="s">
        <v>223</v>
      </c>
      <c r="E1195" s="306"/>
      <c r="F1195" s="88"/>
      <c r="G1195" s="316" t="s">
        <v>224</v>
      </c>
      <c r="H1195" s="317"/>
      <c r="I1195" s="28">
        <f>SUM(E1206:E1230)</f>
        <v>0</v>
      </c>
      <c r="J1195" s="318" t="s">
        <v>225</v>
      </c>
      <c r="K1195" s="319"/>
      <c r="L1195" s="306"/>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6" t="s">
        <v>226</v>
      </c>
      <c r="AA1195" s="297"/>
      <c r="AB1195" s="298"/>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5" t="s">
        <v>230</v>
      </c>
      <c r="H1196" s="306"/>
      <c r="I1196" s="33">
        <f>E1197-I1195</f>
        <v>0</v>
      </c>
      <c r="J1196" s="290" t="s">
        <v>231</v>
      </c>
      <c r="K1196" s="291"/>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9" t="s">
        <v>232</v>
      </c>
      <c r="AA1196" s="301" t="s">
        <v>233</v>
      </c>
      <c r="AB1196" s="302"/>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2" t="s">
        <v>237</v>
      </c>
      <c r="H1197" s="293"/>
      <c r="I1197" s="35">
        <f>IF(E1197=0,0,12-(MOD(I1195,12)))</f>
        <v>0</v>
      </c>
      <c r="J1197" s="290" t="s">
        <v>238</v>
      </c>
      <c r="K1197" s="291"/>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0"/>
      <c r="AA1197" s="303"/>
      <c r="AB1197" s="304"/>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2" t="s">
        <v>242</v>
      </c>
      <c r="H1198" s="43" t="s">
        <v>243</v>
      </c>
      <c r="I1198" s="35">
        <f>IF(E1198&lt;&gt;0,1,0)</f>
        <v>0</v>
      </c>
      <c r="J1198" s="292" t="s">
        <v>244</v>
      </c>
      <c r="K1198" s="293"/>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3"/>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2" t="s">
        <v>251</v>
      </c>
      <c r="H1200" s="51" t="s">
        <v>252</v>
      </c>
      <c r="I1200" s="112">
        <f>E1199</f>
        <v>0</v>
      </c>
      <c r="J1200" s="324" t="s">
        <v>253</v>
      </c>
      <c r="K1200" s="325"/>
      <c r="L1200" s="326"/>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3"/>
      <c r="H1201" s="47" t="s">
        <v>257</v>
      </c>
      <c r="I1201" s="35" t="str">
        <f>IF(E1199="","0",IF(AND(E1196="EUC",E1197=432), I1200+(203-E1198),IF(E1199=0,0,(E1199+(E1197-E1198)-1))))</f>
        <v>0</v>
      </c>
      <c r="J1201" s="287" t="str">
        <f>IFERROR(IF(OR(E1196="EUC",E1196="SS"),"---",IF(OR(P1195,S1195),"NO 2F Tethers for RPX!",IF(OR(P1197,S1197),"NO 6F Tethers for RPX!","---"))),"---")</f>
        <v>---</v>
      </c>
      <c r="K1201" s="288"/>
      <c r="L1201" s="289"/>
      <c r="M1201" s="287" t="str">
        <f>IF(E1198&gt;60,"Dead Count &gt;60: Consider Downsize","---")</f>
        <v>---</v>
      </c>
      <c r="N1201" s="288"/>
      <c r="O1201" s="288"/>
      <c r="P1201" s="288"/>
      <c r="Q1201" s="288"/>
      <c r="R1201" s="288"/>
      <c r="S1201" s="288"/>
      <c r="T1201" s="288"/>
      <c r="U1201" s="289"/>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7"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8"/>
      <c r="L1202" s="289"/>
      <c r="M1202" s="287" t="str">
        <f>IF(AND(OR(E1196="SS",E1196="RPX",E1196="EUC",E1196="RPX-T"),(OR(C1206="",C1206="Field SPL"))),"Cannot have FlexNap cables without tethers","---")</f>
        <v>---</v>
      </c>
      <c r="N1202" s="288"/>
      <c r="O1202" s="288"/>
      <c r="P1202" s="288"/>
      <c r="Q1202" s="288"/>
      <c r="R1202" s="288"/>
      <c r="S1202" s="288"/>
      <c r="T1202" s="288"/>
      <c r="U1202" s="289"/>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7" t="str">
        <f>IF(AND(OR(E1196="RPX", E1196="RPX-T", E1196="SS"),E1197=216),"NO 216 For RPX, RPX-T, OR SS CABLE","---")</f>
        <v>---</v>
      </c>
      <c r="K1203" s="288"/>
      <c r="L1203" s="289"/>
      <c r="M1203" s="287" t="str" cm="1">
        <f t="array" ref="M1203">IF(AND(E1196="",OR(C1206:C1230="FST",C1206:C1230="REV T",C1206:C1230="DBL REV",C1206:C1230="TPL REV", C1206:C1230="QD REV")),"Non-FlexNap cables cannot have tethers","---")</f>
        <v>---</v>
      </c>
      <c r="N1203" s="288"/>
      <c r="O1203" s="288"/>
      <c r="P1203" s="288"/>
      <c r="Q1203" s="288"/>
      <c r="R1203" s="288"/>
      <c r="S1203" s="288"/>
      <c r="T1203" s="288"/>
      <c r="U1203" s="289"/>
      <c r="V1203" s="25"/>
      <c r="W1203" s="58"/>
      <c r="X1203" s="58"/>
      <c r="Y1203" s="25"/>
      <c r="Z1203" s="45">
        <v>6</v>
      </c>
      <c r="AA1203" s="65">
        <v>61</v>
      </c>
      <c r="AB1203" s="65">
        <v>72</v>
      </c>
      <c r="AC1203" s="25"/>
      <c r="AD1203" s="25"/>
      <c r="BA1203" s="226"/>
    </row>
    <row r="1204" spans="1:53" ht="15.75" customHeight="1" thickBot="1" x14ac:dyDescent="0.3">
      <c r="A1204" s="88"/>
      <c r="B1204" s="322" t="s">
        <v>260</v>
      </c>
      <c r="C1204" s="294" t="s">
        <v>261</v>
      </c>
      <c r="D1204" s="294" t="s">
        <v>262</v>
      </c>
      <c r="E1204" s="307" t="s">
        <v>263</v>
      </c>
      <c r="F1204" s="294" t="s">
        <v>264</v>
      </c>
      <c r="G1204" s="309" t="s">
        <v>265</v>
      </c>
      <c r="H1204" s="309" t="s">
        <v>266</v>
      </c>
      <c r="I1204" s="309" t="s">
        <v>267</v>
      </c>
      <c r="J1204" s="311" t="s">
        <v>268</v>
      </c>
      <c r="K1204" s="294" t="s">
        <v>269</v>
      </c>
      <c r="L1204" s="281" t="s">
        <v>270</v>
      </c>
      <c r="M1204" s="283" t="s">
        <v>271</v>
      </c>
      <c r="N1204" s="283"/>
      <c r="O1204" s="283"/>
      <c r="P1204" s="283"/>
      <c r="Q1204" s="283"/>
      <c r="R1204" s="283"/>
      <c r="S1204" s="283"/>
      <c r="T1204" s="283"/>
      <c r="U1204" s="284"/>
      <c r="V1204" s="107"/>
      <c r="W1204" s="72"/>
      <c r="X1204" s="72"/>
      <c r="Y1204" s="72"/>
      <c r="Z1204" s="45">
        <v>7</v>
      </c>
      <c r="AA1204" s="65">
        <v>73</v>
      </c>
      <c r="AB1204" s="65">
        <v>84</v>
      </c>
      <c r="AC1204" s="25"/>
      <c r="AD1204" s="25"/>
      <c r="BA1204" s="228"/>
    </row>
    <row r="1205" spans="1:53" ht="15.75" thickBot="1" x14ac:dyDescent="0.3">
      <c r="A1205" s="88"/>
      <c r="B1205" s="323"/>
      <c r="C1205" s="295"/>
      <c r="D1205" s="295"/>
      <c r="E1205" s="308"/>
      <c r="F1205" s="295"/>
      <c r="G1205" s="310"/>
      <c r="H1205" s="310"/>
      <c r="I1205" s="310"/>
      <c r="J1205" s="312"/>
      <c r="K1205" s="295"/>
      <c r="L1205" s="282"/>
      <c r="M1205" s="285"/>
      <c r="N1205" s="285"/>
      <c r="O1205" s="285"/>
      <c r="P1205" s="285"/>
      <c r="Q1205" s="285"/>
      <c r="R1205" s="285"/>
      <c r="S1205" s="285"/>
      <c r="T1205" s="285"/>
      <c r="U1205" s="286"/>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79"/>
      <c r="N1206" s="279"/>
      <c r="O1206" s="279"/>
      <c r="P1206" s="279"/>
      <c r="Q1206" s="279"/>
      <c r="R1206" s="279"/>
      <c r="S1206" s="279"/>
      <c r="T1206" s="279"/>
      <c r="U1206" s="280"/>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79"/>
      <c r="N1207" s="279"/>
      <c r="O1207" s="279"/>
      <c r="P1207" s="279"/>
      <c r="Q1207" s="279"/>
      <c r="R1207" s="279"/>
      <c r="S1207" s="279"/>
      <c r="T1207" s="279"/>
      <c r="U1207" s="280"/>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79"/>
      <c r="N1208" s="279"/>
      <c r="O1208" s="279"/>
      <c r="P1208" s="279"/>
      <c r="Q1208" s="279"/>
      <c r="R1208" s="279"/>
      <c r="S1208" s="279"/>
      <c r="T1208" s="279"/>
      <c r="U1208" s="280"/>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79"/>
      <c r="N1209" s="279"/>
      <c r="O1209" s="279"/>
      <c r="P1209" s="279"/>
      <c r="Q1209" s="279"/>
      <c r="R1209" s="279"/>
      <c r="S1209" s="279"/>
      <c r="T1209" s="279"/>
      <c r="U1209" s="280"/>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79"/>
      <c r="N1210" s="279"/>
      <c r="O1210" s="279"/>
      <c r="P1210" s="279"/>
      <c r="Q1210" s="279"/>
      <c r="R1210" s="279"/>
      <c r="S1210" s="279"/>
      <c r="T1210" s="279"/>
      <c r="U1210" s="280"/>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79"/>
      <c r="N1211" s="279"/>
      <c r="O1211" s="279"/>
      <c r="P1211" s="279"/>
      <c r="Q1211" s="279"/>
      <c r="R1211" s="279"/>
      <c r="S1211" s="279"/>
      <c r="T1211" s="279"/>
      <c r="U1211" s="280"/>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9"/>
      <c r="N1212" s="279"/>
      <c r="O1212" s="279"/>
      <c r="P1212" s="279"/>
      <c r="Q1212" s="279"/>
      <c r="R1212" s="279"/>
      <c r="S1212" s="279"/>
      <c r="T1212" s="279"/>
      <c r="U1212" s="280"/>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9"/>
      <c r="N1213" s="279"/>
      <c r="O1213" s="279"/>
      <c r="P1213" s="279"/>
      <c r="Q1213" s="279"/>
      <c r="R1213" s="279"/>
      <c r="S1213" s="279"/>
      <c r="T1213" s="279"/>
      <c r="U1213" s="280"/>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9"/>
      <c r="N1214" s="279"/>
      <c r="O1214" s="279"/>
      <c r="P1214" s="279"/>
      <c r="Q1214" s="279"/>
      <c r="R1214" s="279"/>
      <c r="S1214" s="279"/>
      <c r="T1214" s="279"/>
      <c r="U1214" s="280"/>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9"/>
      <c r="N1215" s="279"/>
      <c r="O1215" s="279"/>
      <c r="P1215" s="279"/>
      <c r="Q1215" s="279"/>
      <c r="R1215" s="279"/>
      <c r="S1215" s="279"/>
      <c r="T1215" s="279"/>
      <c r="U1215" s="280"/>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9"/>
      <c r="N1216" s="279"/>
      <c r="O1216" s="279"/>
      <c r="P1216" s="279"/>
      <c r="Q1216" s="279"/>
      <c r="R1216" s="279"/>
      <c r="S1216" s="279"/>
      <c r="T1216" s="279"/>
      <c r="U1216" s="280"/>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9"/>
      <c r="N1217" s="279"/>
      <c r="O1217" s="279"/>
      <c r="P1217" s="279"/>
      <c r="Q1217" s="279"/>
      <c r="R1217" s="279"/>
      <c r="S1217" s="279"/>
      <c r="T1217" s="279"/>
      <c r="U1217" s="280"/>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9"/>
      <c r="N1218" s="279"/>
      <c r="O1218" s="279"/>
      <c r="P1218" s="279"/>
      <c r="Q1218" s="279"/>
      <c r="R1218" s="279"/>
      <c r="S1218" s="279"/>
      <c r="T1218" s="279"/>
      <c r="U1218" s="280"/>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9"/>
      <c r="N1219" s="279"/>
      <c r="O1219" s="279"/>
      <c r="P1219" s="279"/>
      <c r="Q1219" s="279"/>
      <c r="R1219" s="279"/>
      <c r="S1219" s="279"/>
      <c r="T1219" s="279"/>
      <c r="U1219" s="280"/>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9"/>
      <c r="N1220" s="279"/>
      <c r="O1220" s="279"/>
      <c r="P1220" s="279"/>
      <c r="Q1220" s="279"/>
      <c r="R1220" s="279"/>
      <c r="S1220" s="279"/>
      <c r="T1220" s="279"/>
      <c r="U1220" s="280"/>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9"/>
      <c r="N1221" s="279"/>
      <c r="O1221" s="279"/>
      <c r="P1221" s="279"/>
      <c r="Q1221" s="279"/>
      <c r="R1221" s="279"/>
      <c r="S1221" s="279"/>
      <c r="T1221" s="279"/>
      <c r="U1221" s="280"/>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9"/>
      <c r="N1222" s="279"/>
      <c r="O1222" s="279"/>
      <c r="P1222" s="279"/>
      <c r="Q1222" s="279"/>
      <c r="R1222" s="279"/>
      <c r="S1222" s="279"/>
      <c r="T1222" s="279"/>
      <c r="U1222" s="280"/>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9"/>
      <c r="N1223" s="279"/>
      <c r="O1223" s="279"/>
      <c r="P1223" s="279"/>
      <c r="Q1223" s="279"/>
      <c r="R1223" s="279"/>
      <c r="S1223" s="279"/>
      <c r="T1223" s="279"/>
      <c r="U1223" s="280"/>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9"/>
      <c r="N1224" s="279"/>
      <c r="O1224" s="279"/>
      <c r="P1224" s="279"/>
      <c r="Q1224" s="279"/>
      <c r="R1224" s="279"/>
      <c r="S1224" s="279"/>
      <c r="T1224" s="279"/>
      <c r="U1224" s="280"/>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9"/>
      <c r="N1225" s="279"/>
      <c r="O1225" s="279"/>
      <c r="P1225" s="279"/>
      <c r="Q1225" s="279"/>
      <c r="R1225" s="279"/>
      <c r="S1225" s="279"/>
      <c r="T1225" s="279"/>
      <c r="U1225" s="280"/>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9"/>
      <c r="N1226" s="279"/>
      <c r="O1226" s="279"/>
      <c r="P1226" s="279"/>
      <c r="Q1226" s="279"/>
      <c r="R1226" s="279"/>
      <c r="S1226" s="279"/>
      <c r="T1226" s="279"/>
      <c r="U1226" s="280"/>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9"/>
      <c r="N1227" s="279"/>
      <c r="O1227" s="279"/>
      <c r="P1227" s="279"/>
      <c r="Q1227" s="279"/>
      <c r="R1227" s="279"/>
      <c r="S1227" s="279"/>
      <c r="T1227" s="279"/>
      <c r="U1227" s="280"/>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9"/>
      <c r="N1228" s="279"/>
      <c r="O1228" s="279"/>
      <c r="P1228" s="279"/>
      <c r="Q1228" s="279"/>
      <c r="R1228" s="279"/>
      <c r="S1228" s="279"/>
      <c r="T1228" s="279"/>
      <c r="U1228" s="280"/>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9"/>
      <c r="N1229" s="279"/>
      <c r="O1229" s="279"/>
      <c r="P1229" s="279"/>
      <c r="Q1229" s="279"/>
      <c r="R1229" s="279"/>
      <c r="S1229" s="279"/>
      <c r="T1229" s="279"/>
      <c r="U1229" s="280"/>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9"/>
      <c r="N1230" s="279"/>
      <c r="O1230" s="279"/>
      <c r="P1230" s="279"/>
      <c r="Q1230" s="279"/>
      <c r="R1230" s="279"/>
      <c r="S1230" s="279"/>
      <c r="T1230" s="279"/>
      <c r="U1230" s="280"/>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20" t="s">
        <v>363</v>
      </c>
      <c r="C1231" s="321"/>
      <c r="D1231" s="79"/>
      <c r="E1231" s="80"/>
      <c r="F1231" s="80"/>
      <c r="G1231" s="81"/>
      <c r="H1231" s="192"/>
      <c r="I1231" s="192"/>
      <c r="J1231" s="192"/>
      <c r="K1231" s="82"/>
      <c r="L1231" s="320" t="s">
        <v>306</v>
      </c>
      <c r="M1231" s="331"/>
      <c r="N1231" s="331"/>
      <c r="O1231" s="331"/>
      <c r="P1231" s="331"/>
      <c r="Q1231" s="331"/>
      <c r="R1231" s="331"/>
      <c r="S1231" s="331"/>
      <c r="T1231" s="331"/>
      <c r="U1231" s="321"/>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20" t="s">
        <v>307</v>
      </c>
      <c r="C1232" s="321"/>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3" t="s">
        <v>222</v>
      </c>
      <c r="C1236" s="314"/>
      <c r="D1236" s="315" t="s">
        <v>223</v>
      </c>
      <c r="E1236" s="306"/>
      <c r="F1236" s="88"/>
      <c r="G1236" s="316" t="s">
        <v>224</v>
      </c>
      <c r="H1236" s="317"/>
      <c r="I1236" s="28">
        <f>SUM(E1247:E1271)</f>
        <v>0</v>
      </c>
      <c r="J1236" s="318" t="s">
        <v>225</v>
      </c>
      <c r="K1236" s="319"/>
      <c r="L1236" s="306"/>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6" t="s">
        <v>226</v>
      </c>
      <c r="AA1236" s="297"/>
      <c r="AB1236" s="298"/>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5" t="s">
        <v>230</v>
      </c>
      <c r="H1237" s="306"/>
      <c r="I1237" s="33">
        <f>E1238-I1236</f>
        <v>0</v>
      </c>
      <c r="J1237" s="290" t="s">
        <v>231</v>
      </c>
      <c r="K1237" s="291"/>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9" t="s">
        <v>232</v>
      </c>
      <c r="AA1237" s="301" t="s">
        <v>233</v>
      </c>
      <c r="AB1237" s="302"/>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2" t="s">
        <v>237</v>
      </c>
      <c r="H1238" s="293"/>
      <c r="I1238" s="35">
        <f>IF(E1238=0,0,12-(MOD(I1236,12)))</f>
        <v>0</v>
      </c>
      <c r="J1238" s="290" t="s">
        <v>238</v>
      </c>
      <c r="K1238" s="291"/>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0"/>
      <c r="AA1238" s="303"/>
      <c r="AB1238" s="304"/>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2" t="s">
        <v>242</v>
      </c>
      <c r="H1239" s="43" t="s">
        <v>243</v>
      </c>
      <c r="I1239" s="35">
        <f>IF(E1239&lt;&gt;0,1,0)</f>
        <v>0</v>
      </c>
      <c r="J1239" s="292" t="s">
        <v>244</v>
      </c>
      <c r="K1239" s="293"/>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3"/>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2" t="s">
        <v>251</v>
      </c>
      <c r="H1241" s="51" t="s">
        <v>252</v>
      </c>
      <c r="I1241" s="112">
        <f>E1240</f>
        <v>0</v>
      </c>
      <c r="J1241" s="324" t="s">
        <v>253</v>
      </c>
      <c r="K1241" s="325"/>
      <c r="L1241" s="326"/>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3"/>
      <c r="H1242" s="47" t="s">
        <v>257</v>
      </c>
      <c r="I1242" s="35" t="str">
        <f>IF(E1240="","0",IF(AND(E1237="EUC",E1238=432), I1241+(203-E1239),IF(E1240=0,0,(E1240+(E1238-E1239)-1))))</f>
        <v>0</v>
      </c>
      <c r="J1242" s="287" t="str">
        <f>IFERROR(IF(OR(E1237="EUC",E1237="SS"),"---",IF(OR(P1236,S1236),"NO 2F Tethers for RPX!",IF(OR(P1238,S1238),"NO 6F Tethers for RPX!","---"))),"---")</f>
        <v>---</v>
      </c>
      <c r="K1242" s="288"/>
      <c r="L1242" s="289"/>
      <c r="M1242" s="287" t="str">
        <f>IF(E1239&gt;60,"Dead Count &gt;60: Consider Downsize","---")</f>
        <v>---</v>
      </c>
      <c r="N1242" s="288"/>
      <c r="O1242" s="288"/>
      <c r="P1242" s="288"/>
      <c r="Q1242" s="288"/>
      <c r="R1242" s="288"/>
      <c r="S1242" s="288"/>
      <c r="T1242" s="288"/>
      <c r="U1242" s="289"/>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7"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8"/>
      <c r="L1243" s="289"/>
      <c r="M1243" s="287" t="str">
        <f>IF(AND(OR(E1237="SS",E1237="RPX",E1237="EUC",E1237="RPX-T"),(OR(C1247="",C1247="Field SPL"))),"Cannot have FlexNap cables without tethers","---")</f>
        <v>---</v>
      </c>
      <c r="N1243" s="288"/>
      <c r="O1243" s="288"/>
      <c r="P1243" s="288"/>
      <c r="Q1243" s="288"/>
      <c r="R1243" s="288"/>
      <c r="S1243" s="288"/>
      <c r="T1243" s="288"/>
      <c r="U1243" s="289"/>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7" t="str">
        <f>IF(AND(OR(E1237="RPX", E1237="RPX-T", E1237="SS"),E1238=216),"NO 216 For RPX, RPX-T, OR SS CABLE","---")</f>
        <v>---</v>
      </c>
      <c r="K1244" s="288"/>
      <c r="L1244" s="289"/>
      <c r="M1244" s="287" t="str" cm="1">
        <f t="array" ref="M1244">IF(AND(E1237="",OR(C1247:C1271="FST",C1247:C1271="REV T",C1247:C1271="DBL REV",C1247:C1271="TPL REV", C1247:C1271="QD REV")),"Non-FlexNap cables cannot have tethers","---")</f>
        <v>---</v>
      </c>
      <c r="N1244" s="288"/>
      <c r="O1244" s="288"/>
      <c r="P1244" s="288"/>
      <c r="Q1244" s="288"/>
      <c r="R1244" s="288"/>
      <c r="S1244" s="288"/>
      <c r="T1244" s="288"/>
      <c r="U1244" s="289"/>
      <c r="V1244" s="25"/>
      <c r="W1244" s="58"/>
      <c r="X1244" s="58"/>
      <c r="Y1244" s="25"/>
      <c r="Z1244" s="45">
        <v>6</v>
      </c>
      <c r="AA1244" s="65">
        <v>61</v>
      </c>
      <c r="AB1244" s="65">
        <v>72</v>
      </c>
      <c r="AC1244" s="25"/>
      <c r="AD1244" s="25"/>
      <c r="BA1244" s="226"/>
    </row>
    <row r="1245" spans="1:53" ht="15.75" customHeight="1" thickBot="1" x14ac:dyDescent="0.3">
      <c r="A1245" s="88"/>
      <c r="B1245" s="322" t="s">
        <v>260</v>
      </c>
      <c r="C1245" s="294" t="s">
        <v>261</v>
      </c>
      <c r="D1245" s="294" t="s">
        <v>262</v>
      </c>
      <c r="E1245" s="307" t="s">
        <v>263</v>
      </c>
      <c r="F1245" s="294" t="s">
        <v>264</v>
      </c>
      <c r="G1245" s="309" t="s">
        <v>265</v>
      </c>
      <c r="H1245" s="309" t="s">
        <v>266</v>
      </c>
      <c r="I1245" s="309" t="s">
        <v>267</v>
      </c>
      <c r="J1245" s="311" t="s">
        <v>268</v>
      </c>
      <c r="K1245" s="294" t="s">
        <v>269</v>
      </c>
      <c r="L1245" s="281" t="s">
        <v>270</v>
      </c>
      <c r="M1245" s="283" t="s">
        <v>271</v>
      </c>
      <c r="N1245" s="283"/>
      <c r="O1245" s="283"/>
      <c r="P1245" s="283"/>
      <c r="Q1245" s="283"/>
      <c r="R1245" s="283"/>
      <c r="S1245" s="283"/>
      <c r="T1245" s="283"/>
      <c r="U1245" s="284"/>
      <c r="V1245" s="107"/>
      <c r="W1245" s="72"/>
      <c r="X1245" s="72"/>
      <c r="Y1245" s="72"/>
      <c r="Z1245" s="45">
        <v>7</v>
      </c>
      <c r="AA1245" s="65">
        <v>73</v>
      </c>
      <c r="AB1245" s="65">
        <v>84</v>
      </c>
      <c r="AC1245" s="25"/>
      <c r="AD1245" s="25"/>
      <c r="BA1245" s="228"/>
    </row>
    <row r="1246" spans="1:53" ht="15.75" thickBot="1" x14ac:dyDescent="0.3">
      <c r="A1246" s="88"/>
      <c r="B1246" s="323"/>
      <c r="C1246" s="295"/>
      <c r="D1246" s="295"/>
      <c r="E1246" s="308"/>
      <c r="F1246" s="295"/>
      <c r="G1246" s="310"/>
      <c r="H1246" s="310"/>
      <c r="I1246" s="310"/>
      <c r="J1246" s="312"/>
      <c r="K1246" s="295"/>
      <c r="L1246" s="282"/>
      <c r="M1246" s="285"/>
      <c r="N1246" s="285"/>
      <c r="O1246" s="285"/>
      <c r="P1246" s="285"/>
      <c r="Q1246" s="285"/>
      <c r="R1246" s="285"/>
      <c r="S1246" s="285"/>
      <c r="T1246" s="285"/>
      <c r="U1246" s="286"/>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79"/>
      <c r="N1247" s="279"/>
      <c r="O1247" s="279"/>
      <c r="P1247" s="279"/>
      <c r="Q1247" s="279"/>
      <c r="R1247" s="279"/>
      <c r="S1247" s="279"/>
      <c r="T1247" s="279"/>
      <c r="U1247" s="280"/>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79"/>
      <c r="N1248" s="279"/>
      <c r="O1248" s="279"/>
      <c r="P1248" s="279"/>
      <c r="Q1248" s="279"/>
      <c r="R1248" s="279"/>
      <c r="S1248" s="279"/>
      <c r="T1248" s="279"/>
      <c r="U1248" s="280"/>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79"/>
      <c r="N1249" s="279"/>
      <c r="O1249" s="279"/>
      <c r="P1249" s="279"/>
      <c r="Q1249" s="279"/>
      <c r="R1249" s="279"/>
      <c r="S1249" s="279"/>
      <c r="T1249" s="279"/>
      <c r="U1249" s="280"/>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9"/>
      <c r="N1250" s="279"/>
      <c r="O1250" s="279"/>
      <c r="P1250" s="279"/>
      <c r="Q1250" s="279"/>
      <c r="R1250" s="279"/>
      <c r="S1250" s="279"/>
      <c r="T1250" s="279"/>
      <c r="U1250" s="280"/>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9"/>
      <c r="N1251" s="279"/>
      <c r="O1251" s="279"/>
      <c r="P1251" s="279"/>
      <c r="Q1251" s="279"/>
      <c r="R1251" s="279"/>
      <c r="S1251" s="279"/>
      <c r="T1251" s="279"/>
      <c r="U1251" s="280"/>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9"/>
      <c r="N1252" s="279"/>
      <c r="O1252" s="279"/>
      <c r="P1252" s="279"/>
      <c r="Q1252" s="279"/>
      <c r="R1252" s="279"/>
      <c r="S1252" s="279"/>
      <c r="T1252" s="279"/>
      <c r="U1252" s="280"/>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9"/>
      <c r="N1253" s="279"/>
      <c r="O1253" s="279"/>
      <c r="P1253" s="279"/>
      <c r="Q1253" s="279"/>
      <c r="R1253" s="279"/>
      <c r="S1253" s="279"/>
      <c r="T1253" s="279"/>
      <c r="U1253" s="280"/>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9"/>
      <c r="N1254" s="279"/>
      <c r="O1254" s="279"/>
      <c r="P1254" s="279"/>
      <c r="Q1254" s="279"/>
      <c r="R1254" s="279"/>
      <c r="S1254" s="279"/>
      <c r="T1254" s="279"/>
      <c r="U1254" s="280"/>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9"/>
      <c r="N1255" s="279"/>
      <c r="O1255" s="279"/>
      <c r="P1255" s="279"/>
      <c r="Q1255" s="279"/>
      <c r="R1255" s="279"/>
      <c r="S1255" s="279"/>
      <c r="T1255" s="279"/>
      <c r="U1255" s="280"/>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9"/>
      <c r="N1256" s="279"/>
      <c r="O1256" s="279"/>
      <c r="P1256" s="279"/>
      <c r="Q1256" s="279"/>
      <c r="R1256" s="279"/>
      <c r="S1256" s="279"/>
      <c r="T1256" s="279"/>
      <c r="U1256" s="280"/>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9"/>
      <c r="N1257" s="279"/>
      <c r="O1257" s="279"/>
      <c r="P1257" s="279"/>
      <c r="Q1257" s="279"/>
      <c r="R1257" s="279"/>
      <c r="S1257" s="279"/>
      <c r="T1257" s="279"/>
      <c r="U1257" s="280"/>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9"/>
      <c r="N1258" s="279"/>
      <c r="O1258" s="279"/>
      <c r="P1258" s="279"/>
      <c r="Q1258" s="279"/>
      <c r="R1258" s="279"/>
      <c r="S1258" s="279"/>
      <c r="T1258" s="279"/>
      <c r="U1258" s="280"/>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9"/>
      <c r="N1259" s="279"/>
      <c r="O1259" s="279"/>
      <c r="P1259" s="279"/>
      <c r="Q1259" s="279"/>
      <c r="R1259" s="279"/>
      <c r="S1259" s="279"/>
      <c r="T1259" s="279"/>
      <c r="U1259" s="280"/>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9"/>
      <c r="N1260" s="279"/>
      <c r="O1260" s="279"/>
      <c r="P1260" s="279"/>
      <c r="Q1260" s="279"/>
      <c r="R1260" s="279"/>
      <c r="S1260" s="279"/>
      <c r="T1260" s="279"/>
      <c r="U1260" s="280"/>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9"/>
      <c r="N1261" s="279"/>
      <c r="O1261" s="279"/>
      <c r="P1261" s="279"/>
      <c r="Q1261" s="279"/>
      <c r="R1261" s="279"/>
      <c r="S1261" s="279"/>
      <c r="T1261" s="279"/>
      <c r="U1261" s="280"/>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9"/>
      <c r="N1262" s="279"/>
      <c r="O1262" s="279"/>
      <c r="P1262" s="279"/>
      <c r="Q1262" s="279"/>
      <c r="R1262" s="279"/>
      <c r="S1262" s="279"/>
      <c r="T1262" s="279"/>
      <c r="U1262" s="280"/>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9"/>
      <c r="N1263" s="279"/>
      <c r="O1263" s="279"/>
      <c r="P1263" s="279"/>
      <c r="Q1263" s="279"/>
      <c r="R1263" s="279"/>
      <c r="S1263" s="279"/>
      <c r="T1263" s="279"/>
      <c r="U1263" s="280"/>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9"/>
      <c r="N1264" s="279"/>
      <c r="O1264" s="279"/>
      <c r="P1264" s="279"/>
      <c r="Q1264" s="279"/>
      <c r="R1264" s="279"/>
      <c r="S1264" s="279"/>
      <c r="T1264" s="279"/>
      <c r="U1264" s="280"/>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9"/>
      <c r="N1265" s="279"/>
      <c r="O1265" s="279"/>
      <c r="P1265" s="279"/>
      <c r="Q1265" s="279"/>
      <c r="R1265" s="279"/>
      <c r="S1265" s="279"/>
      <c r="T1265" s="279"/>
      <c r="U1265" s="280"/>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9"/>
      <c r="N1266" s="279"/>
      <c r="O1266" s="279"/>
      <c r="P1266" s="279"/>
      <c r="Q1266" s="279"/>
      <c r="R1266" s="279"/>
      <c r="S1266" s="279"/>
      <c r="T1266" s="279"/>
      <c r="U1266" s="280"/>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9"/>
      <c r="N1267" s="279"/>
      <c r="O1267" s="279"/>
      <c r="P1267" s="279"/>
      <c r="Q1267" s="279"/>
      <c r="R1267" s="279"/>
      <c r="S1267" s="279"/>
      <c r="T1267" s="279"/>
      <c r="U1267" s="280"/>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9"/>
      <c r="N1268" s="279"/>
      <c r="O1268" s="279"/>
      <c r="P1268" s="279"/>
      <c r="Q1268" s="279"/>
      <c r="R1268" s="279"/>
      <c r="S1268" s="279"/>
      <c r="T1268" s="279"/>
      <c r="U1268" s="280"/>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9"/>
      <c r="N1269" s="279"/>
      <c r="O1269" s="279"/>
      <c r="P1269" s="279"/>
      <c r="Q1269" s="279"/>
      <c r="R1269" s="279"/>
      <c r="S1269" s="279"/>
      <c r="T1269" s="279"/>
      <c r="U1269" s="280"/>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9"/>
      <c r="N1270" s="279"/>
      <c r="O1270" s="279"/>
      <c r="P1270" s="279"/>
      <c r="Q1270" s="279"/>
      <c r="R1270" s="279"/>
      <c r="S1270" s="279"/>
      <c r="T1270" s="279"/>
      <c r="U1270" s="280"/>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9"/>
      <c r="N1271" s="279"/>
      <c r="O1271" s="279"/>
      <c r="P1271" s="279"/>
      <c r="Q1271" s="279"/>
      <c r="R1271" s="279"/>
      <c r="S1271" s="279"/>
      <c r="T1271" s="279"/>
      <c r="U1271" s="280"/>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20" t="s">
        <v>365</v>
      </c>
      <c r="C1272" s="321"/>
      <c r="D1272" s="79"/>
      <c r="E1272" s="80"/>
      <c r="F1272" s="80"/>
      <c r="G1272" s="81"/>
      <c r="H1272" s="192"/>
      <c r="I1272" s="192"/>
      <c r="J1272" s="192"/>
      <c r="K1272" s="82"/>
      <c r="L1272" s="320" t="s">
        <v>306</v>
      </c>
      <c r="M1272" s="331"/>
      <c r="N1272" s="331"/>
      <c r="O1272" s="331"/>
      <c r="P1272" s="331"/>
      <c r="Q1272" s="331"/>
      <c r="R1272" s="331"/>
      <c r="S1272" s="331"/>
      <c r="T1272" s="331"/>
      <c r="U1272" s="321"/>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20" t="s">
        <v>307</v>
      </c>
      <c r="C1273" s="321"/>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3" t="s">
        <v>222</v>
      </c>
      <c r="C1277" s="314"/>
      <c r="D1277" s="315" t="s">
        <v>223</v>
      </c>
      <c r="E1277" s="306"/>
      <c r="F1277" s="88"/>
      <c r="G1277" s="316" t="s">
        <v>224</v>
      </c>
      <c r="H1277" s="317"/>
      <c r="I1277" s="28">
        <f>SUM(E1288:E1312)</f>
        <v>0</v>
      </c>
      <c r="J1277" s="318" t="s">
        <v>225</v>
      </c>
      <c r="K1277" s="319"/>
      <c r="L1277" s="306"/>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6" t="s">
        <v>226</v>
      </c>
      <c r="AA1277" s="297"/>
      <c r="AB1277" s="298"/>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5" t="s">
        <v>230</v>
      </c>
      <c r="H1278" s="306"/>
      <c r="I1278" s="33">
        <f>E1279-I1277</f>
        <v>0</v>
      </c>
      <c r="J1278" s="290" t="s">
        <v>231</v>
      </c>
      <c r="K1278" s="291"/>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9" t="s">
        <v>232</v>
      </c>
      <c r="AA1278" s="301" t="s">
        <v>233</v>
      </c>
      <c r="AB1278" s="302"/>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2" t="s">
        <v>237</v>
      </c>
      <c r="H1279" s="293"/>
      <c r="I1279" s="35">
        <f>IF(E1279=0,0,12-(MOD(I1277,12)))</f>
        <v>0</v>
      </c>
      <c r="J1279" s="290" t="s">
        <v>238</v>
      </c>
      <c r="K1279" s="291"/>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0"/>
      <c r="AA1279" s="303"/>
      <c r="AB1279" s="304"/>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2" t="s">
        <v>242</v>
      </c>
      <c r="H1280" s="43" t="s">
        <v>243</v>
      </c>
      <c r="I1280" s="35">
        <f>IF(E1280&lt;&gt;0,1,0)</f>
        <v>0</v>
      </c>
      <c r="J1280" s="292" t="s">
        <v>244</v>
      </c>
      <c r="K1280" s="293"/>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3"/>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2" t="s">
        <v>251</v>
      </c>
      <c r="H1282" s="51" t="s">
        <v>252</v>
      </c>
      <c r="I1282" s="112">
        <f>E1281</f>
        <v>0</v>
      </c>
      <c r="J1282" s="324" t="s">
        <v>253</v>
      </c>
      <c r="K1282" s="325"/>
      <c r="L1282" s="326"/>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3"/>
      <c r="H1283" s="47" t="s">
        <v>257</v>
      </c>
      <c r="I1283" s="35" t="str">
        <f>IF(E1281="","0",IF(AND(E1278="EUC",E1279=432), I1282+(203-E1280),IF(E1281=0,0,(E1281+(E1279-E1280)-1))))</f>
        <v>0</v>
      </c>
      <c r="J1283" s="287" t="str">
        <f>IFERROR(IF(OR(E1278="EUC",E1278="SS"),"---",IF(OR(P1277,S1277),"NO 2F Tethers for RPX!",IF(OR(P1279,S1279),"NO 6F Tethers for RPX!","---"))),"---")</f>
        <v>---</v>
      </c>
      <c r="K1283" s="288"/>
      <c r="L1283" s="289"/>
      <c r="M1283" s="287" t="str">
        <f>IF(E1280&gt;60,"Dead Count &gt;60: Consider Downsize","---")</f>
        <v>---</v>
      </c>
      <c r="N1283" s="288"/>
      <c r="O1283" s="288"/>
      <c r="P1283" s="288"/>
      <c r="Q1283" s="288"/>
      <c r="R1283" s="288"/>
      <c r="S1283" s="288"/>
      <c r="T1283" s="288"/>
      <c r="U1283" s="289"/>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7"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8"/>
      <c r="L1284" s="289"/>
      <c r="M1284" s="287" t="str">
        <f>IF(AND(OR(E1278="SS",E1278="RPX",E1278="EUC",E1278="RPX-T"),(OR(C1288="",C1288="Field SPL"))),"Cannot have FlexNap cables without tethers","---")</f>
        <v>---</v>
      </c>
      <c r="N1284" s="288"/>
      <c r="O1284" s="288"/>
      <c r="P1284" s="288"/>
      <c r="Q1284" s="288"/>
      <c r="R1284" s="288"/>
      <c r="S1284" s="288"/>
      <c r="T1284" s="288"/>
      <c r="U1284" s="289"/>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7" t="str">
        <f>IF(AND(OR(E1278="RPX", E1278="RPX-T", E1278="SS"),E1279=216),"NO 216 For RPX, RPX-T, OR SS CABLE","---")</f>
        <v>---</v>
      </c>
      <c r="K1285" s="288"/>
      <c r="L1285" s="289"/>
      <c r="M1285" s="287" t="str" cm="1">
        <f t="array" ref="M1285">IF(AND(E1278="",OR(C1288:C1312="FST",C1288:C1312="REV T",C1288:C1312="DBL REV",C1288:C1312="TPL REV", C1288:C1312="QD REV")),"Non-FlexNap cables cannot have tethers","---")</f>
        <v>---</v>
      </c>
      <c r="N1285" s="288"/>
      <c r="O1285" s="288"/>
      <c r="P1285" s="288"/>
      <c r="Q1285" s="288"/>
      <c r="R1285" s="288"/>
      <c r="S1285" s="288"/>
      <c r="T1285" s="288"/>
      <c r="U1285" s="289"/>
      <c r="V1285" s="25"/>
      <c r="W1285" s="58"/>
      <c r="X1285" s="58"/>
      <c r="Y1285" s="25"/>
      <c r="Z1285" s="45">
        <v>6</v>
      </c>
      <c r="AA1285" s="65">
        <v>61</v>
      </c>
      <c r="AB1285" s="65">
        <v>72</v>
      </c>
      <c r="AC1285" s="25"/>
      <c r="AD1285" s="25"/>
      <c r="BA1285" s="226"/>
    </row>
    <row r="1286" spans="1:53" ht="15.75" customHeight="1" thickBot="1" x14ac:dyDescent="0.3">
      <c r="A1286" s="88"/>
      <c r="B1286" s="322" t="s">
        <v>260</v>
      </c>
      <c r="C1286" s="294" t="s">
        <v>261</v>
      </c>
      <c r="D1286" s="294" t="s">
        <v>262</v>
      </c>
      <c r="E1286" s="307" t="s">
        <v>263</v>
      </c>
      <c r="F1286" s="294" t="s">
        <v>264</v>
      </c>
      <c r="G1286" s="309" t="s">
        <v>265</v>
      </c>
      <c r="H1286" s="309" t="s">
        <v>266</v>
      </c>
      <c r="I1286" s="309" t="s">
        <v>267</v>
      </c>
      <c r="J1286" s="311" t="s">
        <v>268</v>
      </c>
      <c r="K1286" s="294" t="s">
        <v>269</v>
      </c>
      <c r="L1286" s="281" t="s">
        <v>270</v>
      </c>
      <c r="M1286" s="283" t="s">
        <v>271</v>
      </c>
      <c r="N1286" s="283"/>
      <c r="O1286" s="283"/>
      <c r="P1286" s="283"/>
      <c r="Q1286" s="283"/>
      <c r="R1286" s="283"/>
      <c r="S1286" s="283"/>
      <c r="T1286" s="283"/>
      <c r="U1286" s="284"/>
      <c r="V1286" s="107"/>
      <c r="W1286" s="72"/>
      <c r="X1286" s="72"/>
      <c r="Y1286" s="72"/>
      <c r="Z1286" s="45">
        <v>7</v>
      </c>
      <c r="AA1286" s="65">
        <v>73</v>
      </c>
      <c r="AB1286" s="65">
        <v>84</v>
      </c>
      <c r="AC1286" s="25"/>
      <c r="AD1286" s="25"/>
      <c r="BA1286" s="228"/>
    </row>
    <row r="1287" spans="1:53" ht="15.75" thickBot="1" x14ac:dyDescent="0.3">
      <c r="A1287" s="88"/>
      <c r="B1287" s="323"/>
      <c r="C1287" s="295"/>
      <c r="D1287" s="295"/>
      <c r="E1287" s="308"/>
      <c r="F1287" s="295"/>
      <c r="G1287" s="310"/>
      <c r="H1287" s="310"/>
      <c r="I1287" s="310"/>
      <c r="J1287" s="312"/>
      <c r="K1287" s="295"/>
      <c r="L1287" s="282"/>
      <c r="M1287" s="285"/>
      <c r="N1287" s="285"/>
      <c r="O1287" s="285"/>
      <c r="P1287" s="285"/>
      <c r="Q1287" s="285"/>
      <c r="R1287" s="285"/>
      <c r="S1287" s="285"/>
      <c r="T1287" s="285"/>
      <c r="U1287" s="286"/>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79"/>
      <c r="N1288" s="279"/>
      <c r="O1288" s="279"/>
      <c r="P1288" s="279"/>
      <c r="Q1288" s="279"/>
      <c r="R1288" s="279"/>
      <c r="S1288" s="279"/>
      <c r="T1288" s="279"/>
      <c r="U1288" s="280"/>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79"/>
      <c r="N1289" s="279"/>
      <c r="O1289" s="279"/>
      <c r="P1289" s="279"/>
      <c r="Q1289" s="279"/>
      <c r="R1289" s="279"/>
      <c r="S1289" s="279"/>
      <c r="T1289" s="279"/>
      <c r="U1289" s="280"/>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9"/>
      <c r="N1290" s="279"/>
      <c r="O1290" s="279"/>
      <c r="P1290" s="279"/>
      <c r="Q1290" s="279"/>
      <c r="R1290" s="279"/>
      <c r="S1290" s="279"/>
      <c r="T1290" s="279"/>
      <c r="U1290" s="280"/>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9"/>
      <c r="N1291" s="279"/>
      <c r="O1291" s="279"/>
      <c r="P1291" s="279"/>
      <c r="Q1291" s="279"/>
      <c r="R1291" s="279"/>
      <c r="S1291" s="279"/>
      <c r="T1291" s="279"/>
      <c r="U1291" s="280"/>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9"/>
      <c r="N1292" s="279"/>
      <c r="O1292" s="279"/>
      <c r="P1292" s="279"/>
      <c r="Q1292" s="279"/>
      <c r="R1292" s="279"/>
      <c r="S1292" s="279"/>
      <c r="T1292" s="279"/>
      <c r="U1292" s="280"/>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9"/>
      <c r="N1293" s="279"/>
      <c r="O1293" s="279"/>
      <c r="P1293" s="279"/>
      <c r="Q1293" s="279"/>
      <c r="R1293" s="279"/>
      <c r="S1293" s="279"/>
      <c r="T1293" s="279"/>
      <c r="U1293" s="280"/>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9"/>
      <c r="N1294" s="279"/>
      <c r="O1294" s="279"/>
      <c r="P1294" s="279"/>
      <c r="Q1294" s="279"/>
      <c r="R1294" s="279"/>
      <c r="S1294" s="279"/>
      <c r="T1294" s="279"/>
      <c r="U1294" s="280"/>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9"/>
      <c r="N1295" s="279"/>
      <c r="O1295" s="279"/>
      <c r="P1295" s="279"/>
      <c r="Q1295" s="279"/>
      <c r="R1295" s="279"/>
      <c r="S1295" s="279"/>
      <c r="T1295" s="279"/>
      <c r="U1295" s="280"/>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9"/>
      <c r="N1296" s="279"/>
      <c r="O1296" s="279"/>
      <c r="P1296" s="279"/>
      <c r="Q1296" s="279"/>
      <c r="R1296" s="279"/>
      <c r="S1296" s="279"/>
      <c r="T1296" s="279"/>
      <c r="U1296" s="280"/>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9"/>
      <c r="N1297" s="279"/>
      <c r="O1297" s="279"/>
      <c r="P1297" s="279"/>
      <c r="Q1297" s="279"/>
      <c r="R1297" s="279"/>
      <c r="S1297" s="279"/>
      <c r="T1297" s="279"/>
      <c r="U1297" s="280"/>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9"/>
      <c r="N1298" s="279"/>
      <c r="O1298" s="279"/>
      <c r="P1298" s="279"/>
      <c r="Q1298" s="279"/>
      <c r="R1298" s="279"/>
      <c r="S1298" s="279"/>
      <c r="T1298" s="279"/>
      <c r="U1298" s="280"/>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9"/>
      <c r="N1299" s="279"/>
      <c r="O1299" s="279"/>
      <c r="P1299" s="279"/>
      <c r="Q1299" s="279"/>
      <c r="R1299" s="279"/>
      <c r="S1299" s="279"/>
      <c r="T1299" s="279"/>
      <c r="U1299" s="280"/>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9"/>
      <c r="N1300" s="279"/>
      <c r="O1300" s="279"/>
      <c r="P1300" s="279"/>
      <c r="Q1300" s="279"/>
      <c r="R1300" s="279"/>
      <c r="S1300" s="279"/>
      <c r="T1300" s="279"/>
      <c r="U1300" s="280"/>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9"/>
      <c r="N1301" s="279"/>
      <c r="O1301" s="279"/>
      <c r="P1301" s="279"/>
      <c r="Q1301" s="279"/>
      <c r="R1301" s="279"/>
      <c r="S1301" s="279"/>
      <c r="T1301" s="279"/>
      <c r="U1301" s="280"/>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9"/>
      <c r="N1302" s="279"/>
      <c r="O1302" s="279"/>
      <c r="P1302" s="279"/>
      <c r="Q1302" s="279"/>
      <c r="R1302" s="279"/>
      <c r="S1302" s="279"/>
      <c r="T1302" s="279"/>
      <c r="U1302" s="280"/>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9"/>
      <c r="N1303" s="279"/>
      <c r="O1303" s="279"/>
      <c r="P1303" s="279"/>
      <c r="Q1303" s="279"/>
      <c r="R1303" s="279"/>
      <c r="S1303" s="279"/>
      <c r="T1303" s="279"/>
      <c r="U1303" s="280"/>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9"/>
      <c r="N1304" s="279"/>
      <c r="O1304" s="279"/>
      <c r="P1304" s="279"/>
      <c r="Q1304" s="279"/>
      <c r="R1304" s="279"/>
      <c r="S1304" s="279"/>
      <c r="T1304" s="279"/>
      <c r="U1304" s="280"/>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9"/>
      <c r="N1305" s="279"/>
      <c r="O1305" s="279"/>
      <c r="P1305" s="279"/>
      <c r="Q1305" s="279"/>
      <c r="R1305" s="279"/>
      <c r="S1305" s="279"/>
      <c r="T1305" s="279"/>
      <c r="U1305" s="280"/>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9"/>
      <c r="N1306" s="279"/>
      <c r="O1306" s="279"/>
      <c r="P1306" s="279"/>
      <c r="Q1306" s="279"/>
      <c r="R1306" s="279"/>
      <c r="S1306" s="279"/>
      <c r="T1306" s="279"/>
      <c r="U1306" s="280"/>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9"/>
      <c r="N1307" s="279"/>
      <c r="O1307" s="279"/>
      <c r="P1307" s="279"/>
      <c r="Q1307" s="279"/>
      <c r="R1307" s="279"/>
      <c r="S1307" s="279"/>
      <c r="T1307" s="279"/>
      <c r="U1307" s="280"/>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9"/>
      <c r="N1308" s="279"/>
      <c r="O1308" s="279"/>
      <c r="P1308" s="279"/>
      <c r="Q1308" s="279"/>
      <c r="R1308" s="279"/>
      <c r="S1308" s="279"/>
      <c r="T1308" s="279"/>
      <c r="U1308" s="280"/>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9"/>
      <c r="N1309" s="279"/>
      <c r="O1309" s="279"/>
      <c r="P1309" s="279"/>
      <c r="Q1309" s="279"/>
      <c r="R1309" s="279"/>
      <c r="S1309" s="279"/>
      <c r="T1309" s="279"/>
      <c r="U1309" s="280"/>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9"/>
      <c r="N1310" s="279"/>
      <c r="O1310" s="279"/>
      <c r="P1310" s="279"/>
      <c r="Q1310" s="279"/>
      <c r="R1310" s="279"/>
      <c r="S1310" s="279"/>
      <c r="T1310" s="279"/>
      <c r="U1310" s="280"/>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9"/>
      <c r="N1311" s="279"/>
      <c r="O1311" s="279"/>
      <c r="P1311" s="279"/>
      <c r="Q1311" s="279"/>
      <c r="R1311" s="279"/>
      <c r="S1311" s="279"/>
      <c r="T1311" s="279"/>
      <c r="U1311" s="280"/>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9"/>
      <c r="N1312" s="279"/>
      <c r="O1312" s="279"/>
      <c r="P1312" s="279"/>
      <c r="Q1312" s="279"/>
      <c r="R1312" s="279"/>
      <c r="S1312" s="279"/>
      <c r="T1312" s="279"/>
      <c r="U1312" s="280"/>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20" t="s">
        <v>367</v>
      </c>
      <c r="C1313" s="321"/>
      <c r="D1313" s="79"/>
      <c r="E1313" s="80"/>
      <c r="F1313" s="80"/>
      <c r="G1313" s="81"/>
      <c r="H1313" s="192"/>
      <c r="I1313" s="192"/>
      <c r="J1313" s="192"/>
      <c r="K1313" s="82"/>
      <c r="L1313" s="320" t="s">
        <v>306</v>
      </c>
      <c r="M1313" s="331"/>
      <c r="N1313" s="331"/>
      <c r="O1313" s="331"/>
      <c r="P1313" s="331"/>
      <c r="Q1313" s="331"/>
      <c r="R1313" s="331"/>
      <c r="S1313" s="331"/>
      <c r="T1313" s="331"/>
      <c r="U1313" s="321"/>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20" t="s">
        <v>307</v>
      </c>
      <c r="C1314" s="321"/>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3" t="s">
        <v>222</v>
      </c>
      <c r="C1318" s="314"/>
      <c r="D1318" s="315" t="s">
        <v>223</v>
      </c>
      <c r="E1318" s="306"/>
      <c r="F1318" s="88"/>
      <c r="G1318" s="316" t="s">
        <v>224</v>
      </c>
      <c r="H1318" s="317"/>
      <c r="I1318" s="28">
        <f>SUM(E1329:E1353)</f>
        <v>0</v>
      </c>
      <c r="J1318" s="318" t="s">
        <v>225</v>
      </c>
      <c r="K1318" s="319"/>
      <c r="L1318" s="306"/>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6" t="s">
        <v>226</v>
      </c>
      <c r="AA1318" s="297"/>
      <c r="AB1318" s="298"/>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5" t="s">
        <v>230</v>
      </c>
      <c r="H1319" s="306"/>
      <c r="I1319" s="33">
        <f>E1320-I1318</f>
        <v>0</v>
      </c>
      <c r="J1319" s="290" t="s">
        <v>231</v>
      </c>
      <c r="K1319" s="291"/>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9" t="s">
        <v>232</v>
      </c>
      <c r="AA1319" s="301" t="s">
        <v>233</v>
      </c>
      <c r="AB1319" s="302"/>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2" t="s">
        <v>237</v>
      </c>
      <c r="H1320" s="293"/>
      <c r="I1320" s="35">
        <f>IF(E1320=0,0,12-(MOD(I1318,12)))</f>
        <v>0</v>
      </c>
      <c r="J1320" s="290" t="s">
        <v>238</v>
      </c>
      <c r="K1320" s="291"/>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0"/>
      <c r="AA1320" s="303"/>
      <c r="AB1320" s="304"/>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2" t="s">
        <v>242</v>
      </c>
      <c r="H1321" s="43" t="s">
        <v>243</v>
      </c>
      <c r="I1321" s="35">
        <f>IF(E1321&lt;&gt;0,1,0)</f>
        <v>0</v>
      </c>
      <c r="J1321" s="292" t="s">
        <v>244</v>
      </c>
      <c r="K1321" s="293"/>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3"/>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2" t="s">
        <v>251</v>
      </c>
      <c r="H1323" s="51" t="s">
        <v>252</v>
      </c>
      <c r="I1323" s="112">
        <f>E1322</f>
        <v>0</v>
      </c>
      <c r="J1323" s="324" t="s">
        <v>253</v>
      </c>
      <c r="K1323" s="325"/>
      <c r="L1323" s="326"/>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3"/>
      <c r="H1324" s="47" t="s">
        <v>257</v>
      </c>
      <c r="I1324" s="35" t="str">
        <f>IF(E1322="","0",IF(AND(E1319="EUC",E1320=432), I1323+(203-E1321),IF(E1322=0,0,(E1322+(E1320-E1321)-1))))</f>
        <v>0</v>
      </c>
      <c r="J1324" s="287" t="str">
        <f>IFERROR(IF(OR(E1319="EUC",E1319="SS"),"---",IF(OR(P1318,S1318),"NO 2F Tethers for RPX!",IF(OR(P1320,S1320),"NO 6F Tethers for RPX!","---"))),"---")</f>
        <v>---</v>
      </c>
      <c r="K1324" s="288"/>
      <c r="L1324" s="289"/>
      <c r="M1324" s="287" t="str">
        <f>IF(E1321&gt;60,"Dead Count &gt;60: Consider Downsize","---")</f>
        <v>---</v>
      </c>
      <c r="N1324" s="288"/>
      <c r="O1324" s="288"/>
      <c r="P1324" s="288"/>
      <c r="Q1324" s="288"/>
      <c r="R1324" s="288"/>
      <c r="S1324" s="288"/>
      <c r="T1324" s="288"/>
      <c r="U1324" s="289"/>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7"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8"/>
      <c r="L1325" s="289"/>
      <c r="M1325" s="287" t="str">
        <f>IF(AND(OR(E1319="SS",E1319="RPX",E1319="EUC",E1319="RPX-T"),(OR(C1329="",C1329="Field SPL"))),"Cannot have FlexNap cables without tethers","---")</f>
        <v>---</v>
      </c>
      <c r="N1325" s="288"/>
      <c r="O1325" s="288"/>
      <c r="P1325" s="288"/>
      <c r="Q1325" s="288"/>
      <c r="R1325" s="288"/>
      <c r="S1325" s="288"/>
      <c r="T1325" s="288"/>
      <c r="U1325" s="289"/>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7" t="str">
        <f>IF(AND(OR(E1319="RPX", E1319="RPX-T", E1319="SS"),E1320=216),"NO 216 For RPX, RPX-T, OR SS CABLE","---")</f>
        <v>---</v>
      </c>
      <c r="K1326" s="288"/>
      <c r="L1326" s="289"/>
      <c r="M1326" s="287" t="str" cm="1">
        <f t="array" ref="M1326">IF(AND(E1319="",OR(C1329:C1353="FST",C1329:C1353="REV T",C1329:C1353="DBL REV",C1329:C1353="TPL REV", C1329:C1353="QD REV")),"Non-FlexNap cables cannot have tethers","---")</f>
        <v>---</v>
      </c>
      <c r="N1326" s="288"/>
      <c r="O1326" s="288"/>
      <c r="P1326" s="288"/>
      <c r="Q1326" s="288"/>
      <c r="R1326" s="288"/>
      <c r="S1326" s="288"/>
      <c r="T1326" s="288"/>
      <c r="U1326" s="289"/>
      <c r="V1326" s="25"/>
      <c r="W1326" s="58"/>
      <c r="X1326" s="58"/>
      <c r="Y1326" s="25"/>
      <c r="Z1326" s="45">
        <v>6</v>
      </c>
      <c r="AA1326" s="65">
        <v>61</v>
      </c>
      <c r="AB1326" s="65">
        <v>72</v>
      </c>
      <c r="AC1326" s="25"/>
      <c r="AD1326" s="25"/>
      <c r="BA1326" s="226"/>
    </row>
    <row r="1327" spans="1:53" ht="15.75" customHeight="1" thickBot="1" x14ac:dyDescent="0.3">
      <c r="A1327" s="88"/>
      <c r="B1327" s="322" t="s">
        <v>260</v>
      </c>
      <c r="C1327" s="294" t="s">
        <v>261</v>
      </c>
      <c r="D1327" s="294" t="s">
        <v>262</v>
      </c>
      <c r="E1327" s="307" t="s">
        <v>263</v>
      </c>
      <c r="F1327" s="294" t="s">
        <v>264</v>
      </c>
      <c r="G1327" s="309" t="s">
        <v>265</v>
      </c>
      <c r="H1327" s="309" t="s">
        <v>266</v>
      </c>
      <c r="I1327" s="309" t="s">
        <v>267</v>
      </c>
      <c r="J1327" s="311" t="s">
        <v>268</v>
      </c>
      <c r="K1327" s="294" t="s">
        <v>269</v>
      </c>
      <c r="L1327" s="281" t="s">
        <v>270</v>
      </c>
      <c r="M1327" s="283" t="s">
        <v>271</v>
      </c>
      <c r="N1327" s="283"/>
      <c r="O1327" s="283"/>
      <c r="P1327" s="283"/>
      <c r="Q1327" s="283"/>
      <c r="R1327" s="283"/>
      <c r="S1327" s="283"/>
      <c r="T1327" s="283"/>
      <c r="U1327" s="284"/>
      <c r="V1327" s="107"/>
      <c r="W1327" s="72"/>
      <c r="X1327" s="72"/>
      <c r="Y1327" s="72"/>
      <c r="Z1327" s="45">
        <v>7</v>
      </c>
      <c r="AA1327" s="65">
        <v>73</v>
      </c>
      <c r="AB1327" s="65">
        <v>84</v>
      </c>
      <c r="AC1327" s="25"/>
      <c r="AD1327" s="25"/>
      <c r="BA1327" s="228"/>
    </row>
    <row r="1328" spans="1:53" ht="15.75" thickBot="1" x14ac:dyDescent="0.3">
      <c r="A1328" s="88"/>
      <c r="B1328" s="323"/>
      <c r="C1328" s="295"/>
      <c r="D1328" s="295"/>
      <c r="E1328" s="308"/>
      <c r="F1328" s="295"/>
      <c r="G1328" s="310"/>
      <c r="H1328" s="310"/>
      <c r="I1328" s="310"/>
      <c r="J1328" s="312"/>
      <c r="K1328" s="295"/>
      <c r="L1328" s="282"/>
      <c r="M1328" s="285"/>
      <c r="N1328" s="285"/>
      <c r="O1328" s="285"/>
      <c r="P1328" s="285"/>
      <c r="Q1328" s="285"/>
      <c r="R1328" s="285"/>
      <c r="S1328" s="285"/>
      <c r="T1328" s="285"/>
      <c r="U1328" s="286"/>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9"/>
      <c r="N1329" s="279"/>
      <c r="O1329" s="279"/>
      <c r="P1329" s="279"/>
      <c r="Q1329" s="279"/>
      <c r="R1329" s="279"/>
      <c r="S1329" s="279"/>
      <c r="T1329" s="279"/>
      <c r="U1329" s="280"/>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79"/>
      <c r="N1330" s="279"/>
      <c r="O1330" s="279"/>
      <c r="P1330" s="279"/>
      <c r="Q1330" s="279"/>
      <c r="R1330" s="279"/>
      <c r="S1330" s="279"/>
      <c r="T1330" s="279"/>
      <c r="U1330" s="280"/>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79"/>
      <c r="N1331" s="279"/>
      <c r="O1331" s="279"/>
      <c r="P1331" s="279"/>
      <c r="Q1331" s="279"/>
      <c r="R1331" s="279"/>
      <c r="S1331" s="279"/>
      <c r="T1331" s="279"/>
      <c r="U1331" s="280"/>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9"/>
      <c r="N1332" s="279"/>
      <c r="O1332" s="279"/>
      <c r="P1332" s="279"/>
      <c r="Q1332" s="279"/>
      <c r="R1332" s="279"/>
      <c r="S1332" s="279"/>
      <c r="T1332" s="279"/>
      <c r="U1332" s="280"/>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9"/>
      <c r="N1333" s="279"/>
      <c r="O1333" s="279"/>
      <c r="P1333" s="279"/>
      <c r="Q1333" s="279"/>
      <c r="R1333" s="279"/>
      <c r="S1333" s="279"/>
      <c r="T1333" s="279"/>
      <c r="U1333" s="280"/>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9"/>
      <c r="N1334" s="279"/>
      <c r="O1334" s="279"/>
      <c r="P1334" s="279"/>
      <c r="Q1334" s="279"/>
      <c r="R1334" s="279"/>
      <c r="S1334" s="279"/>
      <c r="T1334" s="279"/>
      <c r="U1334" s="280"/>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9"/>
      <c r="N1335" s="279"/>
      <c r="O1335" s="279"/>
      <c r="P1335" s="279"/>
      <c r="Q1335" s="279"/>
      <c r="R1335" s="279"/>
      <c r="S1335" s="279"/>
      <c r="T1335" s="279"/>
      <c r="U1335" s="280"/>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9"/>
      <c r="N1336" s="279"/>
      <c r="O1336" s="279"/>
      <c r="P1336" s="279"/>
      <c r="Q1336" s="279"/>
      <c r="R1336" s="279"/>
      <c r="S1336" s="279"/>
      <c r="T1336" s="279"/>
      <c r="U1336" s="280"/>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9"/>
      <c r="N1337" s="279"/>
      <c r="O1337" s="279"/>
      <c r="P1337" s="279"/>
      <c r="Q1337" s="279"/>
      <c r="R1337" s="279"/>
      <c r="S1337" s="279"/>
      <c r="T1337" s="279"/>
      <c r="U1337" s="280"/>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9"/>
      <c r="N1338" s="279"/>
      <c r="O1338" s="279"/>
      <c r="P1338" s="279"/>
      <c r="Q1338" s="279"/>
      <c r="R1338" s="279"/>
      <c r="S1338" s="279"/>
      <c r="T1338" s="279"/>
      <c r="U1338" s="280"/>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9"/>
      <c r="N1339" s="279"/>
      <c r="O1339" s="279"/>
      <c r="P1339" s="279"/>
      <c r="Q1339" s="279"/>
      <c r="R1339" s="279"/>
      <c r="S1339" s="279"/>
      <c r="T1339" s="279"/>
      <c r="U1339" s="280"/>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9"/>
      <c r="N1340" s="279"/>
      <c r="O1340" s="279"/>
      <c r="P1340" s="279"/>
      <c r="Q1340" s="279"/>
      <c r="R1340" s="279"/>
      <c r="S1340" s="279"/>
      <c r="T1340" s="279"/>
      <c r="U1340" s="280"/>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9"/>
      <c r="N1341" s="279"/>
      <c r="O1341" s="279"/>
      <c r="P1341" s="279"/>
      <c r="Q1341" s="279"/>
      <c r="R1341" s="279"/>
      <c r="S1341" s="279"/>
      <c r="T1341" s="279"/>
      <c r="U1341" s="280"/>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9"/>
      <c r="N1342" s="279"/>
      <c r="O1342" s="279"/>
      <c r="P1342" s="279"/>
      <c r="Q1342" s="279"/>
      <c r="R1342" s="279"/>
      <c r="S1342" s="279"/>
      <c r="T1342" s="279"/>
      <c r="U1342" s="280"/>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9"/>
      <c r="N1343" s="279"/>
      <c r="O1343" s="279"/>
      <c r="P1343" s="279"/>
      <c r="Q1343" s="279"/>
      <c r="R1343" s="279"/>
      <c r="S1343" s="279"/>
      <c r="T1343" s="279"/>
      <c r="U1343" s="280"/>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9"/>
      <c r="N1344" s="279"/>
      <c r="O1344" s="279"/>
      <c r="P1344" s="279"/>
      <c r="Q1344" s="279"/>
      <c r="R1344" s="279"/>
      <c r="S1344" s="279"/>
      <c r="T1344" s="279"/>
      <c r="U1344" s="280"/>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9"/>
      <c r="N1345" s="279"/>
      <c r="O1345" s="279"/>
      <c r="P1345" s="279"/>
      <c r="Q1345" s="279"/>
      <c r="R1345" s="279"/>
      <c r="S1345" s="279"/>
      <c r="T1345" s="279"/>
      <c r="U1345" s="280"/>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9"/>
      <c r="N1346" s="279"/>
      <c r="O1346" s="279"/>
      <c r="P1346" s="279"/>
      <c r="Q1346" s="279"/>
      <c r="R1346" s="279"/>
      <c r="S1346" s="279"/>
      <c r="T1346" s="279"/>
      <c r="U1346" s="280"/>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9"/>
      <c r="N1347" s="279"/>
      <c r="O1347" s="279"/>
      <c r="P1347" s="279"/>
      <c r="Q1347" s="279"/>
      <c r="R1347" s="279"/>
      <c r="S1347" s="279"/>
      <c r="T1347" s="279"/>
      <c r="U1347" s="280"/>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9"/>
      <c r="N1348" s="279"/>
      <c r="O1348" s="279"/>
      <c r="P1348" s="279"/>
      <c r="Q1348" s="279"/>
      <c r="R1348" s="279"/>
      <c r="S1348" s="279"/>
      <c r="T1348" s="279"/>
      <c r="U1348" s="280"/>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9"/>
      <c r="N1349" s="279"/>
      <c r="O1349" s="279"/>
      <c r="P1349" s="279"/>
      <c r="Q1349" s="279"/>
      <c r="R1349" s="279"/>
      <c r="S1349" s="279"/>
      <c r="T1349" s="279"/>
      <c r="U1349" s="280"/>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9"/>
      <c r="N1350" s="279"/>
      <c r="O1350" s="279"/>
      <c r="P1350" s="279"/>
      <c r="Q1350" s="279"/>
      <c r="R1350" s="279"/>
      <c r="S1350" s="279"/>
      <c r="T1350" s="279"/>
      <c r="U1350" s="280"/>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9"/>
      <c r="N1351" s="279"/>
      <c r="O1351" s="279"/>
      <c r="P1351" s="279"/>
      <c r="Q1351" s="279"/>
      <c r="R1351" s="279"/>
      <c r="S1351" s="279"/>
      <c r="T1351" s="279"/>
      <c r="U1351" s="280"/>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9"/>
      <c r="N1352" s="279"/>
      <c r="O1352" s="279"/>
      <c r="P1352" s="279"/>
      <c r="Q1352" s="279"/>
      <c r="R1352" s="279"/>
      <c r="S1352" s="279"/>
      <c r="T1352" s="279"/>
      <c r="U1352" s="280"/>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9"/>
      <c r="N1353" s="279"/>
      <c r="O1353" s="279"/>
      <c r="P1353" s="279"/>
      <c r="Q1353" s="279"/>
      <c r="R1353" s="279"/>
      <c r="S1353" s="279"/>
      <c r="T1353" s="279"/>
      <c r="U1353" s="280"/>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20" t="s">
        <v>369</v>
      </c>
      <c r="C1354" s="321"/>
      <c r="D1354" s="79"/>
      <c r="E1354" s="80"/>
      <c r="F1354" s="80"/>
      <c r="G1354" s="81"/>
      <c r="H1354" s="192"/>
      <c r="I1354" s="192"/>
      <c r="J1354" s="192"/>
      <c r="K1354" s="82"/>
      <c r="L1354" s="320" t="s">
        <v>306</v>
      </c>
      <c r="M1354" s="331"/>
      <c r="N1354" s="331"/>
      <c r="O1354" s="331"/>
      <c r="P1354" s="331"/>
      <c r="Q1354" s="331"/>
      <c r="R1354" s="331"/>
      <c r="S1354" s="331"/>
      <c r="T1354" s="331"/>
      <c r="U1354" s="321"/>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20" t="s">
        <v>307</v>
      </c>
      <c r="C1355" s="321"/>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3" t="s">
        <v>222</v>
      </c>
      <c r="C1359" s="314"/>
      <c r="D1359" s="315" t="s">
        <v>223</v>
      </c>
      <c r="E1359" s="306"/>
      <c r="F1359" s="88"/>
      <c r="G1359" s="316" t="s">
        <v>224</v>
      </c>
      <c r="H1359" s="317"/>
      <c r="I1359" s="28">
        <f>SUM(E1370:E1394)</f>
        <v>0</v>
      </c>
      <c r="J1359" s="318" t="s">
        <v>225</v>
      </c>
      <c r="K1359" s="319"/>
      <c r="L1359" s="306"/>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6" t="s">
        <v>226</v>
      </c>
      <c r="AA1359" s="297"/>
      <c r="AB1359" s="298"/>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5" t="s">
        <v>230</v>
      </c>
      <c r="H1360" s="306"/>
      <c r="I1360" s="33">
        <f>E1361-I1359</f>
        <v>0</v>
      </c>
      <c r="J1360" s="290" t="s">
        <v>231</v>
      </c>
      <c r="K1360" s="291"/>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9" t="s">
        <v>232</v>
      </c>
      <c r="AA1360" s="301" t="s">
        <v>233</v>
      </c>
      <c r="AB1360" s="302"/>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2" t="s">
        <v>237</v>
      </c>
      <c r="H1361" s="293"/>
      <c r="I1361" s="35">
        <f>IF(E1361=0,0,12-(MOD(I1359,12)))</f>
        <v>0</v>
      </c>
      <c r="J1361" s="290" t="s">
        <v>238</v>
      </c>
      <c r="K1361" s="291"/>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0"/>
      <c r="AA1361" s="303"/>
      <c r="AB1361" s="304"/>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2" t="s">
        <v>242</v>
      </c>
      <c r="H1362" s="43" t="s">
        <v>243</v>
      </c>
      <c r="I1362" s="35">
        <f>IF(E1362&lt;&gt;0,1,0)</f>
        <v>0</v>
      </c>
      <c r="J1362" s="292" t="s">
        <v>244</v>
      </c>
      <c r="K1362" s="293"/>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3"/>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2" t="s">
        <v>251</v>
      </c>
      <c r="H1364" s="51" t="s">
        <v>252</v>
      </c>
      <c r="I1364" s="112">
        <f>E1363</f>
        <v>0</v>
      </c>
      <c r="J1364" s="324" t="s">
        <v>253</v>
      </c>
      <c r="K1364" s="325"/>
      <c r="L1364" s="326"/>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3"/>
      <c r="H1365" s="47" t="s">
        <v>257</v>
      </c>
      <c r="I1365" s="35" t="str">
        <f>IF(E1363="","0",IF(AND(E1360="EUC",E1361=432), I1364+(203-E1362),IF(E1363=0,0,(E1363+(E1361-E1362)-1))))</f>
        <v>0</v>
      </c>
      <c r="J1365" s="287" t="str">
        <f>IFERROR(IF(OR(E1360="EUC",E1360="SS"),"---",IF(OR(P1359,S1359),"NO 2F Tethers for RPX!",IF(OR(P1361,S1361),"NO 6F Tethers for RPX!","---"))),"---")</f>
        <v>---</v>
      </c>
      <c r="K1365" s="288"/>
      <c r="L1365" s="289"/>
      <c r="M1365" s="287" t="str">
        <f>IF(E1362&gt;60,"Dead Count &gt;60: Consider Downsize","---")</f>
        <v>---</v>
      </c>
      <c r="N1365" s="288"/>
      <c r="O1365" s="288"/>
      <c r="P1365" s="288"/>
      <c r="Q1365" s="288"/>
      <c r="R1365" s="288"/>
      <c r="S1365" s="288"/>
      <c r="T1365" s="288"/>
      <c r="U1365" s="289"/>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7"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8"/>
      <c r="L1366" s="289"/>
      <c r="M1366" s="287" t="str">
        <f>IF(AND(OR(E1360="SS",E1360="RPX",E1360="EUC",E1360="RPX-T"),(OR(C1370="",C1370="Field SPL"))),"Cannot have FlexNap cables without tethers","---")</f>
        <v>---</v>
      </c>
      <c r="N1366" s="288"/>
      <c r="O1366" s="288"/>
      <c r="P1366" s="288"/>
      <c r="Q1366" s="288"/>
      <c r="R1366" s="288"/>
      <c r="S1366" s="288"/>
      <c r="T1366" s="288"/>
      <c r="U1366" s="289"/>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7" t="str">
        <f>IF(AND(OR(E1360="RPX", E1360="RPX-T", E1360="SS"),E1361=216),"NO 216 For RPX, RPX-T, OR SS CABLE","---")</f>
        <v>---</v>
      </c>
      <c r="K1367" s="288"/>
      <c r="L1367" s="289"/>
      <c r="M1367" s="287" t="str" cm="1">
        <f t="array" ref="M1367">IF(AND(E1360="",OR(C1370:C1394="FST",C1370:C1394="REV T",C1370:C1394="DBL REV",C1370:C1394="TPL REV", C1370:C1394="QD REV")),"Non-FlexNap cables cannot have tethers","---")</f>
        <v>---</v>
      </c>
      <c r="N1367" s="288"/>
      <c r="O1367" s="288"/>
      <c r="P1367" s="288"/>
      <c r="Q1367" s="288"/>
      <c r="R1367" s="288"/>
      <c r="S1367" s="288"/>
      <c r="T1367" s="288"/>
      <c r="U1367" s="289"/>
      <c r="V1367" s="25"/>
      <c r="W1367" s="58"/>
      <c r="X1367" s="58"/>
      <c r="Y1367" s="25"/>
      <c r="Z1367" s="45">
        <v>6</v>
      </c>
      <c r="AA1367" s="65">
        <v>61</v>
      </c>
      <c r="AB1367" s="65">
        <v>72</v>
      </c>
      <c r="AC1367" s="25"/>
      <c r="AD1367" s="25"/>
      <c r="BA1367" s="226"/>
    </row>
    <row r="1368" spans="1:53" ht="15.75" customHeight="1" thickBot="1" x14ac:dyDescent="0.3">
      <c r="A1368" s="88"/>
      <c r="B1368" s="322" t="s">
        <v>260</v>
      </c>
      <c r="C1368" s="294" t="s">
        <v>261</v>
      </c>
      <c r="D1368" s="294" t="s">
        <v>262</v>
      </c>
      <c r="E1368" s="307" t="s">
        <v>263</v>
      </c>
      <c r="F1368" s="294" t="s">
        <v>264</v>
      </c>
      <c r="G1368" s="309" t="s">
        <v>265</v>
      </c>
      <c r="H1368" s="309" t="s">
        <v>266</v>
      </c>
      <c r="I1368" s="309" t="s">
        <v>267</v>
      </c>
      <c r="J1368" s="311" t="s">
        <v>268</v>
      </c>
      <c r="K1368" s="294" t="s">
        <v>269</v>
      </c>
      <c r="L1368" s="281" t="s">
        <v>270</v>
      </c>
      <c r="M1368" s="283" t="s">
        <v>271</v>
      </c>
      <c r="N1368" s="283"/>
      <c r="O1368" s="283"/>
      <c r="P1368" s="283"/>
      <c r="Q1368" s="283"/>
      <c r="R1368" s="283"/>
      <c r="S1368" s="283"/>
      <c r="T1368" s="283"/>
      <c r="U1368" s="284"/>
      <c r="V1368" s="107"/>
      <c r="W1368" s="72"/>
      <c r="X1368" s="72"/>
      <c r="Y1368" s="72"/>
      <c r="Z1368" s="45">
        <v>7</v>
      </c>
      <c r="AA1368" s="65">
        <v>73</v>
      </c>
      <c r="AB1368" s="65">
        <v>84</v>
      </c>
      <c r="AC1368" s="25"/>
      <c r="AD1368" s="25"/>
      <c r="BA1368" s="228"/>
    </row>
    <row r="1369" spans="1:53" ht="15.75" thickBot="1" x14ac:dyDescent="0.3">
      <c r="A1369" s="88"/>
      <c r="B1369" s="323"/>
      <c r="C1369" s="295"/>
      <c r="D1369" s="295"/>
      <c r="E1369" s="308"/>
      <c r="F1369" s="295"/>
      <c r="G1369" s="310"/>
      <c r="H1369" s="310"/>
      <c r="I1369" s="310"/>
      <c r="J1369" s="312"/>
      <c r="K1369" s="295"/>
      <c r="L1369" s="282"/>
      <c r="M1369" s="285"/>
      <c r="N1369" s="285"/>
      <c r="O1369" s="285"/>
      <c r="P1369" s="285"/>
      <c r="Q1369" s="285"/>
      <c r="R1369" s="285"/>
      <c r="S1369" s="285"/>
      <c r="T1369" s="285"/>
      <c r="U1369" s="286"/>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9"/>
      <c r="N1370" s="279"/>
      <c r="O1370" s="279"/>
      <c r="P1370" s="279"/>
      <c r="Q1370" s="279"/>
      <c r="R1370" s="279"/>
      <c r="S1370" s="279"/>
      <c r="T1370" s="279"/>
      <c r="U1370" s="280"/>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9"/>
      <c r="N1371" s="279"/>
      <c r="O1371" s="279"/>
      <c r="P1371" s="279"/>
      <c r="Q1371" s="279"/>
      <c r="R1371" s="279"/>
      <c r="S1371" s="279"/>
      <c r="T1371" s="279"/>
      <c r="U1371" s="280"/>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9"/>
      <c r="N1372" s="279"/>
      <c r="O1372" s="279"/>
      <c r="P1372" s="279"/>
      <c r="Q1372" s="279"/>
      <c r="R1372" s="279"/>
      <c r="S1372" s="279"/>
      <c r="T1372" s="279"/>
      <c r="U1372" s="280"/>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9"/>
      <c r="N1373" s="279"/>
      <c r="O1373" s="279"/>
      <c r="P1373" s="279"/>
      <c r="Q1373" s="279"/>
      <c r="R1373" s="279"/>
      <c r="S1373" s="279"/>
      <c r="T1373" s="279"/>
      <c r="U1373" s="280"/>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9"/>
      <c r="N1374" s="279"/>
      <c r="O1374" s="279"/>
      <c r="P1374" s="279"/>
      <c r="Q1374" s="279"/>
      <c r="R1374" s="279"/>
      <c r="S1374" s="279"/>
      <c r="T1374" s="279"/>
      <c r="U1374" s="280"/>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9"/>
      <c r="N1375" s="279"/>
      <c r="O1375" s="279"/>
      <c r="P1375" s="279"/>
      <c r="Q1375" s="279"/>
      <c r="R1375" s="279"/>
      <c r="S1375" s="279"/>
      <c r="T1375" s="279"/>
      <c r="U1375" s="280"/>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9"/>
      <c r="N1376" s="279"/>
      <c r="O1376" s="279"/>
      <c r="P1376" s="279"/>
      <c r="Q1376" s="279"/>
      <c r="R1376" s="279"/>
      <c r="S1376" s="279"/>
      <c r="T1376" s="279"/>
      <c r="U1376" s="280"/>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9"/>
      <c r="N1377" s="279"/>
      <c r="O1377" s="279"/>
      <c r="P1377" s="279"/>
      <c r="Q1377" s="279"/>
      <c r="R1377" s="279"/>
      <c r="S1377" s="279"/>
      <c r="T1377" s="279"/>
      <c r="U1377" s="280"/>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9"/>
      <c r="N1378" s="279"/>
      <c r="O1378" s="279"/>
      <c r="P1378" s="279"/>
      <c r="Q1378" s="279"/>
      <c r="R1378" s="279"/>
      <c r="S1378" s="279"/>
      <c r="T1378" s="279"/>
      <c r="U1378" s="280"/>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9"/>
      <c r="N1379" s="279"/>
      <c r="O1379" s="279"/>
      <c r="P1379" s="279"/>
      <c r="Q1379" s="279"/>
      <c r="R1379" s="279"/>
      <c r="S1379" s="279"/>
      <c r="T1379" s="279"/>
      <c r="U1379" s="280"/>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9"/>
      <c r="N1380" s="279"/>
      <c r="O1380" s="279"/>
      <c r="P1380" s="279"/>
      <c r="Q1380" s="279"/>
      <c r="R1380" s="279"/>
      <c r="S1380" s="279"/>
      <c r="T1380" s="279"/>
      <c r="U1380" s="280"/>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9"/>
      <c r="N1381" s="279"/>
      <c r="O1381" s="279"/>
      <c r="P1381" s="279"/>
      <c r="Q1381" s="279"/>
      <c r="R1381" s="279"/>
      <c r="S1381" s="279"/>
      <c r="T1381" s="279"/>
      <c r="U1381" s="280"/>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9"/>
      <c r="N1382" s="279"/>
      <c r="O1382" s="279"/>
      <c r="P1382" s="279"/>
      <c r="Q1382" s="279"/>
      <c r="R1382" s="279"/>
      <c r="S1382" s="279"/>
      <c r="T1382" s="279"/>
      <c r="U1382" s="280"/>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9"/>
      <c r="N1383" s="279"/>
      <c r="O1383" s="279"/>
      <c r="P1383" s="279"/>
      <c r="Q1383" s="279"/>
      <c r="R1383" s="279"/>
      <c r="S1383" s="279"/>
      <c r="T1383" s="279"/>
      <c r="U1383" s="280"/>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9"/>
      <c r="N1384" s="279"/>
      <c r="O1384" s="279"/>
      <c r="P1384" s="279"/>
      <c r="Q1384" s="279"/>
      <c r="R1384" s="279"/>
      <c r="S1384" s="279"/>
      <c r="T1384" s="279"/>
      <c r="U1384" s="280"/>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9"/>
      <c r="N1385" s="279"/>
      <c r="O1385" s="279"/>
      <c r="P1385" s="279"/>
      <c r="Q1385" s="279"/>
      <c r="R1385" s="279"/>
      <c r="S1385" s="279"/>
      <c r="T1385" s="279"/>
      <c r="U1385" s="280"/>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9"/>
      <c r="N1386" s="279"/>
      <c r="O1386" s="279"/>
      <c r="P1386" s="279"/>
      <c r="Q1386" s="279"/>
      <c r="R1386" s="279"/>
      <c r="S1386" s="279"/>
      <c r="T1386" s="279"/>
      <c r="U1386" s="280"/>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9"/>
      <c r="N1387" s="279"/>
      <c r="O1387" s="279"/>
      <c r="P1387" s="279"/>
      <c r="Q1387" s="279"/>
      <c r="R1387" s="279"/>
      <c r="S1387" s="279"/>
      <c r="T1387" s="279"/>
      <c r="U1387" s="280"/>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9"/>
      <c r="N1388" s="279"/>
      <c r="O1388" s="279"/>
      <c r="P1388" s="279"/>
      <c r="Q1388" s="279"/>
      <c r="R1388" s="279"/>
      <c r="S1388" s="279"/>
      <c r="T1388" s="279"/>
      <c r="U1388" s="280"/>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9"/>
      <c r="N1389" s="279"/>
      <c r="O1389" s="279"/>
      <c r="P1389" s="279"/>
      <c r="Q1389" s="279"/>
      <c r="R1389" s="279"/>
      <c r="S1389" s="279"/>
      <c r="T1389" s="279"/>
      <c r="U1389" s="280"/>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9"/>
      <c r="N1390" s="279"/>
      <c r="O1390" s="279"/>
      <c r="P1390" s="279"/>
      <c r="Q1390" s="279"/>
      <c r="R1390" s="279"/>
      <c r="S1390" s="279"/>
      <c r="T1390" s="279"/>
      <c r="U1390" s="280"/>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9"/>
      <c r="N1391" s="279"/>
      <c r="O1391" s="279"/>
      <c r="P1391" s="279"/>
      <c r="Q1391" s="279"/>
      <c r="R1391" s="279"/>
      <c r="S1391" s="279"/>
      <c r="T1391" s="279"/>
      <c r="U1391" s="280"/>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9"/>
      <c r="N1392" s="279"/>
      <c r="O1392" s="279"/>
      <c r="P1392" s="279"/>
      <c r="Q1392" s="279"/>
      <c r="R1392" s="279"/>
      <c r="S1392" s="279"/>
      <c r="T1392" s="279"/>
      <c r="U1392" s="280"/>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9"/>
      <c r="N1393" s="279"/>
      <c r="O1393" s="279"/>
      <c r="P1393" s="279"/>
      <c r="Q1393" s="279"/>
      <c r="R1393" s="279"/>
      <c r="S1393" s="279"/>
      <c r="T1393" s="279"/>
      <c r="U1393" s="280"/>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9"/>
      <c r="N1394" s="279"/>
      <c r="O1394" s="279"/>
      <c r="P1394" s="279"/>
      <c r="Q1394" s="279"/>
      <c r="R1394" s="279"/>
      <c r="S1394" s="279"/>
      <c r="T1394" s="279"/>
      <c r="U1394" s="280"/>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20" t="s">
        <v>371</v>
      </c>
      <c r="C1395" s="321"/>
      <c r="D1395" s="79"/>
      <c r="E1395" s="80"/>
      <c r="F1395" s="80"/>
      <c r="G1395" s="81"/>
      <c r="H1395" s="192"/>
      <c r="I1395" s="192"/>
      <c r="J1395" s="192"/>
      <c r="K1395" s="82"/>
      <c r="L1395" s="320" t="s">
        <v>306</v>
      </c>
      <c r="M1395" s="331"/>
      <c r="N1395" s="331"/>
      <c r="O1395" s="331"/>
      <c r="P1395" s="331"/>
      <c r="Q1395" s="331"/>
      <c r="R1395" s="331"/>
      <c r="S1395" s="331"/>
      <c r="T1395" s="331"/>
      <c r="U1395" s="321"/>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20" t="s">
        <v>307</v>
      </c>
      <c r="C1396" s="321"/>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3" t="s">
        <v>222</v>
      </c>
      <c r="C1400" s="314"/>
      <c r="D1400" s="315" t="s">
        <v>223</v>
      </c>
      <c r="E1400" s="306"/>
      <c r="F1400" s="88"/>
      <c r="G1400" s="316" t="s">
        <v>224</v>
      </c>
      <c r="H1400" s="317"/>
      <c r="I1400" s="28">
        <f>SUM(E1411:E1435)</f>
        <v>0</v>
      </c>
      <c r="J1400" s="318" t="s">
        <v>225</v>
      </c>
      <c r="K1400" s="319"/>
      <c r="L1400" s="306"/>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6" t="s">
        <v>226</v>
      </c>
      <c r="AA1400" s="297"/>
      <c r="AB1400" s="298"/>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5" t="s">
        <v>230</v>
      </c>
      <c r="H1401" s="306"/>
      <c r="I1401" s="33">
        <f>E1402-I1400</f>
        <v>0</v>
      </c>
      <c r="J1401" s="290" t="s">
        <v>231</v>
      </c>
      <c r="K1401" s="291"/>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9" t="s">
        <v>232</v>
      </c>
      <c r="AA1401" s="301" t="s">
        <v>233</v>
      </c>
      <c r="AB1401" s="302"/>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2" t="s">
        <v>237</v>
      </c>
      <c r="H1402" s="293"/>
      <c r="I1402" s="35">
        <f>IF(E1402=0,0,12-(MOD(I1400,12)))</f>
        <v>0</v>
      </c>
      <c r="J1402" s="290" t="s">
        <v>238</v>
      </c>
      <c r="K1402" s="291"/>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0"/>
      <c r="AA1402" s="303"/>
      <c r="AB1402" s="304"/>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2" t="s">
        <v>242</v>
      </c>
      <c r="H1403" s="43" t="s">
        <v>243</v>
      </c>
      <c r="I1403" s="35">
        <f>IF(E1403&lt;&gt;0,1,0)</f>
        <v>0</v>
      </c>
      <c r="J1403" s="292" t="s">
        <v>244</v>
      </c>
      <c r="K1403" s="293"/>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3"/>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2" t="s">
        <v>251</v>
      </c>
      <c r="H1405" s="51" t="s">
        <v>252</v>
      </c>
      <c r="I1405" s="112">
        <f>E1404</f>
        <v>0</v>
      </c>
      <c r="J1405" s="324" t="s">
        <v>253</v>
      </c>
      <c r="K1405" s="325"/>
      <c r="L1405" s="326"/>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3"/>
      <c r="H1406" s="47" t="s">
        <v>257</v>
      </c>
      <c r="I1406" s="35" t="str">
        <f>IF(E1404="","0",IF(AND(E1401="EUC",E1402=432), I1405+(203-E1403),IF(E1404=0,0,(E1404+(E1402-E1403)-1))))</f>
        <v>0</v>
      </c>
      <c r="J1406" s="287" t="str">
        <f>IFERROR(IF(OR(E1401="EUC",E1401="SS"),"---",IF(OR(P1400,S1400),"NO 2F Tethers for RPX!",IF(OR(P1402,S1402),"NO 6F Tethers for RPX!","---"))),"---")</f>
        <v>---</v>
      </c>
      <c r="K1406" s="288"/>
      <c r="L1406" s="289"/>
      <c r="M1406" s="287" t="str">
        <f>IF(E1403&gt;60,"Dead Count &gt;60: Consider Downsize","---")</f>
        <v>---</v>
      </c>
      <c r="N1406" s="288"/>
      <c r="O1406" s="288"/>
      <c r="P1406" s="288"/>
      <c r="Q1406" s="288"/>
      <c r="R1406" s="288"/>
      <c r="S1406" s="288"/>
      <c r="T1406" s="288"/>
      <c r="U1406" s="289"/>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7"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8"/>
      <c r="L1407" s="289"/>
      <c r="M1407" s="287" t="str">
        <f>IF(AND(OR(E1401="SS",E1401="RPX",E1401="EUC",E1401="RPX-T"),(OR(C1411="",C1411="Field SPL"))),"Cannot have FlexNap cables without tethers","---")</f>
        <v>---</v>
      </c>
      <c r="N1407" s="288"/>
      <c r="O1407" s="288"/>
      <c r="P1407" s="288"/>
      <c r="Q1407" s="288"/>
      <c r="R1407" s="288"/>
      <c r="S1407" s="288"/>
      <c r="T1407" s="288"/>
      <c r="U1407" s="289"/>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7" t="str">
        <f>IF(AND(OR(E1401="RPX", E1401="RPX-T", E1401="SS"),E1402=216),"NO 216 For RPX, RPX-T, OR SS CABLE","---")</f>
        <v>---</v>
      </c>
      <c r="K1408" s="288"/>
      <c r="L1408" s="289"/>
      <c r="M1408" s="287" t="str" cm="1">
        <f t="array" ref="M1408">IF(AND(E1401="",OR(C1411:C1435="FST",C1411:C1435="REV T",C1411:C1435="DBL REV",C1411:C1435="TPL REV", C1411:C1435="QD REV")),"Non-FlexNap cables cannot have tethers","---")</f>
        <v>---</v>
      </c>
      <c r="N1408" s="288"/>
      <c r="O1408" s="288"/>
      <c r="P1408" s="288"/>
      <c r="Q1408" s="288"/>
      <c r="R1408" s="288"/>
      <c r="S1408" s="288"/>
      <c r="T1408" s="288"/>
      <c r="U1408" s="289"/>
      <c r="V1408" s="25"/>
      <c r="W1408" s="58"/>
      <c r="X1408" s="58"/>
      <c r="Y1408" s="25"/>
      <c r="Z1408" s="45">
        <v>6</v>
      </c>
      <c r="AA1408" s="65">
        <v>61</v>
      </c>
      <c r="AB1408" s="65">
        <v>72</v>
      </c>
      <c r="AC1408" s="25"/>
      <c r="AD1408" s="25"/>
      <c r="BA1408" s="226"/>
    </row>
    <row r="1409" spans="1:53" ht="15.75" customHeight="1" thickBot="1" x14ac:dyDescent="0.3">
      <c r="A1409" s="88"/>
      <c r="B1409" s="322" t="s">
        <v>260</v>
      </c>
      <c r="C1409" s="294" t="s">
        <v>261</v>
      </c>
      <c r="D1409" s="294" t="s">
        <v>262</v>
      </c>
      <c r="E1409" s="307" t="s">
        <v>263</v>
      </c>
      <c r="F1409" s="294" t="s">
        <v>264</v>
      </c>
      <c r="G1409" s="309" t="s">
        <v>265</v>
      </c>
      <c r="H1409" s="309" t="s">
        <v>266</v>
      </c>
      <c r="I1409" s="309" t="s">
        <v>267</v>
      </c>
      <c r="J1409" s="311" t="s">
        <v>268</v>
      </c>
      <c r="K1409" s="294" t="s">
        <v>269</v>
      </c>
      <c r="L1409" s="281" t="s">
        <v>270</v>
      </c>
      <c r="M1409" s="283" t="s">
        <v>271</v>
      </c>
      <c r="N1409" s="283"/>
      <c r="O1409" s="283"/>
      <c r="P1409" s="283"/>
      <c r="Q1409" s="283"/>
      <c r="R1409" s="283"/>
      <c r="S1409" s="283"/>
      <c r="T1409" s="283"/>
      <c r="U1409" s="284"/>
      <c r="V1409" s="107"/>
      <c r="W1409" s="72"/>
      <c r="X1409" s="72"/>
      <c r="Y1409" s="72"/>
      <c r="Z1409" s="45">
        <v>7</v>
      </c>
      <c r="AA1409" s="65">
        <v>73</v>
      </c>
      <c r="AB1409" s="65">
        <v>84</v>
      </c>
      <c r="AC1409" s="25"/>
      <c r="AD1409" s="25"/>
      <c r="BA1409" s="228"/>
    </row>
    <row r="1410" spans="1:53" ht="15.75" thickBot="1" x14ac:dyDescent="0.3">
      <c r="A1410" s="88"/>
      <c r="B1410" s="323"/>
      <c r="C1410" s="295"/>
      <c r="D1410" s="295"/>
      <c r="E1410" s="308"/>
      <c r="F1410" s="295"/>
      <c r="G1410" s="310"/>
      <c r="H1410" s="310"/>
      <c r="I1410" s="310"/>
      <c r="J1410" s="312"/>
      <c r="K1410" s="295"/>
      <c r="L1410" s="282"/>
      <c r="M1410" s="285"/>
      <c r="N1410" s="285"/>
      <c r="O1410" s="285"/>
      <c r="P1410" s="285"/>
      <c r="Q1410" s="285"/>
      <c r="R1410" s="285"/>
      <c r="S1410" s="285"/>
      <c r="T1410" s="285"/>
      <c r="U1410" s="286"/>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9"/>
      <c r="N1411" s="279"/>
      <c r="O1411" s="279"/>
      <c r="P1411" s="279"/>
      <c r="Q1411" s="279"/>
      <c r="R1411" s="279"/>
      <c r="S1411" s="279"/>
      <c r="T1411" s="279"/>
      <c r="U1411" s="280"/>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9"/>
      <c r="N1412" s="279"/>
      <c r="O1412" s="279"/>
      <c r="P1412" s="279"/>
      <c r="Q1412" s="279"/>
      <c r="R1412" s="279"/>
      <c r="S1412" s="279"/>
      <c r="T1412" s="279"/>
      <c r="U1412" s="280"/>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9"/>
      <c r="N1413" s="279"/>
      <c r="O1413" s="279"/>
      <c r="P1413" s="279"/>
      <c r="Q1413" s="279"/>
      <c r="R1413" s="279"/>
      <c r="S1413" s="279"/>
      <c r="T1413" s="279"/>
      <c r="U1413" s="280"/>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9"/>
      <c r="N1414" s="279"/>
      <c r="O1414" s="279"/>
      <c r="P1414" s="279"/>
      <c r="Q1414" s="279"/>
      <c r="R1414" s="279"/>
      <c r="S1414" s="279"/>
      <c r="T1414" s="279"/>
      <c r="U1414" s="280"/>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9"/>
      <c r="N1415" s="279"/>
      <c r="O1415" s="279"/>
      <c r="P1415" s="279"/>
      <c r="Q1415" s="279"/>
      <c r="R1415" s="279"/>
      <c r="S1415" s="279"/>
      <c r="T1415" s="279"/>
      <c r="U1415" s="280"/>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9"/>
      <c r="N1416" s="279"/>
      <c r="O1416" s="279"/>
      <c r="P1416" s="279"/>
      <c r="Q1416" s="279"/>
      <c r="R1416" s="279"/>
      <c r="S1416" s="279"/>
      <c r="T1416" s="279"/>
      <c r="U1416" s="280"/>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9"/>
      <c r="N1417" s="279"/>
      <c r="O1417" s="279"/>
      <c r="P1417" s="279"/>
      <c r="Q1417" s="279"/>
      <c r="R1417" s="279"/>
      <c r="S1417" s="279"/>
      <c r="T1417" s="279"/>
      <c r="U1417" s="280"/>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9"/>
      <c r="N1418" s="279"/>
      <c r="O1418" s="279"/>
      <c r="P1418" s="279"/>
      <c r="Q1418" s="279"/>
      <c r="R1418" s="279"/>
      <c r="S1418" s="279"/>
      <c r="T1418" s="279"/>
      <c r="U1418" s="280"/>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9"/>
      <c r="N1419" s="279"/>
      <c r="O1419" s="279"/>
      <c r="P1419" s="279"/>
      <c r="Q1419" s="279"/>
      <c r="R1419" s="279"/>
      <c r="S1419" s="279"/>
      <c r="T1419" s="279"/>
      <c r="U1419" s="280"/>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9"/>
      <c r="N1420" s="279"/>
      <c r="O1420" s="279"/>
      <c r="P1420" s="279"/>
      <c r="Q1420" s="279"/>
      <c r="R1420" s="279"/>
      <c r="S1420" s="279"/>
      <c r="T1420" s="279"/>
      <c r="U1420" s="280"/>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9"/>
      <c r="N1421" s="279"/>
      <c r="O1421" s="279"/>
      <c r="P1421" s="279"/>
      <c r="Q1421" s="279"/>
      <c r="R1421" s="279"/>
      <c r="S1421" s="279"/>
      <c r="T1421" s="279"/>
      <c r="U1421" s="280"/>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9"/>
      <c r="N1422" s="279"/>
      <c r="O1422" s="279"/>
      <c r="P1422" s="279"/>
      <c r="Q1422" s="279"/>
      <c r="R1422" s="279"/>
      <c r="S1422" s="279"/>
      <c r="T1422" s="279"/>
      <c r="U1422" s="280"/>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9"/>
      <c r="N1423" s="279"/>
      <c r="O1423" s="279"/>
      <c r="P1423" s="279"/>
      <c r="Q1423" s="279"/>
      <c r="R1423" s="279"/>
      <c r="S1423" s="279"/>
      <c r="T1423" s="279"/>
      <c r="U1423" s="280"/>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9"/>
      <c r="N1424" s="279"/>
      <c r="O1424" s="279"/>
      <c r="P1424" s="279"/>
      <c r="Q1424" s="279"/>
      <c r="R1424" s="279"/>
      <c r="S1424" s="279"/>
      <c r="T1424" s="279"/>
      <c r="U1424" s="280"/>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9"/>
      <c r="N1425" s="279"/>
      <c r="O1425" s="279"/>
      <c r="P1425" s="279"/>
      <c r="Q1425" s="279"/>
      <c r="R1425" s="279"/>
      <c r="S1425" s="279"/>
      <c r="T1425" s="279"/>
      <c r="U1425" s="280"/>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9"/>
      <c r="N1426" s="279"/>
      <c r="O1426" s="279"/>
      <c r="P1426" s="279"/>
      <c r="Q1426" s="279"/>
      <c r="R1426" s="279"/>
      <c r="S1426" s="279"/>
      <c r="T1426" s="279"/>
      <c r="U1426" s="280"/>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9"/>
      <c r="N1427" s="279"/>
      <c r="O1427" s="279"/>
      <c r="P1427" s="279"/>
      <c r="Q1427" s="279"/>
      <c r="R1427" s="279"/>
      <c r="S1427" s="279"/>
      <c r="T1427" s="279"/>
      <c r="U1427" s="280"/>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9"/>
      <c r="N1428" s="279"/>
      <c r="O1428" s="279"/>
      <c r="P1428" s="279"/>
      <c r="Q1428" s="279"/>
      <c r="R1428" s="279"/>
      <c r="S1428" s="279"/>
      <c r="T1428" s="279"/>
      <c r="U1428" s="280"/>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9"/>
      <c r="N1429" s="279"/>
      <c r="O1429" s="279"/>
      <c r="P1429" s="279"/>
      <c r="Q1429" s="279"/>
      <c r="R1429" s="279"/>
      <c r="S1429" s="279"/>
      <c r="T1429" s="279"/>
      <c r="U1429" s="280"/>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9"/>
      <c r="N1430" s="279"/>
      <c r="O1430" s="279"/>
      <c r="P1430" s="279"/>
      <c r="Q1430" s="279"/>
      <c r="R1430" s="279"/>
      <c r="S1430" s="279"/>
      <c r="T1430" s="279"/>
      <c r="U1430" s="280"/>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9"/>
      <c r="N1431" s="279"/>
      <c r="O1431" s="279"/>
      <c r="P1431" s="279"/>
      <c r="Q1431" s="279"/>
      <c r="R1431" s="279"/>
      <c r="S1431" s="279"/>
      <c r="T1431" s="279"/>
      <c r="U1431" s="280"/>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9"/>
      <c r="N1432" s="279"/>
      <c r="O1432" s="279"/>
      <c r="P1432" s="279"/>
      <c r="Q1432" s="279"/>
      <c r="R1432" s="279"/>
      <c r="S1432" s="279"/>
      <c r="T1432" s="279"/>
      <c r="U1432" s="280"/>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9"/>
      <c r="N1433" s="279"/>
      <c r="O1433" s="279"/>
      <c r="P1433" s="279"/>
      <c r="Q1433" s="279"/>
      <c r="R1433" s="279"/>
      <c r="S1433" s="279"/>
      <c r="T1433" s="279"/>
      <c r="U1433" s="280"/>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9"/>
      <c r="N1434" s="279"/>
      <c r="O1434" s="279"/>
      <c r="P1434" s="279"/>
      <c r="Q1434" s="279"/>
      <c r="R1434" s="279"/>
      <c r="S1434" s="279"/>
      <c r="T1434" s="279"/>
      <c r="U1434" s="280"/>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9"/>
      <c r="N1435" s="279"/>
      <c r="O1435" s="279"/>
      <c r="P1435" s="279"/>
      <c r="Q1435" s="279"/>
      <c r="R1435" s="279"/>
      <c r="S1435" s="279"/>
      <c r="T1435" s="279"/>
      <c r="U1435" s="280"/>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20" t="s">
        <v>373</v>
      </c>
      <c r="C1436" s="321"/>
      <c r="D1436" s="79"/>
      <c r="E1436" s="80"/>
      <c r="F1436" s="80"/>
      <c r="G1436" s="81"/>
      <c r="H1436" s="192"/>
      <c r="I1436" s="192"/>
      <c r="J1436" s="192"/>
      <c r="K1436" s="82"/>
      <c r="L1436" s="320" t="s">
        <v>306</v>
      </c>
      <c r="M1436" s="331"/>
      <c r="N1436" s="331"/>
      <c r="O1436" s="331"/>
      <c r="P1436" s="331"/>
      <c r="Q1436" s="331"/>
      <c r="R1436" s="331"/>
      <c r="S1436" s="331"/>
      <c r="T1436" s="331"/>
      <c r="U1436" s="321"/>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20" t="s">
        <v>307</v>
      </c>
      <c r="C1437" s="321"/>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3" t="s">
        <v>222</v>
      </c>
      <c r="C1441" s="314"/>
      <c r="D1441" s="315" t="s">
        <v>223</v>
      </c>
      <c r="E1441" s="306"/>
      <c r="F1441" s="88"/>
      <c r="G1441" s="316" t="s">
        <v>224</v>
      </c>
      <c r="H1441" s="317"/>
      <c r="I1441" s="28">
        <f>SUM(E1452:E1476)</f>
        <v>0</v>
      </c>
      <c r="J1441" s="318" t="s">
        <v>225</v>
      </c>
      <c r="K1441" s="319"/>
      <c r="L1441" s="306"/>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6" t="s">
        <v>226</v>
      </c>
      <c r="AA1441" s="297"/>
      <c r="AB1441" s="298"/>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5" t="s">
        <v>230</v>
      </c>
      <c r="H1442" s="306"/>
      <c r="I1442" s="33">
        <f>E1443-I1441</f>
        <v>0</v>
      </c>
      <c r="J1442" s="290" t="s">
        <v>231</v>
      </c>
      <c r="K1442" s="291"/>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9" t="s">
        <v>232</v>
      </c>
      <c r="AA1442" s="301" t="s">
        <v>233</v>
      </c>
      <c r="AB1442" s="302"/>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2" t="s">
        <v>237</v>
      </c>
      <c r="H1443" s="293"/>
      <c r="I1443" s="35">
        <f>IF(E1443=0,0,12-(MOD(I1441,12)))</f>
        <v>0</v>
      </c>
      <c r="J1443" s="290" t="s">
        <v>238</v>
      </c>
      <c r="K1443" s="291"/>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0"/>
      <c r="AA1443" s="303"/>
      <c r="AB1443" s="304"/>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2" t="s">
        <v>242</v>
      </c>
      <c r="H1444" s="43" t="s">
        <v>243</v>
      </c>
      <c r="I1444" s="35">
        <f>IF(E1444&lt;&gt;0,1,0)</f>
        <v>0</v>
      </c>
      <c r="J1444" s="292" t="s">
        <v>244</v>
      </c>
      <c r="K1444" s="293"/>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3"/>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2" t="s">
        <v>251</v>
      </c>
      <c r="H1446" s="51" t="s">
        <v>252</v>
      </c>
      <c r="I1446" s="112">
        <f>E1445</f>
        <v>0</v>
      </c>
      <c r="J1446" s="324" t="s">
        <v>253</v>
      </c>
      <c r="K1446" s="325"/>
      <c r="L1446" s="326"/>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3"/>
      <c r="H1447" s="47" t="s">
        <v>257</v>
      </c>
      <c r="I1447" s="35" t="str">
        <f>IF(E1445="","0",IF(AND(E1442="EUC",E1443=432), I1446+(203-E1444),IF(E1445=0,0,(E1445+(E1443-E1444)-1))))</f>
        <v>0</v>
      </c>
      <c r="J1447" s="287" t="str">
        <f>IFERROR(IF(OR(E1442="EUC",E1442="SS"),"---",IF(OR(P1441,S1441),"NO 2F Tethers for RPX!",IF(OR(P1443,S1443),"NO 6F Tethers for RPX!","---"))),"---")</f>
        <v>---</v>
      </c>
      <c r="K1447" s="288"/>
      <c r="L1447" s="289"/>
      <c r="M1447" s="287" t="str">
        <f>IF(E1444&gt;60,"Dead Count &gt;60: Consider Downsize","---")</f>
        <v>---</v>
      </c>
      <c r="N1447" s="288"/>
      <c r="O1447" s="288"/>
      <c r="P1447" s="288"/>
      <c r="Q1447" s="288"/>
      <c r="R1447" s="288"/>
      <c r="S1447" s="288"/>
      <c r="T1447" s="288"/>
      <c r="U1447" s="289"/>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7"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8"/>
      <c r="L1448" s="289"/>
      <c r="M1448" s="287" t="str">
        <f>IF(AND(OR(E1442="SS",E1442="RPX",E1442="EUC",E1442="RPX-T"),(OR(C1452="",C1452="Field SPL"))),"Cannot have FlexNap cables without tethers","---")</f>
        <v>---</v>
      </c>
      <c r="N1448" s="288"/>
      <c r="O1448" s="288"/>
      <c r="P1448" s="288"/>
      <c r="Q1448" s="288"/>
      <c r="R1448" s="288"/>
      <c r="S1448" s="288"/>
      <c r="T1448" s="288"/>
      <c r="U1448" s="289"/>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7" t="str">
        <f>IF(AND(OR(E1442="RPX", E1442="RPX-T", E1442="SS"),E1443=216),"NO 216 For RPX, RPX-T, OR SS CABLE","---")</f>
        <v>---</v>
      </c>
      <c r="K1449" s="288"/>
      <c r="L1449" s="289"/>
      <c r="M1449" s="287" t="str" cm="1">
        <f t="array" ref="M1449">IF(AND(E1442="",OR(C1452:C1476="FST",C1452:C1476="REV T",C1452:C1476="DBL REV",C1452:C1476="TPL REV", C1452:C1476="QD REV")),"Non-FlexNap cables cannot have tethers","---")</f>
        <v>---</v>
      </c>
      <c r="N1449" s="288"/>
      <c r="O1449" s="288"/>
      <c r="P1449" s="288"/>
      <c r="Q1449" s="288"/>
      <c r="R1449" s="288"/>
      <c r="S1449" s="288"/>
      <c r="T1449" s="288"/>
      <c r="U1449" s="289"/>
      <c r="V1449" s="25"/>
      <c r="W1449" s="58"/>
      <c r="X1449" s="58"/>
      <c r="Y1449" s="25"/>
      <c r="Z1449" s="45">
        <v>6</v>
      </c>
      <c r="AA1449" s="65">
        <v>61</v>
      </c>
      <c r="AB1449" s="65">
        <v>72</v>
      </c>
      <c r="AC1449" s="25"/>
      <c r="AD1449" s="25"/>
      <c r="BA1449" s="226"/>
    </row>
    <row r="1450" spans="1:53" ht="15.75" customHeight="1" thickBot="1" x14ac:dyDescent="0.3">
      <c r="A1450" s="88"/>
      <c r="B1450" s="322" t="s">
        <v>260</v>
      </c>
      <c r="C1450" s="294" t="s">
        <v>261</v>
      </c>
      <c r="D1450" s="294" t="s">
        <v>262</v>
      </c>
      <c r="E1450" s="307" t="s">
        <v>263</v>
      </c>
      <c r="F1450" s="294" t="s">
        <v>264</v>
      </c>
      <c r="G1450" s="309" t="s">
        <v>265</v>
      </c>
      <c r="H1450" s="309" t="s">
        <v>266</v>
      </c>
      <c r="I1450" s="309" t="s">
        <v>267</v>
      </c>
      <c r="J1450" s="311" t="s">
        <v>268</v>
      </c>
      <c r="K1450" s="294" t="s">
        <v>269</v>
      </c>
      <c r="L1450" s="281" t="s">
        <v>270</v>
      </c>
      <c r="M1450" s="283" t="s">
        <v>271</v>
      </c>
      <c r="N1450" s="283"/>
      <c r="O1450" s="283"/>
      <c r="P1450" s="283"/>
      <c r="Q1450" s="283"/>
      <c r="R1450" s="283"/>
      <c r="S1450" s="283"/>
      <c r="T1450" s="283"/>
      <c r="U1450" s="284"/>
      <c r="V1450" s="107"/>
      <c r="W1450" s="72"/>
      <c r="X1450" s="72"/>
      <c r="Y1450" s="72"/>
      <c r="Z1450" s="45">
        <v>7</v>
      </c>
      <c r="AA1450" s="65">
        <v>73</v>
      </c>
      <c r="AB1450" s="65">
        <v>84</v>
      </c>
      <c r="AC1450" s="25"/>
      <c r="AD1450" s="25"/>
      <c r="BA1450" s="228"/>
    </row>
    <row r="1451" spans="1:53" ht="15.75" thickBot="1" x14ac:dyDescent="0.3">
      <c r="A1451" s="88"/>
      <c r="B1451" s="323"/>
      <c r="C1451" s="295"/>
      <c r="D1451" s="295"/>
      <c r="E1451" s="308"/>
      <c r="F1451" s="295"/>
      <c r="G1451" s="310"/>
      <c r="H1451" s="310"/>
      <c r="I1451" s="310"/>
      <c r="J1451" s="312"/>
      <c r="K1451" s="295"/>
      <c r="L1451" s="282"/>
      <c r="M1451" s="285"/>
      <c r="N1451" s="285"/>
      <c r="O1451" s="285"/>
      <c r="P1451" s="285"/>
      <c r="Q1451" s="285"/>
      <c r="R1451" s="285"/>
      <c r="S1451" s="285"/>
      <c r="T1451" s="285"/>
      <c r="U1451" s="286"/>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9"/>
      <c r="N1452" s="279"/>
      <c r="O1452" s="279"/>
      <c r="P1452" s="279"/>
      <c r="Q1452" s="279"/>
      <c r="R1452" s="279"/>
      <c r="S1452" s="279"/>
      <c r="T1452" s="279"/>
      <c r="U1452" s="280"/>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9"/>
      <c r="N1453" s="279"/>
      <c r="O1453" s="279"/>
      <c r="P1453" s="279"/>
      <c r="Q1453" s="279"/>
      <c r="R1453" s="279"/>
      <c r="S1453" s="279"/>
      <c r="T1453" s="279"/>
      <c r="U1453" s="280"/>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9"/>
      <c r="N1454" s="279"/>
      <c r="O1454" s="279"/>
      <c r="P1454" s="279"/>
      <c r="Q1454" s="279"/>
      <c r="R1454" s="279"/>
      <c r="S1454" s="279"/>
      <c r="T1454" s="279"/>
      <c r="U1454" s="280"/>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9"/>
      <c r="N1455" s="279"/>
      <c r="O1455" s="279"/>
      <c r="P1455" s="279"/>
      <c r="Q1455" s="279"/>
      <c r="R1455" s="279"/>
      <c r="S1455" s="279"/>
      <c r="T1455" s="279"/>
      <c r="U1455" s="280"/>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9"/>
      <c r="N1456" s="279"/>
      <c r="O1456" s="279"/>
      <c r="P1456" s="279"/>
      <c r="Q1456" s="279"/>
      <c r="R1456" s="279"/>
      <c r="S1456" s="279"/>
      <c r="T1456" s="279"/>
      <c r="U1456" s="280"/>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9"/>
      <c r="N1457" s="279"/>
      <c r="O1457" s="279"/>
      <c r="P1457" s="279"/>
      <c r="Q1457" s="279"/>
      <c r="R1457" s="279"/>
      <c r="S1457" s="279"/>
      <c r="T1457" s="279"/>
      <c r="U1457" s="280"/>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9"/>
      <c r="N1458" s="279"/>
      <c r="O1458" s="279"/>
      <c r="P1458" s="279"/>
      <c r="Q1458" s="279"/>
      <c r="R1458" s="279"/>
      <c r="S1458" s="279"/>
      <c r="T1458" s="279"/>
      <c r="U1458" s="280"/>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9"/>
      <c r="N1459" s="279"/>
      <c r="O1459" s="279"/>
      <c r="P1459" s="279"/>
      <c r="Q1459" s="279"/>
      <c r="R1459" s="279"/>
      <c r="S1459" s="279"/>
      <c r="T1459" s="279"/>
      <c r="U1459" s="280"/>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9"/>
      <c r="N1460" s="279"/>
      <c r="O1460" s="279"/>
      <c r="P1460" s="279"/>
      <c r="Q1460" s="279"/>
      <c r="R1460" s="279"/>
      <c r="S1460" s="279"/>
      <c r="T1460" s="279"/>
      <c r="U1460" s="280"/>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9"/>
      <c r="N1461" s="279"/>
      <c r="O1461" s="279"/>
      <c r="P1461" s="279"/>
      <c r="Q1461" s="279"/>
      <c r="R1461" s="279"/>
      <c r="S1461" s="279"/>
      <c r="T1461" s="279"/>
      <c r="U1461" s="280"/>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9"/>
      <c r="N1462" s="279"/>
      <c r="O1462" s="279"/>
      <c r="P1462" s="279"/>
      <c r="Q1462" s="279"/>
      <c r="R1462" s="279"/>
      <c r="S1462" s="279"/>
      <c r="T1462" s="279"/>
      <c r="U1462" s="280"/>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9"/>
      <c r="N1463" s="279"/>
      <c r="O1463" s="279"/>
      <c r="P1463" s="279"/>
      <c r="Q1463" s="279"/>
      <c r="R1463" s="279"/>
      <c r="S1463" s="279"/>
      <c r="T1463" s="279"/>
      <c r="U1463" s="280"/>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9"/>
      <c r="N1464" s="279"/>
      <c r="O1464" s="279"/>
      <c r="P1464" s="279"/>
      <c r="Q1464" s="279"/>
      <c r="R1464" s="279"/>
      <c r="S1464" s="279"/>
      <c r="T1464" s="279"/>
      <c r="U1464" s="280"/>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9"/>
      <c r="N1465" s="279"/>
      <c r="O1465" s="279"/>
      <c r="P1465" s="279"/>
      <c r="Q1465" s="279"/>
      <c r="R1465" s="279"/>
      <c r="S1465" s="279"/>
      <c r="T1465" s="279"/>
      <c r="U1465" s="280"/>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9"/>
      <c r="N1466" s="279"/>
      <c r="O1466" s="279"/>
      <c r="P1466" s="279"/>
      <c r="Q1466" s="279"/>
      <c r="R1466" s="279"/>
      <c r="S1466" s="279"/>
      <c r="T1466" s="279"/>
      <c r="U1466" s="280"/>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9"/>
      <c r="N1467" s="279"/>
      <c r="O1467" s="279"/>
      <c r="P1467" s="279"/>
      <c r="Q1467" s="279"/>
      <c r="R1467" s="279"/>
      <c r="S1467" s="279"/>
      <c r="T1467" s="279"/>
      <c r="U1467" s="280"/>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9"/>
      <c r="N1468" s="279"/>
      <c r="O1468" s="279"/>
      <c r="P1468" s="279"/>
      <c r="Q1468" s="279"/>
      <c r="R1468" s="279"/>
      <c r="S1468" s="279"/>
      <c r="T1468" s="279"/>
      <c r="U1468" s="280"/>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9"/>
      <c r="N1469" s="279"/>
      <c r="O1469" s="279"/>
      <c r="P1469" s="279"/>
      <c r="Q1469" s="279"/>
      <c r="R1469" s="279"/>
      <c r="S1469" s="279"/>
      <c r="T1469" s="279"/>
      <c r="U1469" s="280"/>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9"/>
      <c r="N1470" s="279"/>
      <c r="O1470" s="279"/>
      <c r="P1470" s="279"/>
      <c r="Q1470" s="279"/>
      <c r="R1470" s="279"/>
      <c r="S1470" s="279"/>
      <c r="T1470" s="279"/>
      <c r="U1470" s="280"/>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9"/>
      <c r="N1471" s="279"/>
      <c r="O1471" s="279"/>
      <c r="P1471" s="279"/>
      <c r="Q1471" s="279"/>
      <c r="R1471" s="279"/>
      <c r="S1471" s="279"/>
      <c r="T1471" s="279"/>
      <c r="U1471" s="280"/>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9"/>
      <c r="N1472" s="279"/>
      <c r="O1472" s="279"/>
      <c r="P1472" s="279"/>
      <c r="Q1472" s="279"/>
      <c r="R1472" s="279"/>
      <c r="S1472" s="279"/>
      <c r="T1472" s="279"/>
      <c r="U1472" s="280"/>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9"/>
      <c r="N1473" s="279"/>
      <c r="O1473" s="279"/>
      <c r="P1473" s="279"/>
      <c r="Q1473" s="279"/>
      <c r="R1473" s="279"/>
      <c r="S1473" s="279"/>
      <c r="T1473" s="279"/>
      <c r="U1473" s="280"/>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9"/>
      <c r="N1474" s="279"/>
      <c r="O1474" s="279"/>
      <c r="P1474" s="279"/>
      <c r="Q1474" s="279"/>
      <c r="R1474" s="279"/>
      <c r="S1474" s="279"/>
      <c r="T1474" s="279"/>
      <c r="U1474" s="280"/>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9"/>
      <c r="N1475" s="279"/>
      <c r="O1475" s="279"/>
      <c r="P1475" s="279"/>
      <c r="Q1475" s="279"/>
      <c r="R1475" s="279"/>
      <c r="S1475" s="279"/>
      <c r="T1475" s="279"/>
      <c r="U1475" s="280"/>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9"/>
      <c r="N1476" s="279"/>
      <c r="O1476" s="279"/>
      <c r="P1476" s="279"/>
      <c r="Q1476" s="279"/>
      <c r="R1476" s="279"/>
      <c r="S1476" s="279"/>
      <c r="T1476" s="279"/>
      <c r="U1476" s="280"/>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20" t="s">
        <v>375</v>
      </c>
      <c r="C1477" s="321"/>
      <c r="D1477" s="79"/>
      <c r="E1477" s="80"/>
      <c r="F1477" s="80"/>
      <c r="G1477" s="81"/>
      <c r="H1477" s="192"/>
      <c r="I1477" s="192"/>
      <c r="J1477" s="192"/>
      <c r="K1477" s="82"/>
      <c r="L1477" s="320" t="s">
        <v>306</v>
      </c>
      <c r="M1477" s="331"/>
      <c r="N1477" s="331"/>
      <c r="O1477" s="331"/>
      <c r="P1477" s="331"/>
      <c r="Q1477" s="331"/>
      <c r="R1477" s="331"/>
      <c r="S1477" s="331"/>
      <c r="T1477" s="331"/>
      <c r="U1477" s="321"/>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20" t="s">
        <v>307</v>
      </c>
      <c r="C1478" s="321"/>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3" t="s">
        <v>222</v>
      </c>
      <c r="C1482" s="314"/>
      <c r="D1482" s="315" t="s">
        <v>223</v>
      </c>
      <c r="E1482" s="306"/>
      <c r="F1482" s="88"/>
      <c r="G1482" s="316" t="s">
        <v>224</v>
      </c>
      <c r="H1482" s="317"/>
      <c r="I1482" s="28">
        <f>SUM(E1493:E1517)</f>
        <v>0</v>
      </c>
      <c r="J1482" s="318" t="s">
        <v>225</v>
      </c>
      <c r="K1482" s="319"/>
      <c r="L1482" s="306"/>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6" t="s">
        <v>226</v>
      </c>
      <c r="AA1482" s="297"/>
      <c r="AB1482" s="298"/>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5" t="s">
        <v>230</v>
      </c>
      <c r="H1483" s="306"/>
      <c r="I1483" s="33">
        <f>E1484-I1482</f>
        <v>0</v>
      </c>
      <c r="J1483" s="290" t="s">
        <v>231</v>
      </c>
      <c r="K1483" s="291"/>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9" t="s">
        <v>232</v>
      </c>
      <c r="AA1483" s="301" t="s">
        <v>233</v>
      </c>
      <c r="AB1483" s="302"/>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2" t="s">
        <v>237</v>
      </c>
      <c r="H1484" s="293"/>
      <c r="I1484" s="35">
        <f>IF(E1484=0,0,12-(MOD(I1482,12)))</f>
        <v>0</v>
      </c>
      <c r="J1484" s="290" t="s">
        <v>238</v>
      </c>
      <c r="K1484" s="291"/>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0"/>
      <c r="AA1484" s="303"/>
      <c r="AB1484" s="304"/>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2" t="s">
        <v>242</v>
      </c>
      <c r="H1485" s="43" t="s">
        <v>243</v>
      </c>
      <c r="I1485" s="35">
        <f>IF(E1485&lt;&gt;0,1,0)</f>
        <v>0</v>
      </c>
      <c r="J1485" s="292" t="s">
        <v>244</v>
      </c>
      <c r="K1485" s="293"/>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3"/>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2" t="s">
        <v>251</v>
      </c>
      <c r="H1487" s="51" t="s">
        <v>252</v>
      </c>
      <c r="I1487" s="112">
        <f>E1486</f>
        <v>0</v>
      </c>
      <c r="J1487" s="324" t="s">
        <v>253</v>
      </c>
      <c r="K1487" s="325"/>
      <c r="L1487" s="326"/>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3"/>
      <c r="H1488" s="47" t="s">
        <v>257</v>
      </c>
      <c r="I1488" s="35" t="str">
        <f>IF(E1486="","0",IF(AND(E1483="EUC",E1484=432), I1487+(203-E1485),IF(E1486=0,0,(E1486+(E1484-E1485)-1))))</f>
        <v>0</v>
      </c>
      <c r="J1488" s="287" t="str">
        <f>IFERROR(IF(OR(E1483="EUC",E1483="SS"),"---",IF(OR(P1482,S1482),"NO 2F Tethers for RPX!",IF(OR(P1484,S1484),"NO 6F Tethers for RPX!","---"))),"---")</f>
        <v>---</v>
      </c>
      <c r="K1488" s="288"/>
      <c r="L1488" s="289"/>
      <c r="M1488" s="287" t="str">
        <f>IF(E1485&gt;60,"Dead Count &gt;60: Consider Downsize","---")</f>
        <v>---</v>
      </c>
      <c r="N1488" s="288"/>
      <c r="O1488" s="288"/>
      <c r="P1488" s="288"/>
      <c r="Q1488" s="288"/>
      <c r="R1488" s="288"/>
      <c r="S1488" s="288"/>
      <c r="T1488" s="288"/>
      <c r="U1488" s="289"/>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7"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8"/>
      <c r="L1489" s="289"/>
      <c r="M1489" s="287" t="str">
        <f>IF(AND(OR(E1483="SS",E1483="RPX",E1483="EUC",E1483="RPX-T"),(OR(C1493="",C1493="Field SPL"))),"Cannot have FlexNap cables without tethers","---")</f>
        <v>---</v>
      </c>
      <c r="N1489" s="288"/>
      <c r="O1489" s="288"/>
      <c r="P1489" s="288"/>
      <c r="Q1489" s="288"/>
      <c r="R1489" s="288"/>
      <c r="S1489" s="288"/>
      <c r="T1489" s="288"/>
      <c r="U1489" s="289"/>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7" t="str">
        <f>IF(AND(OR(E1483="RPX", E1483="RPX-T", E1483="SS"),E1484=216),"NO 216 For RPX, RPX-T, OR SS CABLE","---")</f>
        <v>---</v>
      </c>
      <c r="K1490" s="288"/>
      <c r="L1490" s="289"/>
      <c r="M1490" s="287" t="str" cm="1">
        <f t="array" ref="M1490">IF(AND(E1483="",OR(C1493:C1517="FST",C1493:C1517="REV T",C1493:C1517="DBL REV",C1493:C1517="TPL REV", C1493:C1517="QD REV")),"Non-FlexNap cables cannot have tethers","---")</f>
        <v>---</v>
      </c>
      <c r="N1490" s="288"/>
      <c r="O1490" s="288"/>
      <c r="P1490" s="288"/>
      <c r="Q1490" s="288"/>
      <c r="R1490" s="288"/>
      <c r="S1490" s="288"/>
      <c r="T1490" s="288"/>
      <c r="U1490" s="289"/>
      <c r="V1490" s="25"/>
      <c r="W1490" s="58"/>
      <c r="X1490" s="58"/>
      <c r="Y1490" s="25"/>
      <c r="Z1490" s="45">
        <v>6</v>
      </c>
      <c r="AA1490" s="65">
        <v>61</v>
      </c>
      <c r="AB1490" s="65">
        <v>72</v>
      </c>
      <c r="AC1490" s="25"/>
      <c r="AD1490" s="25"/>
      <c r="BA1490" s="226"/>
    </row>
    <row r="1491" spans="1:53" ht="15.75" customHeight="1" thickBot="1" x14ac:dyDescent="0.3">
      <c r="A1491" s="88"/>
      <c r="B1491" s="322" t="s">
        <v>260</v>
      </c>
      <c r="C1491" s="294" t="s">
        <v>261</v>
      </c>
      <c r="D1491" s="294" t="s">
        <v>262</v>
      </c>
      <c r="E1491" s="307" t="s">
        <v>263</v>
      </c>
      <c r="F1491" s="294" t="s">
        <v>264</v>
      </c>
      <c r="G1491" s="309" t="s">
        <v>265</v>
      </c>
      <c r="H1491" s="309" t="s">
        <v>266</v>
      </c>
      <c r="I1491" s="309" t="s">
        <v>267</v>
      </c>
      <c r="J1491" s="311" t="s">
        <v>268</v>
      </c>
      <c r="K1491" s="294" t="s">
        <v>269</v>
      </c>
      <c r="L1491" s="281" t="s">
        <v>270</v>
      </c>
      <c r="M1491" s="283" t="s">
        <v>271</v>
      </c>
      <c r="N1491" s="283"/>
      <c r="O1491" s="283"/>
      <c r="P1491" s="283"/>
      <c r="Q1491" s="283"/>
      <c r="R1491" s="283"/>
      <c r="S1491" s="283"/>
      <c r="T1491" s="283"/>
      <c r="U1491" s="284"/>
      <c r="V1491" s="107"/>
      <c r="W1491" s="72"/>
      <c r="X1491" s="72"/>
      <c r="Y1491" s="72"/>
      <c r="Z1491" s="45">
        <v>7</v>
      </c>
      <c r="AA1491" s="65">
        <v>73</v>
      </c>
      <c r="AB1491" s="65">
        <v>84</v>
      </c>
      <c r="AC1491" s="25"/>
      <c r="AD1491" s="25"/>
      <c r="BA1491" s="228"/>
    </row>
    <row r="1492" spans="1:53" ht="15.75" thickBot="1" x14ac:dyDescent="0.3">
      <c r="A1492" s="88"/>
      <c r="B1492" s="323"/>
      <c r="C1492" s="295"/>
      <c r="D1492" s="295"/>
      <c r="E1492" s="308"/>
      <c r="F1492" s="295"/>
      <c r="G1492" s="310"/>
      <c r="H1492" s="310"/>
      <c r="I1492" s="310"/>
      <c r="J1492" s="312"/>
      <c r="K1492" s="295"/>
      <c r="L1492" s="282"/>
      <c r="M1492" s="285"/>
      <c r="N1492" s="285"/>
      <c r="O1492" s="285"/>
      <c r="P1492" s="285"/>
      <c r="Q1492" s="285"/>
      <c r="R1492" s="285"/>
      <c r="S1492" s="285"/>
      <c r="T1492" s="285"/>
      <c r="U1492" s="286"/>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9"/>
      <c r="N1493" s="279"/>
      <c r="O1493" s="279"/>
      <c r="P1493" s="279"/>
      <c r="Q1493" s="279"/>
      <c r="R1493" s="279"/>
      <c r="S1493" s="279"/>
      <c r="T1493" s="279"/>
      <c r="U1493" s="280"/>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9"/>
      <c r="N1494" s="279"/>
      <c r="O1494" s="279"/>
      <c r="P1494" s="279"/>
      <c r="Q1494" s="279"/>
      <c r="R1494" s="279"/>
      <c r="S1494" s="279"/>
      <c r="T1494" s="279"/>
      <c r="U1494" s="280"/>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9"/>
      <c r="N1495" s="279"/>
      <c r="O1495" s="279"/>
      <c r="P1495" s="279"/>
      <c r="Q1495" s="279"/>
      <c r="R1495" s="279"/>
      <c r="S1495" s="279"/>
      <c r="T1495" s="279"/>
      <c r="U1495" s="280"/>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9"/>
      <c r="N1496" s="279"/>
      <c r="O1496" s="279"/>
      <c r="P1496" s="279"/>
      <c r="Q1496" s="279"/>
      <c r="R1496" s="279"/>
      <c r="S1496" s="279"/>
      <c r="T1496" s="279"/>
      <c r="U1496" s="280"/>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9"/>
      <c r="N1497" s="279"/>
      <c r="O1497" s="279"/>
      <c r="P1497" s="279"/>
      <c r="Q1497" s="279"/>
      <c r="R1497" s="279"/>
      <c r="S1497" s="279"/>
      <c r="T1497" s="279"/>
      <c r="U1497" s="280"/>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9"/>
      <c r="N1498" s="279"/>
      <c r="O1498" s="279"/>
      <c r="P1498" s="279"/>
      <c r="Q1498" s="279"/>
      <c r="R1498" s="279"/>
      <c r="S1498" s="279"/>
      <c r="T1498" s="279"/>
      <c r="U1498" s="280"/>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9"/>
      <c r="N1499" s="279"/>
      <c r="O1499" s="279"/>
      <c r="P1499" s="279"/>
      <c r="Q1499" s="279"/>
      <c r="R1499" s="279"/>
      <c r="S1499" s="279"/>
      <c r="T1499" s="279"/>
      <c r="U1499" s="280"/>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9"/>
      <c r="N1500" s="279"/>
      <c r="O1500" s="279"/>
      <c r="P1500" s="279"/>
      <c r="Q1500" s="279"/>
      <c r="R1500" s="279"/>
      <c r="S1500" s="279"/>
      <c r="T1500" s="279"/>
      <c r="U1500" s="280"/>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9"/>
      <c r="N1501" s="279"/>
      <c r="O1501" s="279"/>
      <c r="P1501" s="279"/>
      <c r="Q1501" s="279"/>
      <c r="R1501" s="279"/>
      <c r="S1501" s="279"/>
      <c r="T1501" s="279"/>
      <c r="U1501" s="280"/>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9"/>
      <c r="N1502" s="279"/>
      <c r="O1502" s="279"/>
      <c r="P1502" s="279"/>
      <c r="Q1502" s="279"/>
      <c r="R1502" s="279"/>
      <c r="S1502" s="279"/>
      <c r="T1502" s="279"/>
      <c r="U1502" s="280"/>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9"/>
      <c r="N1503" s="279"/>
      <c r="O1503" s="279"/>
      <c r="P1503" s="279"/>
      <c r="Q1503" s="279"/>
      <c r="R1503" s="279"/>
      <c r="S1503" s="279"/>
      <c r="T1503" s="279"/>
      <c r="U1503" s="280"/>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9"/>
      <c r="N1504" s="279"/>
      <c r="O1504" s="279"/>
      <c r="P1504" s="279"/>
      <c r="Q1504" s="279"/>
      <c r="R1504" s="279"/>
      <c r="S1504" s="279"/>
      <c r="T1504" s="279"/>
      <c r="U1504" s="280"/>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9"/>
      <c r="N1505" s="279"/>
      <c r="O1505" s="279"/>
      <c r="P1505" s="279"/>
      <c r="Q1505" s="279"/>
      <c r="R1505" s="279"/>
      <c r="S1505" s="279"/>
      <c r="T1505" s="279"/>
      <c r="U1505" s="280"/>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9"/>
      <c r="N1506" s="279"/>
      <c r="O1506" s="279"/>
      <c r="P1506" s="279"/>
      <c r="Q1506" s="279"/>
      <c r="R1506" s="279"/>
      <c r="S1506" s="279"/>
      <c r="T1506" s="279"/>
      <c r="U1506" s="280"/>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9"/>
      <c r="N1507" s="279"/>
      <c r="O1507" s="279"/>
      <c r="P1507" s="279"/>
      <c r="Q1507" s="279"/>
      <c r="R1507" s="279"/>
      <c r="S1507" s="279"/>
      <c r="T1507" s="279"/>
      <c r="U1507" s="280"/>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9"/>
      <c r="N1508" s="279"/>
      <c r="O1508" s="279"/>
      <c r="P1508" s="279"/>
      <c r="Q1508" s="279"/>
      <c r="R1508" s="279"/>
      <c r="S1508" s="279"/>
      <c r="T1508" s="279"/>
      <c r="U1508" s="280"/>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9"/>
      <c r="N1509" s="279"/>
      <c r="O1509" s="279"/>
      <c r="P1509" s="279"/>
      <c r="Q1509" s="279"/>
      <c r="R1509" s="279"/>
      <c r="S1509" s="279"/>
      <c r="T1509" s="279"/>
      <c r="U1509" s="280"/>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9"/>
      <c r="N1510" s="279"/>
      <c r="O1510" s="279"/>
      <c r="P1510" s="279"/>
      <c r="Q1510" s="279"/>
      <c r="R1510" s="279"/>
      <c r="S1510" s="279"/>
      <c r="T1510" s="279"/>
      <c r="U1510" s="280"/>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9"/>
      <c r="N1511" s="279"/>
      <c r="O1511" s="279"/>
      <c r="P1511" s="279"/>
      <c r="Q1511" s="279"/>
      <c r="R1511" s="279"/>
      <c r="S1511" s="279"/>
      <c r="T1511" s="279"/>
      <c r="U1511" s="280"/>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9"/>
      <c r="N1512" s="279"/>
      <c r="O1512" s="279"/>
      <c r="P1512" s="279"/>
      <c r="Q1512" s="279"/>
      <c r="R1512" s="279"/>
      <c r="S1512" s="279"/>
      <c r="T1512" s="279"/>
      <c r="U1512" s="280"/>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9"/>
      <c r="N1513" s="279"/>
      <c r="O1513" s="279"/>
      <c r="P1513" s="279"/>
      <c r="Q1513" s="279"/>
      <c r="R1513" s="279"/>
      <c r="S1513" s="279"/>
      <c r="T1513" s="279"/>
      <c r="U1513" s="280"/>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9"/>
      <c r="N1514" s="279"/>
      <c r="O1514" s="279"/>
      <c r="P1514" s="279"/>
      <c r="Q1514" s="279"/>
      <c r="R1514" s="279"/>
      <c r="S1514" s="279"/>
      <c r="T1514" s="279"/>
      <c r="U1514" s="280"/>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9"/>
      <c r="N1515" s="279"/>
      <c r="O1515" s="279"/>
      <c r="P1515" s="279"/>
      <c r="Q1515" s="279"/>
      <c r="R1515" s="279"/>
      <c r="S1515" s="279"/>
      <c r="T1515" s="279"/>
      <c r="U1515" s="280"/>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9"/>
      <c r="N1516" s="279"/>
      <c r="O1516" s="279"/>
      <c r="P1516" s="279"/>
      <c r="Q1516" s="279"/>
      <c r="R1516" s="279"/>
      <c r="S1516" s="279"/>
      <c r="T1516" s="279"/>
      <c r="U1516" s="280"/>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9"/>
      <c r="N1517" s="279"/>
      <c r="O1517" s="279"/>
      <c r="P1517" s="279"/>
      <c r="Q1517" s="279"/>
      <c r="R1517" s="279"/>
      <c r="S1517" s="279"/>
      <c r="T1517" s="279"/>
      <c r="U1517" s="280"/>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20" t="s">
        <v>377</v>
      </c>
      <c r="C1518" s="321"/>
      <c r="D1518" s="79"/>
      <c r="E1518" s="80"/>
      <c r="F1518" s="80"/>
      <c r="G1518" s="81"/>
      <c r="H1518" s="192"/>
      <c r="I1518" s="192"/>
      <c r="J1518" s="192"/>
      <c r="K1518" s="82"/>
      <c r="L1518" s="320" t="s">
        <v>306</v>
      </c>
      <c r="M1518" s="331"/>
      <c r="N1518" s="331"/>
      <c r="O1518" s="331"/>
      <c r="P1518" s="331"/>
      <c r="Q1518" s="331"/>
      <c r="R1518" s="331"/>
      <c r="S1518" s="331"/>
      <c r="T1518" s="331"/>
      <c r="U1518" s="321"/>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20" t="s">
        <v>307</v>
      </c>
      <c r="C1519" s="321"/>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3" t="s">
        <v>222</v>
      </c>
      <c r="C1523" s="314"/>
      <c r="D1523" s="315" t="s">
        <v>223</v>
      </c>
      <c r="E1523" s="306"/>
      <c r="F1523" s="88"/>
      <c r="G1523" s="316" t="s">
        <v>224</v>
      </c>
      <c r="H1523" s="317"/>
      <c r="I1523" s="28">
        <f>SUM(E1534:E1558)</f>
        <v>0</v>
      </c>
      <c r="J1523" s="318" t="s">
        <v>225</v>
      </c>
      <c r="K1523" s="319"/>
      <c r="L1523" s="306"/>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6" t="s">
        <v>226</v>
      </c>
      <c r="AA1523" s="297"/>
      <c r="AB1523" s="298"/>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5" t="s">
        <v>230</v>
      </c>
      <c r="H1524" s="306"/>
      <c r="I1524" s="33">
        <f>E1525-I1523</f>
        <v>0</v>
      </c>
      <c r="J1524" s="290" t="s">
        <v>231</v>
      </c>
      <c r="K1524" s="291"/>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9" t="s">
        <v>232</v>
      </c>
      <c r="AA1524" s="301" t="s">
        <v>233</v>
      </c>
      <c r="AB1524" s="302"/>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2" t="s">
        <v>237</v>
      </c>
      <c r="H1525" s="293"/>
      <c r="I1525" s="35">
        <f>IF(E1525=0,0,12-(MOD(I1523,12)))</f>
        <v>0</v>
      </c>
      <c r="J1525" s="290" t="s">
        <v>238</v>
      </c>
      <c r="K1525" s="291"/>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0"/>
      <c r="AA1525" s="303"/>
      <c r="AB1525" s="304"/>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2" t="s">
        <v>242</v>
      </c>
      <c r="H1526" s="43" t="s">
        <v>243</v>
      </c>
      <c r="I1526" s="35">
        <f>IF(E1526&lt;&gt;0,1,0)</f>
        <v>0</v>
      </c>
      <c r="J1526" s="292" t="s">
        <v>244</v>
      </c>
      <c r="K1526" s="293"/>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3"/>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2" t="s">
        <v>251</v>
      </c>
      <c r="H1528" s="51" t="s">
        <v>252</v>
      </c>
      <c r="I1528" s="112">
        <f>E1527</f>
        <v>0</v>
      </c>
      <c r="J1528" s="324" t="s">
        <v>253</v>
      </c>
      <c r="K1528" s="325"/>
      <c r="L1528" s="326"/>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3"/>
      <c r="H1529" s="47" t="s">
        <v>257</v>
      </c>
      <c r="I1529" s="35" t="str">
        <f>IF(E1527="","0",IF(AND(E1524="EUC",E1525=432), I1528+(203-E1526),IF(E1527=0,0,(E1527+(E1525-E1526)-1))))</f>
        <v>0</v>
      </c>
      <c r="J1529" s="287" t="str">
        <f>IFERROR(IF(OR(E1524="EUC",E1524="SS"),"---",IF(OR(P1523,S1523),"NO 2F Tethers for RPX!",IF(OR(P1525,S1525),"NO 6F Tethers for RPX!","---"))),"---")</f>
        <v>---</v>
      </c>
      <c r="K1529" s="288"/>
      <c r="L1529" s="289"/>
      <c r="M1529" s="287" t="str">
        <f>IF(E1526&gt;60,"Dead Count &gt;60: Consider Downsize","---")</f>
        <v>---</v>
      </c>
      <c r="N1529" s="288"/>
      <c r="O1529" s="288"/>
      <c r="P1529" s="288"/>
      <c r="Q1529" s="288"/>
      <c r="R1529" s="288"/>
      <c r="S1529" s="288"/>
      <c r="T1529" s="288"/>
      <c r="U1529" s="289"/>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7"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8"/>
      <c r="L1530" s="289"/>
      <c r="M1530" s="287" t="str">
        <f>IF(AND(OR(E1524="SS",E1524="RPX",E1524="EUC",E1524="RPX-T"),(OR(C1534="",C1534="Field SPL"))),"Cannot have FlexNap cables without tethers","---")</f>
        <v>---</v>
      </c>
      <c r="N1530" s="288"/>
      <c r="O1530" s="288"/>
      <c r="P1530" s="288"/>
      <c r="Q1530" s="288"/>
      <c r="R1530" s="288"/>
      <c r="S1530" s="288"/>
      <c r="T1530" s="288"/>
      <c r="U1530" s="289"/>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7" t="str">
        <f>IF(AND(OR(E1524="RPX", E1524="RPX-T", E1524="SS"),E1525=216),"NO 216 For RPX, RPX-T, OR SS CABLE","---")</f>
        <v>---</v>
      </c>
      <c r="K1531" s="288"/>
      <c r="L1531" s="289"/>
      <c r="M1531" s="287" t="str" cm="1">
        <f t="array" ref="M1531">IF(AND(E1524="",OR(C1534:C1558="FST",C1534:C1558="REV T",C1534:C1558="DBL REV",C1534:C1558="TPL REV", C1534:C1558="QD REV")),"Non-FlexNap cables cannot have tethers","---")</f>
        <v>---</v>
      </c>
      <c r="N1531" s="288"/>
      <c r="O1531" s="288"/>
      <c r="P1531" s="288"/>
      <c r="Q1531" s="288"/>
      <c r="R1531" s="288"/>
      <c r="S1531" s="288"/>
      <c r="T1531" s="288"/>
      <c r="U1531" s="289"/>
      <c r="V1531" s="25"/>
      <c r="W1531" s="58"/>
      <c r="X1531" s="58"/>
      <c r="Y1531" s="25"/>
      <c r="Z1531" s="45">
        <v>6</v>
      </c>
      <c r="AA1531" s="65">
        <v>61</v>
      </c>
      <c r="AB1531" s="65">
        <v>72</v>
      </c>
      <c r="AC1531" s="25"/>
      <c r="AD1531" s="25"/>
      <c r="BA1531" s="226"/>
    </row>
    <row r="1532" spans="1:53" ht="15.75" customHeight="1" thickBot="1" x14ac:dyDescent="0.3">
      <c r="A1532" s="88"/>
      <c r="B1532" s="322" t="s">
        <v>260</v>
      </c>
      <c r="C1532" s="294" t="s">
        <v>261</v>
      </c>
      <c r="D1532" s="294" t="s">
        <v>262</v>
      </c>
      <c r="E1532" s="307" t="s">
        <v>263</v>
      </c>
      <c r="F1532" s="294" t="s">
        <v>264</v>
      </c>
      <c r="G1532" s="309" t="s">
        <v>265</v>
      </c>
      <c r="H1532" s="309" t="s">
        <v>266</v>
      </c>
      <c r="I1532" s="309" t="s">
        <v>267</v>
      </c>
      <c r="J1532" s="311" t="s">
        <v>268</v>
      </c>
      <c r="K1532" s="294" t="s">
        <v>269</v>
      </c>
      <c r="L1532" s="281" t="s">
        <v>270</v>
      </c>
      <c r="M1532" s="283" t="s">
        <v>271</v>
      </c>
      <c r="N1532" s="283"/>
      <c r="O1532" s="283"/>
      <c r="P1532" s="283"/>
      <c r="Q1532" s="283"/>
      <c r="R1532" s="283"/>
      <c r="S1532" s="283"/>
      <c r="T1532" s="283"/>
      <c r="U1532" s="284"/>
      <c r="V1532" s="107"/>
      <c r="W1532" s="72"/>
      <c r="X1532" s="72"/>
      <c r="Y1532" s="72"/>
      <c r="Z1532" s="45">
        <v>7</v>
      </c>
      <c r="AA1532" s="65">
        <v>73</v>
      </c>
      <c r="AB1532" s="65">
        <v>84</v>
      </c>
      <c r="AC1532" s="25"/>
      <c r="AD1532" s="25"/>
      <c r="BA1532" s="228"/>
    </row>
    <row r="1533" spans="1:53" ht="15.75" thickBot="1" x14ac:dyDescent="0.3">
      <c r="A1533" s="88"/>
      <c r="B1533" s="323"/>
      <c r="C1533" s="295"/>
      <c r="D1533" s="295"/>
      <c r="E1533" s="308"/>
      <c r="F1533" s="295"/>
      <c r="G1533" s="310"/>
      <c r="H1533" s="310"/>
      <c r="I1533" s="310"/>
      <c r="J1533" s="312"/>
      <c r="K1533" s="295"/>
      <c r="L1533" s="282"/>
      <c r="M1533" s="285"/>
      <c r="N1533" s="285"/>
      <c r="O1533" s="285"/>
      <c r="P1533" s="285"/>
      <c r="Q1533" s="285"/>
      <c r="R1533" s="285"/>
      <c r="S1533" s="285"/>
      <c r="T1533" s="285"/>
      <c r="U1533" s="286"/>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9"/>
      <c r="N1534" s="279"/>
      <c r="O1534" s="279"/>
      <c r="P1534" s="279"/>
      <c r="Q1534" s="279"/>
      <c r="R1534" s="279"/>
      <c r="S1534" s="279"/>
      <c r="T1534" s="279"/>
      <c r="U1534" s="280"/>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9"/>
      <c r="N1535" s="279"/>
      <c r="O1535" s="279"/>
      <c r="P1535" s="279"/>
      <c r="Q1535" s="279"/>
      <c r="R1535" s="279"/>
      <c r="S1535" s="279"/>
      <c r="T1535" s="279"/>
      <c r="U1535" s="280"/>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9"/>
      <c r="N1536" s="279"/>
      <c r="O1536" s="279"/>
      <c r="P1536" s="279"/>
      <c r="Q1536" s="279"/>
      <c r="R1536" s="279"/>
      <c r="S1536" s="279"/>
      <c r="T1536" s="279"/>
      <c r="U1536" s="280"/>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9"/>
      <c r="N1537" s="279"/>
      <c r="O1537" s="279"/>
      <c r="P1537" s="279"/>
      <c r="Q1537" s="279"/>
      <c r="R1537" s="279"/>
      <c r="S1537" s="279"/>
      <c r="T1537" s="279"/>
      <c r="U1537" s="280"/>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9"/>
      <c r="N1538" s="279"/>
      <c r="O1538" s="279"/>
      <c r="P1538" s="279"/>
      <c r="Q1538" s="279"/>
      <c r="R1538" s="279"/>
      <c r="S1538" s="279"/>
      <c r="T1538" s="279"/>
      <c r="U1538" s="280"/>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9"/>
      <c r="N1539" s="279"/>
      <c r="O1539" s="279"/>
      <c r="P1539" s="279"/>
      <c r="Q1539" s="279"/>
      <c r="R1539" s="279"/>
      <c r="S1539" s="279"/>
      <c r="T1539" s="279"/>
      <c r="U1539" s="280"/>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9"/>
      <c r="N1540" s="279"/>
      <c r="O1540" s="279"/>
      <c r="P1540" s="279"/>
      <c r="Q1540" s="279"/>
      <c r="R1540" s="279"/>
      <c r="S1540" s="279"/>
      <c r="T1540" s="279"/>
      <c r="U1540" s="280"/>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9"/>
      <c r="N1541" s="279"/>
      <c r="O1541" s="279"/>
      <c r="P1541" s="279"/>
      <c r="Q1541" s="279"/>
      <c r="R1541" s="279"/>
      <c r="S1541" s="279"/>
      <c r="T1541" s="279"/>
      <c r="U1541" s="280"/>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9"/>
      <c r="N1542" s="279"/>
      <c r="O1542" s="279"/>
      <c r="P1542" s="279"/>
      <c r="Q1542" s="279"/>
      <c r="R1542" s="279"/>
      <c r="S1542" s="279"/>
      <c r="T1542" s="279"/>
      <c r="U1542" s="280"/>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9"/>
      <c r="N1543" s="279"/>
      <c r="O1543" s="279"/>
      <c r="P1543" s="279"/>
      <c r="Q1543" s="279"/>
      <c r="R1543" s="279"/>
      <c r="S1543" s="279"/>
      <c r="T1543" s="279"/>
      <c r="U1543" s="280"/>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9"/>
      <c r="N1544" s="279"/>
      <c r="O1544" s="279"/>
      <c r="P1544" s="279"/>
      <c r="Q1544" s="279"/>
      <c r="R1544" s="279"/>
      <c r="S1544" s="279"/>
      <c r="T1544" s="279"/>
      <c r="U1544" s="280"/>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9"/>
      <c r="N1545" s="279"/>
      <c r="O1545" s="279"/>
      <c r="P1545" s="279"/>
      <c r="Q1545" s="279"/>
      <c r="R1545" s="279"/>
      <c r="S1545" s="279"/>
      <c r="T1545" s="279"/>
      <c r="U1545" s="280"/>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9"/>
      <c r="N1546" s="279"/>
      <c r="O1546" s="279"/>
      <c r="P1546" s="279"/>
      <c r="Q1546" s="279"/>
      <c r="R1546" s="279"/>
      <c r="S1546" s="279"/>
      <c r="T1546" s="279"/>
      <c r="U1546" s="280"/>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9"/>
      <c r="N1547" s="279"/>
      <c r="O1547" s="279"/>
      <c r="P1547" s="279"/>
      <c r="Q1547" s="279"/>
      <c r="R1547" s="279"/>
      <c r="S1547" s="279"/>
      <c r="T1547" s="279"/>
      <c r="U1547" s="280"/>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9"/>
      <c r="N1548" s="279"/>
      <c r="O1548" s="279"/>
      <c r="P1548" s="279"/>
      <c r="Q1548" s="279"/>
      <c r="R1548" s="279"/>
      <c r="S1548" s="279"/>
      <c r="T1548" s="279"/>
      <c r="U1548" s="280"/>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9"/>
      <c r="N1549" s="279"/>
      <c r="O1549" s="279"/>
      <c r="P1549" s="279"/>
      <c r="Q1549" s="279"/>
      <c r="R1549" s="279"/>
      <c r="S1549" s="279"/>
      <c r="T1549" s="279"/>
      <c r="U1549" s="280"/>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9"/>
      <c r="N1550" s="279"/>
      <c r="O1550" s="279"/>
      <c r="P1550" s="279"/>
      <c r="Q1550" s="279"/>
      <c r="R1550" s="279"/>
      <c r="S1550" s="279"/>
      <c r="T1550" s="279"/>
      <c r="U1550" s="280"/>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9"/>
      <c r="N1551" s="279"/>
      <c r="O1551" s="279"/>
      <c r="P1551" s="279"/>
      <c r="Q1551" s="279"/>
      <c r="R1551" s="279"/>
      <c r="S1551" s="279"/>
      <c r="T1551" s="279"/>
      <c r="U1551" s="280"/>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9"/>
      <c r="N1552" s="279"/>
      <c r="O1552" s="279"/>
      <c r="P1552" s="279"/>
      <c r="Q1552" s="279"/>
      <c r="R1552" s="279"/>
      <c r="S1552" s="279"/>
      <c r="T1552" s="279"/>
      <c r="U1552" s="280"/>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9"/>
      <c r="N1553" s="279"/>
      <c r="O1553" s="279"/>
      <c r="P1553" s="279"/>
      <c r="Q1553" s="279"/>
      <c r="R1553" s="279"/>
      <c r="S1553" s="279"/>
      <c r="T1553" s="279"/>
      <c r="U1553" s="280"/>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9"/>
      <c r="N1554" s="279"/>
      <c r="O1554" s="279"/>
      <c r="P1554" s="279"/>
      <c r="Q1554" s="279"/>
      <c r="R1554" s="279"/>
      <c r="S1554" s="279"/>
      <c r="T1554" s="279"/>
      <c r="U1554" s="280"/>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9"/>
      <c r="N1555" s="279"/>
      <c r="O1555" s="279"/>
      <c r="P1555" s="279"/>
      <c r="Q1555" s="279"/>
      <c r="R1555" s="279"/>
      <c r="S1555" s="279"/>
      <c r="T1555" s="279"/>
      <c r="U1555" s="280"/>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9"/>
      <c r="N1556" s="279"/>
      <c r="O1556" s="279"/>
      <c r="P1556" s="279"/>
      <c r="Q1556" s="279"/>
      <c r="R1556" s="279"/>
      <c r="S1556" s="279"/>
      <c r="T1556" s="279"/>
      <c r="U1556" s="280"/>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9"/>
      <c r="N1557" s="279"/>
      <c r="O1557" s="279"/>
      <c r="P1557" s="279"/>
      <c r="Q1557" s="279"/>
      <c r="R1557" s="279"/>
      <c r="S1557" s="279"/>
      <c r="T1557" s="279"/>
      <c r="U1557" s="280"/>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9"/>
      <c r="N1558" s="279"/>
      <c r="O1558" s="279"/>
      <c r="P1558" s="279"/>
      <c r="Q1558" s="279"/>
      <c r="R1558" s="279"/>
      <c r="S1558" s="279"/>
      <c r="T1558" s="279"/>
      <c r="U1558" s="280"/>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20" t="s">
        <v>379</v>
      </c>
      <c r="C1559" s="321"/>
      <c r="D1559" s="79"/>
      <c r="E1559" s="80"/>
      <c r="F1559" s="80"/>
      <c r="G1559" s="81"/>
      <c r="H1559" s="192"/>
      <c r="I1559" s="192"/>
      <c r="J1559" s="192"/>
      <c r="K1559" s="82"/>
      <c r="L1559" s="320" t="s">
        <v>306</v>
      </c>
      <c r="M1559" s="331"/>
      <c r="N1559" s="331"/>
      <c r="O1559" s="331"/>
      <c r="P1559" s="331"/>
      <c r="Q1559" s="331"/>
      <c r="R1559" s="331"/>
      <c r="S1559" s="331"/>
      <c r="T1559" s="331"/>
      <c r="U1559" s="321"/>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20" t="s">
        <v>307</v>
      </c>
      <c r="C1560" s="321"/>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3" t="s">
        <v>222</v>
      </c>
      <c r="C1564" s="314"/>
      <c r="D1564" s="315" t="s">
        <v>223</v>
      </c>
      <c r="E1564" s="306"/>
      <c r="F1564" s="88"/>
      <c r="G1564" s="316" t="s">
        <v>224</v>
      </c>
      <c r="H1564" s="317"/>
      <c r="I1564" s="28">
        <f>SUM(E1575:E1599)</f>
        <v>0</v>
      </c>
      <c r="J1564" s="318" t="s">
        <v>225</v>
      </c>
      <c r="K1564" s="319"/>
      <c r="L1564" s="306"/>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6" t="s">
        <v>226</v>
      </c>
      <c r="AA1564" s="297"/>
      <c r="AB1564" s="298"/>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5" t="s">
        <v>230</v>
      </c>
      <c r="H1565" s="306"/>
      <c r="I1565" s="33">
        <f>E1566-I1564</f>
        <v>0</v>
      </c>
      <c r="J1565" s="290" t="s">
        <v>231</v>
      </c>
      <c r="K1565" s="291"/>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9" t="s">
        <v>232</v>
      </c>
      <c r="AA1565" s="301" t="s">
        <v>233</v>
      </c>
      <c r="AB1565" s="302"/>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2" t="s">
        <v>237</v>
      </c>
      <c r="H1566" s="293"/>
      <c r="I1566" s="35">
        <f>IF(E1566=0,0,12-(MOD(I1564,12)))</f>
        <v>0</v>
      </c>
      <c r="J1566" s="290" t="s">
        <v>238</v>
      </c>
      <c r="K1566" s="291"/>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0"/>
      <c r="AA1566" s="303"/>
      <c r="AB1566" s="304"/>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2" t="s">
        <v>242</v>
      </c>
      <c r="H1567" s="43" t="s">
        <v>243</v>
      </c>
      <c r="I1567" s="35">
        <f>IF(E1567&lt;&gt;0,1,0)</f>
        <v>0</v>
      </c>
      <c r="J1567" s="292" t="s">
        <v>244</v>
      </c>
      <c r="K1567" s="293"/>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3"/>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2" t="s">
        <v>251</v>
      </c>
      <c r="H1569" s="51" t="s">
        <v>252</v>
      </c>
      <c r="I1569" s="112">
        <f>E1568</f>
        <v>0</v>
      </c>
      <c r="J1569" s="324" t="s">
        <v>253</v>
      </c>
      <c r="K1569" s="325"/>
      <c r="L1569" s="326"/>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3"/>
      <c r="H1570" s="47" t="s">
        <v>257</v>
      </c>
      <c r="I1570" s="35" t="str">
        <f>IF(E1568="","0",IF(AND(E1565="EUC",E1566=432), I1569+(203-E1567),IF(E1568=0,0,(E1568+(E1566-E1567)-1))))</f>
        <v>0</v>
      </c>
      <c r="J1570" s="287" t="str">
        <f>IFERROR(IF(OR(E1565="EUC",E1565="SS"),"---",IF(OR(P1564,S1564),"NO 2F Tethers for RPX!",IF(OR(P1566,S1566),"NO 6F Tethers for RPX!","---"))),"---")</f>
        <v>---</v>
      </c>
      <c r="K1570" s="288"/>
      <c r="L1570" s="289"/>
      <c r="M1570" s="287" t="str">
        <f>IF(E1567&gt;60,"Dead Count &gt;60: Consider Downsize","---")</f>
        <v>---</v>
      </c>
      <c r="N1570" s="288"/>
      <c r="O1570" s="288"/>
      <c r="P1570" s="288"/>
      <c r="Q1570" s="288"/>
      <c r="R1570" s="288"/>
      <c r="S1570" s="288"/>
      <c r="T1570" s="288"/>
      <c r="U1570" s="289"/>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7"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8"/>
      <c r="L1571" s="289"/>
      <c r="M1571" s="287" t="str">
        <f>IF(AND(OR(E1565="SS",E1565="RPX",E1565="EUC",E1565="RPX-T"),(OR(C1575="",C1575="Field SPL"))),"Cannot have FlexNap cables without tethers","---")</f>
        <v>---</v>
      </c>
      <c r="N1571" s="288"/>
      <c r="O1571" s="288"/>
      <c r="P1571" s="288"/>
      <c r="Q1571" s="288"/>
      <c r="R1571" s="288"/>
      <c r="S1571" s="288"/>
      <c r="T1571" s="288"/>
      <c r="U1571" s="289"/>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7" t="str">
        <f>IF(AND(OR(E1565="RPX", E1565="RPX-T", E1565="SS"),E1566=216),"NO 216 For RPX, RPX-T, OR SS CABLE","---")</f>
        <v>---</v>
      </c>
      <c r="K1572" s="288"/>
      <c r="L1572" s="289"/>
      <c r="M1572" s="287" t="str" cm="1">
        <f t="array" ref="M1572">IF(AND(E1565="",OR(C1575:C1599="FST",C1575:C1599="REV T",C1575:C1599="DBL REV",C1575:C1599="TPL REV", C1575:C1599="QD REV")),"Non-FlexNap cables cannot have tethers","---")</f>
        <v>---</v>
      </c>
      <c r="N1572" s="288"/>
      <c r="O1572" s="288"/>
      <c r="P1572" s="288"/>
      <c r="Q1572" s="288"/>
      <c r="R1572" s="288"/>
      <c r="S1572" s="288"/>
      <c r="T1572" s="288"/>
      <c r="U1572" s="289"/>
      <c r="V1572" s="25"/>
      <c r="W1572" s="58"/>
      <c r="X1572" s="58"/>
      <c r="Y1572" s="25"/>
      <c r="Z1572" s="45">
        <v>6</v>
      </c>
      <c r="AA1572" s="65">
        <v>61</v>
      </c>
      <c r="AB1572" s="65">
        <v>72</v>
      </c>
      <c r="AC1572" s="25"/>
      <c r="AD1572" s="25"/>
      <c r="BA1572" s="226"/>
    </row>
    <row r="1573" spans="1:53" ht="15.75" customHeight="1" thickBot="1" x14ac:dyDescent="0.3">
      <c r="A1573" s="88"/>
      <c r="B1573" s="322" t="s">
        <v>260</v>
      </c>
      <c r="C1573" s="294" t="s">
        <v>261</v>
      </c>
      <c r="D1573" s="294" t="s">
        <v>262</v>
      </c>
      <c r="E1573" s="307" t="s">
        <v>263</v>
      </c>
      <c r="F1573" s="294" t="s">
        <v>264</v>
      </c>
      <c r="G1573" s="309" t="s">
        <v>265</v>
      </c>
      <c r="H1573" s="309" t="s">
        <v>266</v>
      </c>
      <c r="I1573" s="309" t="s">
        <v>267</v>
      </c>
      <c r="J1573" s="311" t="s">
        <v>268</v>
      </c>
      <c r="K1573" s="294" t="s">
        <v>269</v>
      </c>
      <c r="L1573" s="281" t="s">
        <v>270</v>
      </c>
      <c r="M1573" s="283" t="s">
        <v>271</v>
      </c>
      <c r="N1573" s="283"/>
      <c r="O1573" s="283"/>
      <c r="P1573" s="283"/>
      <c r="Q1573" s="283"/>
      <c r="R1573" s="283"/>
      <c r="S1573" s="283"/>
      <c r="T1573" s="283"/>
      <c r="U1573" s="284"/>
      <c r="V1573" s="107"/>
      <c r="W1573" s="72"/>
      <c r="X1573" s="72"/>
      <c r="Y1573" s="72"/>
      <c r="Z1573" s="45">
        <v>7</v>
      </c>
      <c r="AA1573" s="65">
        <v>73</v>
      </c>
      <c r="AB1573" s="65">
        <v>84</v>
      </c>
      <c r="AC1573" s="25"/>
      <c r="AD1573" s="25"/>
      <c r="BA1573" s="228"/>
    </row>
    <row r="1574" spans="1:53" ht="15.75" thickBot="1" x14ac:dyDescent="0.3">
      <c r="A1574" s="88"/>
      <c r="B1574" s="323"/>
      <c r="C1574" s="295"/>
      <c r="D1574" s="295"/>
      <c r="E1574" s="308"/>
      <c r="F1574" s="295"/>
      <c r="G1574" s="310"/>
      <c r="H1574" s="310"/>
      <c r="I1574" s="310"/>
      <c r="J1574" s="312"/>
      <c r="K1574" s="295"/>
      <c r="L1574" s="282"/>
      <c r="M1574" s="285"/>
      <c r="N1574" s="285"/>
      <c r="O1574" s="285"/>
      <c r="P1574" s="285"/>
      <c r="Q1574" s="285"/>
      <c r="R1574" s="285"/>
      <c r="S1574" s="285"/>
      <c r="T1574" s="285"/>
      <c r="U1574" s="286"/>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9"/>
      <c r="N1575" s="279"/>
      <c r="O1575" s="279"/>
      <c r="P1575" s="279"/>
      <c r="Q1575" s="279"/>
      <c r="R1575" s="279"/>
      <c r="S1575" s="279"/>
      <c r="T1575" s="279"/>
      <c r="U1575" s="280"/>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9"/>
      <c r="N1576" s="279"/>
      <c r="O1576" s="279"/>
      <c r="P1576" s="279"/>
      <c r="Q1576" s="279"/>
      <c r="R1576" s="279"/>
      <c r="S1576" s="279"/>
      <c r="T1576" s="279"/>
      <c r="U1576" s="280"/>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9"/>
      <c r="N1577" s="279"/>
      <c r="O1577" s="279"/>
      <c r="P1577" s="279"/>
      <c r="Q1577" s="279"/>
      <c r="R1577" s="279"/>
      <c r="S1577" s="279"/>
      <c r="T1577" s="279"/>
      <c r="U1577" s="280"/>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9"/>
      <c r="N1578" s="279"/>
      <c r="O1578" s="279"/>
      <c r="P1578" s="279"/>
      <c r="Q1578" s="279"/>
      <c r="R1578" s="279"/>
      <c r="S1578" s="279"/>
      <c r="T1578" s="279"/>
      <c r="U1578" s="280"/>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9"/>
      <c r="N1579" s="279"/>
      <c r="O1579" s="279"/>
      <c r="P1579" s="279"/>
      <c r="Q1579" s="279"/>
      <c r="R1579" s="279"/>
      <c r="S1579" s="279"/>
      <c r="T1579" s="279"/>
      <c r="U1579" s="280"/>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9"/>
      <c r="N1580" s="279"/>
      <c r="O1580" s="279"/>
      <c r="P1580" s="279"/>
      <c r="Q1580" s="279"/>
      <c r="R1580" s="279"/>
      <c r="S1580" s="279"/>
      <c r="T1580" s="279"/>
      <c r="U1580" s="280"/>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9"/>
      <c r="N1581" s="279"/>
      <c r="O1581" s="279"/>
      <c r="P1581" s="279"/>
      <c r="Q1581" s="279"/>
      <c r="R1581" s="279"/>
      <c r="S1581" s="279"/>
      <c r="T1581" s="279"/>
      <c r="U1581" s="280"/>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9"/>
      <c r="N1582" s="279"/>
      <c r="O1582" s="279"/>
      <c r="P1582" s="279"/>
      <c r="Q1582" s="279"/>
      <c r="R1582" s="279"/>
      <c r="S1582" s="279"/>
      <c r="T1582" s="279"/>
      <c r="U1582" s="280"/>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9"/>
      <c r="N1583" s="279"/>
      <c r="O1583" s="279"/>
      <c r="P1583" s="279"/>
      <c r="Q1583" s="279"/>
      <c r="R1583" s="279"/>
      <c r="S1583" s="279"/>
      <c r="T1583" s="279"/>
      <c r="U1583" s="280"/>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9"/>
      <c r="N1584" s="279"/>
      <c r="O1584" s="279"/>
      <c r="P1584" s="279"/>
      <c r="Q1584" s="279"/>
      <c r="R1584" s="279"/>
      <c r="S1584" s="279"/>
      <c r="T1584" s="279"/>
      <c r="U1584" s="280"/>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9"/>
      <c r="N1585" s="279"/>
      <c r="O1585" s="279"/>
      <c r="P1585" s="279"/>
      <c r="Q1585" s="279"/>
      <c r="R1585" s="279"/>
      <c r="S1585" s="279"/>
      <c r="T1585" s="279"/>
      <c r="U1585" s="280"/>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9"/>
      <c r="N1586" s="279"/>
      <c r="O1586" s="279"/>
      <c r="P1586" s="279"/>
      <c r="Q1586" s="279"/>
      <c r="R1586" s="279"/>
      <c r="S1586" s="279"/>
      <c r="T1586" s="279"/>
      <c r="U1586" s="280"/>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9"/>
      <c r="N1587" s="279"/>
      <c r="O1587" s="279"/>
      <c r="P1587" s="279"/>
      <c r="Q1587" s="279"/>
      <c r="R1587" s="279"/>
      <c r="S1587" s="279"/>
      <c r="T1587" s="279"/>
      <c r="U1587" s="280"/>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9"/>
      <c r="N1588" s="279"/>
      <c r="O1588" s="279"/>
      <c r="P1588" s="279"/>
      <c r="Q1588" s="279"/>
      <c r="R1588" s="279"/>
      <c r="S1588" s="279"/>
      <c r="T1588" s="279"/>
      <c r="U1588" s="280"/>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9"/>
      <c r="N1589" s="279"/>
      <c r="O1589" s="279"/>
      <c r="P1589" s="279"/>
      <c r="Q1589" s="279"/>
      <c r="R1589" s="279"/>
      <c r="S1589" s="279"/>
      <c r="T1589" s="279"/>
      <c r="U1589" s="280"/>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9"/>
      <c r="N1590" s="279"/>
      <c r="O1590" s="279"/>
      <c r="P1590" s="279"/>
      <c r="Q1590" s="279"/>
      <c r="R1590" s="279"/>
      <c r="S1590" s="279"/>
      <c r="T1590" s="279"/>
      <c r="U1590" s="280"/>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9"/>
      <c r="N1591" s="279"/>
      <c r="O1591" s="279"/>
      <c r="P1591" s="279"/>
      <c r="Q1591" s="279"/>
      <c r="R1591" s="279"/>
      <c r="S1591" s="279"/>
      <c r="T1591" s="279"/>
      <c r="U1591" s="280"/>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9"/>
      <c r="N1592" s="279"/>
      <c r="O1592" s="279"/>
      <c r="P1592" s="279"/>
      <c r="Q1592" s="279"/>
      <c r="R1592" s="279"/>
      <c r="S1592" s="279"/>
      <c r="T1592" s="279"/>
      <c r="U1592" s="280"/>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9"/>
      <c r="N1593" s="279"/>
      <c r="O1593" s="279"/>
      <c r="P1593" s="279"/>
      <c r="Q1593" s="279"/>
      <c r="R1593" s="279"/>
      <c r="S1593" s="279"/>
      <c r="T1593" s="279"/>
      <c r="U1593" s="280"/>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9"/>
      <c r="N1594" s="279"/>
      <c r="O1594" s="279"/>
      <c r="P1594" s="279"/>
      <c r="Q1594" s="279"/>
      <c r="R1594" s="279"/>
      <c r="S1594" s="279"/>
      <c r="T1594" s="279"/>
      <c r="U1594" s="280"/>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9"/>
      <c r="N1595" s="279"/>
      <c r="O1595" s="279"/>
      <c r="P1595" s="279"/>
      <c r="Q1595" s="279"/>
      <c r="R1595" s="279"/>
      <c r="S1595" s="279"/>
      <c r="T1595" s="279"/>
      <c r="U1595" s="280"/>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9"/>
      <c r="N1596" s="279"/>
      <c r="O1596" s="279"/>
      <c r="P1596" s="279"/>
      <c r="Q1596" s="279"/>
      <c r="R1596" s="279"/>
      <c r="S1596" s="279"/>
      <c r="T1596" s="279"/>
      <c r="U1596" s="280"/>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9"/>
      <c r="N1597" s="279"/>
      <c r="O1597" s="279"/>
      <c r="P1597" s="279"/>
      <c r="Q1597" s="279"/>
      <c r="R1597" s="279"/>
      <c r="S1597" s="279"/>
      <c r="T1597" s="279"/>
      <c r="U1597" s="280"/>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9"/>
      <c r="N1598" s="279"/>
      <c r="O1598" s="279"/>
      <c r="P1598" s="279"/>
      <c r="Q1598" s="279"/>
      <c r="R1598" s="279"/>
      <c r="S1598" s="279"/>
      <c r="T1598" s="279"/>
      <c r="U1598" s="280"/>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9"/>
      <c r="N1599" s="279"/>
      <c r="O1599" s="279"/>
      <c r="P1599" s="279"/>
      <c r="Q1599" s="279"/>
      <c r="R1599" s="279"/>
      <c r="S1599" s="279"/>
      <c r="T1599" s="279"/>
      <c r="U1599" s="280"/>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20" t="s">
        <v>381</v>
      </c>
      <c r="C1600" s="321"/>
      <c r="D1600" s="79"/>
      <c r="E1600" s="80"/>
      <c r="F1600" s="80"/>
      <c r="G1600" s="81"/>
      <c r="H1600" s="192"/>
      <c r="I1600" s="192"/>
      <c r="J1600" s="192"/>
      <c r="K1600" s="82"/>
      <c r="L1600" s="320" t="s">
        <v>306</v>
      </c>
      <c r="M1600" s="331"/>
      <c r="N1600" s="331"/>
      <c r="O1600" s="331"/>
      <c r="P1600" s="331"/>
      <c r="Q1600" s="331"/>
      <c r="R1600" s="331"/>
      <c r="S1600" s="331"/>
      <c r="T1600" s="331"/>
      <c r="U1600" s="321"/>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20" t="s">
        <v>307</v>
      </c>
      <c r="C1601" s="321"/>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3" t="s">
        <v>222</v>
      </c>
      <c r="C1605" s="314"/>
      <c r="D1605" s="315" t="s">
        <v>223</v>
      </c>
      <c r="E1605" s="306"/>
      <c r="F1605" s="88"/>
      <c r="G1605" s="316" t="s">
        <v>224</v>
      </c>
      <c r="H1605" s="317"/>
      <c r="I1605" s="28">
        <f>SUM(E1616:E1640)</f>
        <v>0</v>
      </c>
      <c r="J1605" s="318" t="s">
        <v>225</v>
      </c>
      <c r="K1605" s="319"/>
      <c r="L1605" s="306"/>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6" t="s">
        <v>226</v>
      </c>
      <c r="AA1605" s="297"/>
      <c r="AB1605" s="298"/>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5" t="s">
        <v>230</v>
      </c>
      <c r="H1606" s="306"/>
      <c r="I1606" s="33">
        <f>E1607-I1605</f>
        <v>0</v>
      </c>
      <c r="J1606" s="290" t="s">
        <v>231</v>
      </c>
      <c r="K1606" s="291"/>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9" t="s">
        <v>232</v>
      </c>
      <c r="AA1606" s="301" t="s">
        <v>233</v>
      </c>
      <c r="AB1606" s="302"/>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2" t="s">
        <v>237</v>
      </c>
      <c r="H1607" s="293"/>
      <c r="I1607" s="35">
        <f>IF(E1607=0,0,12-(MOD(I1605,12)))</f>
        <v>0</v>
      </c>
      <c r="J1607" s="290" t="s">
        <v>238</v>
      </c>
      <c r="K1607" s="291"/>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0"/>
      <c r="AA1607" s="303"/>
      <c r="AB1607" s="304"/>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2" t="s">
        <v>242</v>
      </c>
      <c r="H1608" s="43" t="s">
        <v>243</v>
      </c>
      <c r="I1608" s="35">
        <f>IF(E1608&lt;&gt;0,1,0)</f>
        <v>0</v>
      </c>
      <c r="J1608" s="292" t="s">
        <v>244</v>
      </c>
      <c r="K1608" s="293"/>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3"/>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2" t="s">
        <v>251</v>
      </c>
      <c r="H1610" s="51" t="s">
        <v>252</v>
      </c>
      <c r="I1610" s="112">
        <f>E1609</f>
        <v>0</v>
      </c>
      <c r="J1610" s="324" t="s">
        <v>253</v>
      </c>
      <c r="K1610" s="325"/>
      <c r="L1610" s="326"/>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3"/>
      <c r="H1611" s="47" t="s">
        <v>257</v>
      </c>
      <c r="I1611" s="35" t="str">
        <f>IF(E1609="","0",IF(AND(E1606="EUC",E1607=432), I1610+(203-E1608),IF(E1609=0,0,(E1609+(E1607-E1608)-1))))</f>
        <v>0</v>
      </c>
      <c r="J1611" s="287" t="str">
        <f>IFERROR(IF(OR(E1606="EUC",E1606="SS"),"---",IF(OR(P1605,S1605),"NO 2F Tethers for RPX!",IF(OR(P1607,S1607),"NO 6F Tethers for RPX!","---"))),"---")</f>
        <v>---</v>
      </c>
      <c r="K1611" s="288"/>
      <c r="L1611" s="289"/>
      <c r="M1611" s="287" t="str">
        <f>IF(E1608&gt;60,"Dead Count &gt;60: Consider Downsize","---")</f>
        <v>---</v>
      </c>
      <c r="N1611" s="288"/>
      <c r="O1611" s="288"/>
      <c r="P1611" s="288"/>
      <c r="Q1611" s="288"/>
      <c r="R1611" s="288"/>
      <c r="S1611" s="288"/>
      <c r="T1611" s="288"/>
      <c r="U1611" s="289"/>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7"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8"/>
      <c r="L1612" s="289"/>
      <c r="M1612" s="287" t="str">
        <f>IF(AND(OR(E1606="SS",E1606="RPX",E1606="EUC",E1606="RPX-T"),(OR(C1616="",C1616="Field SPL"))),"Cannot have FlexNap cables without tethers","---")</f>
        <v>---</v>
      </c>
      <c r="N1612" s="288"/>
      <c r="O1612" s="288"/>
      <c r="P1612" s="288"/>
      <c r="Q1612" s="288"/>
      <c r="R1612" s="288"/>
      <c r="S1612" s="288"/>
      <c r="T1612" s="288"/>
      <c r="U1612" s="289"/>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7" t="str">
        <f>IF(AND(OR(E1606="RPX", E1606="RPX-T", E1606="SS"),E1607=216),"NO 216 For RPX, RPX-T, OR SS CABLE","---")</f>
        <v>---</v>
      </c>
      <c r="K1613" s="288"/>
      <c r="L1613" s="289"/>
      <c r="M1613" s="287" t="str" cm="1">
        <f t="array" ref="M1613">IF(AND(E1606="",OR(C1616:C1640="FST",C1616:C1640="REV T",C1616:C1640="DBL REV",C1616:C1640="TPL REV", C1616:C1640="QD REV")),"Non-FlexNap cables cannot have tethers","---")</f>
        <v>---</v>
      </c>
      <c r="N1613" s="288"/>
      <c r="O1613" s="288"/>
      <c r="P1613" s="288"/>
      <c r="Q1613" s="288"/>
      <c r="R1613" s="288"/>
      <c r="S1613" s="288"/>
      <c r="T1613" s="288"/>
      <c r="U1613" s="289"/>
      <c r="V1613" s="25"/>
      <c r="W1613" s="58"/>
      <c r="X1613" s="58"/>
      <c r="Y1613" s="25"/>
      <c r="Z1613" s="45">
        <v>6</v>
      </c>
      <c r="AA1613" s="65">
        <v>61</v>
      </c>
      <c r="AB1613" s="65">
        <v>72</v>
      </c>
      <c r="AC1613" s="25"/>
      <c r="AD1613" s="25"/>
      <c r="BA1613" s="226"/>
    </row>
    <row r="1614" spans="1:53" ht="15.75" customHeight="1" thickBot="1" x14ac:dyDescent="0.3">
      <c r="A1614" s="88"/>
      <c r="B1614" s="322" t="s">
        <v>260</v>
      </c>
      <c r="C1614" s="294" t="s">
        <v>261</v>
      </c>
      <c r="D1614" s="294" t="s">
        <v>262</v>
      </c>
      <c r="E1614" s="307" t="s">
        <v>263</v>
      </c>
      <c r="F1614" s="294" t="s">
        <v>264</v>
      </c>
      <c r="G1614" s="309" t="s">
        <v>265</v>
      </c>
      <c r="H1614" s="309" t="s">
        <v>266</v>
      </c>
      <c r="I1614" s="309" t="s">
        <v>267</v>
      </c>
      <c r="J1614" s="311" t="s">
        <v>268</v>
      </c>
      <c r="K1614" s="294" t="s">
        <v>269</v>
      </c>
      <c r="L1614" s="281" t="s">
        <v>270</v>
      </c>
      <c r="M1614" s="283" t="s">
        <v>271</v>
      </c>
      <c r="N1614" s="283"/>
      <c r="O1614" s="283"/>
      <c r="P1614" s="283"/>
      <c r="Q1614" s="283"/>
      <c r="R1614" s="283"/>
      <c r="S1614" s="283"/>
      <c r="T1614" s="283"/>
      <c r="U1614" s="284"/>
      <c r="V1614" s="107"/>
      <c r="W1614" s="72"/>
      <c r="X1614" s="72"/>
      <c r="Y1614" s="72"/>
      <c r="Z1614" s="45">
        <v>7</v>
      </c>
      <c r="AA1614" s="65">
        <v>73</v>
      </c>
      <c r="AB1614" s="65">
        <v>84</v>
      </c>
      <c r="AC1614" s="25"/>
      <c r="AD1614" s="25"/>
      <c r="BA1614" s="228"/>
    </row>
    <row r="1615" spans="1:53" ht="15.75" thickBot="1" x14ac:dyDescent="0.3">
      <c r="A1615" s="88"/>
      <c r="B1615" s="323"/>
      <c r="C1615" s="295"/>
      <c r="D1615" s="295"/>
      <c r="E1615" s="308"/>
      <c r="F1615" s="295"/>
      <c r="G1615" s="310"/>
      <c r="H1615" s="310"/>
      <c r="I1615" s="310"/>
      <c r="J1615" s="312"/>
      <c r="K1615" s="295"/>
      <c r="L1615" s="282"/>
      <c r="M1615" s="285"/>
      <c r="N1615" s="285"/>
      <c r="O1615" s="285"/>
      <c r="P1615" s="285"/>
      <c r="Q1615" s="285"/>
      <c r="R1615" s="285"/>
      <c r="S1615" s="285"/>
      <c r="T1615" s="285"/>
      <c r="U1615" s="286"/>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9"/>
      <c r="N1616" s="279"/>
      <c r="O1616" s="279"/>
      <c r="P1616" s="279"/>
      <c r="Q1616" s="279"/>
      <c r="R1616" s="279"/>
      <c r="S1616" s="279"/>
      <c r="T1616" s="279"/>
      <c r="U1616" s="280"/>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9"/>
      <c r="N1617" s="279"/>
      <c r="O1617" s="279"/>
      <c r="P1617" s="279"/>
      <c r="Q1617" s="279"/>
      <c r="R1617" s="279"/>
      <c r="S1617" s="279"/>
      <c r="T1617" s="279"/>
      <c r="U1617" s="280"/>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9"/>
      <c r="N1618" s="279"/>
      <c r="O1618" s="279"/>
      <c r="P1618" s="279"/>
      <c r="Q1618" s="279"/>
      <c r="R1618" s="279"/>
      <c r="S1618" s="279"/>
      <c r="T1618" s="279"/>
      <c r="U1618" s="280"/>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9"/>
      <c r="N1619" s="279"/>
      <c r="O1619" s="279"/>
      <c r="P1619" s="279"/>
      <c r="Q1619" s="279"/>
      <c r="R1619" s="279"/>
      <c r="S1619" s="279"/>
      <c r="T1619" s="279"/>
      <c r="U1619" s="280"/>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9"/>
      <c r="N1620" s="279"/>
      <c r="O1620" s="279"/>
      <c r="P1620" s="279"/>
      <c r="Q1620" s="279"/>
      <c r="R1620" s="279"/>
      <c r="S1620" s="279"/>
      <c r="T1620" s="279"/>
      <c r="U1620" s="280"/>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9"/>
      <c r="N1621" s="279"/>
      <c r="O1621" s="279"/>
      <c r="P1621" s="279"/>
      <c r="Q1621" s="279"/>
      <c r="R1621" s="279"/>
      <c r="S1621" s="279"/>
      <c r="T1621" s="279"/>
      <c r="U1621" s="280"/>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9"/>
      <c r="N1622" s="279"/>
      <c r="O1622" s="279"/>
      <c r="P1622" s="279"/>
      <c r="Q1622" s="279"/>
      <c r="R1622" s="279"/>
      <c r="S1622" s="279"/>
      <c r="T1622" s="279"/>
      <c r="U1622" s="280"/>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9"/>
      <c r="N1623" s="279"/>
      <c r="O1623" s="279"/>
      <c r="P1623" s="279"/>
      <c r="Q1623" s="279"/>
      <c r="R1623" s="279"/>
      <c r="S1623" s="279"/>
      <c r="T1623" s="279"/>
      <c r="U1623" s="280"/>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9"/>
      <c r="N1624" s="279"/>
      <c r="O1624" s="279"/>
      <c r="P1624" s="279"/>
      <c r="Q1624" s="279"/>
      <c r="R1624" s="279"/>
      <c r="S1624" s="279"/>
      <c r="T1624" s="279"/>
      <c r="U1624" s="280"/>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9"/>
      <c r="N1625" s="279"/>
      <c r="O1625" s="279"/>
      <c r="P1625" s="279"/>
      <c r="Q1625" s="279"/>
      <c r="R1625" s="279"/>
      <c r="S1625" s="279"/>
      <c r="T1625" s="279"/>
      <c r="U1625" s="280"/>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9"/>
      <c r="N1626" s="279"/>
      <c r="O1626" s="279"/>
      <c r="P1626" s="279"/>
      <c r="Q1626" s="279"/>
      <c r="R1626" s="279"/>
      <c r="S1626" s="279"/>
      <c r="T1626" s="279"/>
      <c r="U1626" s="280"/>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9"/>
      <c r="N1627" s="279"/>
      <c r="O1627" s="279"/>
      <c r="P1627" s="279"/>
      <c r="Q1627" s="279"/>
      <c r="R1627" s="279"/>
      <c r="S1627" s="279"/>
      <c r="T1627" s="279"/>
      <c r="U1627" s="280"/>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9"/>
      <c r="N1628" s="279"/>
      <c r="O1628" s="279"/>
      <c r="P1628" s="279"/>
      <c r="Q1628" s="279"/>
      <c r="R1628" s="279"/>
      <c r="S1628" s="279"/>
      <c r="T1628" s="279"/>
      <c r="U1628" s="280"/>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9"/>
      <c r="N1629" s="279"/>
      <c r="O1629" s="279"/>
      <c r="P1629" s="279"/>
      <c r="Q1629" s="279"/>
      <c r="R1629" s="279"/>
      <c r="S1629" s="279"/>
      <c r="T1629" s="279"/>
      <c r="U1629" s="280"/>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9"/>
      <c r="N1630" s="279"/>
      <c r="O1630" s="279"/>
      <c r="P1630" s="279"/>
      <c r="Q1630" s="279"/>
      <c r="R1630" s="279"/>
      <c r="S1630" s="279"/>
      <c r="T1630" s="279"/>
      <c r="U1630" s="280"/>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9"/>
      <c r="N1631" s="279"/>
      <c r="O1631" s="279"/>
      <c r="P1631" s="279"/>
      <c r="Q1631" s="279"/>
      <c r="R1631" s="279"/>
      <c r="S1631" s="279"/>
      <c r="T1631" s="279"/>
      <c r="U1631" s="280"/>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9"/>
      <c r="N1632" s="279"/>
      <c r="O1632" s="279"/>
      <c r="P1632" s="279"/>
      <c r="Q1632" s="279"/>
      <c r="R1632" s="279"/>
      <c r="S1632" s="279"/>
      <c r="T1632" s="279"/>
      <c r="U1632" s="280"/>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9"/>
      <c r="N1633" s="279"/>
      <c r="O1633" s="279"/>
      <c r="P1633" s="279"/>
      <c r="Q1633" s="279"/>
      <c r="R1633" s="279"/>
      <c r="S1633" s="279"/>
      <c r="T1633" s="279"/>
      <c r="U1633" s="280"/>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9"/>
      <c r="N1634" s="279"/>
      <c r="O1634" s="279"/>
      <c r="P1634" s="279"/>
      <c r="Q1634" s="279"/>
      <c r="R1634" s="279"/>
      <c r="S1634" s="279"/>
      <c r="T1634" s="279"/>
      <c r="U1634" s="280"/>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9"/>
      <c r="N1635" s="279"/>
      <c r="O1635" s="279"/>
      <c r="P1635" s="279"/>
      <c r="Q1635" s="279"/>
      <c r="R1635" s="279"/>
      <c r="S1635" s="279"/>
      <c r="T1635" s="279"/>
      <c r="U1635" s="280"/>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9"/>
      <c r="N1636" s="279"/>
      <c r="O1636" s="279"/>
      <c r="P1636" s="279"/>
      <c r="Q1636" s="279"/>
      <c r="R1636" s="279"/>
      <c r="S1636" s="279"/>
      <c r="T1636" s="279"/>
      <c r="U1636" s="280"/>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9"/>
      <c r="N1637" s="279"/>
      <c r="O1637" s="279"/>
      <c r="P1637" s="279"/>
      <c r="Q1637" s="279"/>
      <c r="R1637" s="279"/>
      <c r="S1637" s="279"/>
      <c r="T1637" s="279"/>
      <c r="U1637" s="280"/>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9"/>
      <c r="N1638" s="279"/>
      <c r="O1638" s="279"/>
      <c r="P1638" s="279"/>
      <c r="Q1638" s="279"/>
      <c r="R1638" s="279"/>
      <c r="S1638" s="279"/>
      <c r="T1638" s="279"/>
      <c r="U1638" s="280"/>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9"/>
      <c r="N1639" s="279"/>
      <c r="O1639" s="279"/>
      <c r="P1639" s="279"/>
      <c r="Q1639" s="279"/>
      <c r="R1639" s="279"/>
      <c r="S1639" s="279"/>
      <c r="T1639" s="279"/>
      <c r="U1639" s="280"/>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9"/>
      <c r="N1640" s="279"/>
      <c r="O1640" s="279"/>
      <c r="P1640" s="279"/>
      <c r="Q1640" s="279"/>
      <c r="R1640" s="279"/>
      <c r="S1640" s="279"/>
      <c r="T1640" s="279"/>
      <c r="U1640" s="280"/>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20" t="s">
        <v>383</v>
      </c>
      <c r="C1641" s="321"/>
      <c r="D1641" s="79"/>
      <c r="E1641" s="80"/>
      <c r="F1641" s="80"/>
      <c r="G1641" s="81"/>
      <c r="H1641" s="192"/>
      <c r="I1641" s="192"/>
      <c r="J1641" s="192"/>
      <c r="K1641" s="82"/>
      <c r="L1641" s="320" t="s">
        <v>306</v>
      </c>
      <c r="M1641" s="331"/>
      <c r="N1641" s="331"/>
      <c r="O1641" s="331"/>
      <c r="P1641" s="331"/>
      <c r="Q1641" s="331"/>
      <c r="R1641" s="331"/>
      <c r="S1641" s="331"/>
      <c r="T1641" s="331"/>
      <c r="U1641" s="321"/>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20" t="s">
        <v>307</v>
      </c>
      <c r="C1642" s="321"/>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3" t="s">
        <v>222</v>
      </c>
      <c r="C1646" s="314"/>
      <c r="D1646" s="315" t="s">
        <v>223</v>
      </c>
      <c r="E1646" s="306"/>
      <c r="F1646" s="88"/>
      <c r="G1646" s="316" t="s">
        <v>224</v>
      </c>
      <c r="H1646" s="317"/>
      <c r="I1646" s="28">
        <f>SUM(E1657:E1681)</f>
        <v>0</v>
      </c>
      <c r="J1646" s="318" t="s">
        <v>225</v>
      </c>
      <c r="K1646" s="319"/>
      <c r="L1646" s="306"/>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6" t="s">
        <v>226</v>
      </c>
      <c r="AA1646" s="297"/>
      <c r="AB1646" s="298"/>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5" t="s">
        <v>230</v>
      </c>
      <c r="H1647" s="306"/>
      <c r="I1647" s="33">
        <f>E1648-I1646</f>
        <v>0</v>
      </c>
      <c r="J1647" s="290" t="s">
        <v>231</v>
      </c>
      <c r="K1647" s="291"/>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9" t="s">
        <v>232</v>
      </c>
      <c r="AA1647" s="301" t="s">
        <v>233</v>
      </c>
      <c r="AB1647" s="302"/>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2" t="s">
        <v>237</v>
      </c>
      <c r="H1648" s="293"/>
      <c r="I1648" s="35">
        <f>IF(E1648=0,0,12-(MOD(I1646,12)))</f>
        <v>0</v>
      </c>
      <c r="J1648" s="290" t="s">
        <v>238</v>
      </c>
      <c r="K1648" s="291"/>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0"/>
      <c r="AA1648" s="303"/>
      <c r="AB1648" s="304"/>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2" t="s">
        <v>242</v>
      </c>
      <c r="H1649" s="43" t="s">
        <v>243</v>
      </c>
      <c r="I1649" s="35">
        <f>IF(E1649&lt;&gt;0,1,0)</f>
        <v>0</v>
      </c>
      <c r="J1649" s="292" t="s">
        <v>244</v>
      </c>
      <c r="K1649" s="293"/>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3"/>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2" t="s">
        <v>251</v>
      </c>
      <c r="H1651" s="51" t="s">
        <v>252</v>
      </c>
      <c r="I1651" s="112">
        <f>E1650</f>
        <v>0</v>
      </c>
      <c r="J1651" s="324" t="s">
        <v>253</v>
      </c>
      <c r="K1651" s="325"/>
      <c r="L1651" s="326"/>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3"/>
      <c r="H1652" s="47" t="s">
        <v>257</v>
      </c>
      <c r="I1652" s="35" t="str">
        <f>IF(E1650="","0",IF(AND(E1647="EUC",E1648=432), I1651+(203-E1649),IF(E1650=0,0,(E1650+(E1648-E1649)-1))))</f>
        <v>0</v>
      </c>
      <c r="J1652" s="287" t="str">
        <f>IFERROR(IF(OR(E1647="EUC",E1647="SS"),"---",IF(OR(P1646,S1646),"NO 2F Tethers for RPX!",IF(OR(P1648,S1648),"NO 6F Tethers for RPX!","---"))),"---")</f>
        <v>---</v>
      </c>
      <c r="K1652" s="288"/>
      <c r="L1652" s="289"/>
      <c r="M1652" s="287" t="str">
        <f>IF(E1649&gt;60,"Dead Count &gt;60: Consider Downsize","---")</f>
        <v>---</v>
      </c>
      <c r="N1652" s="288"/>
      <c r="O1652" s="288"/>
      <c r="P1652" s="288"/>
      <c r="Q1652" s="288"/>
      <c r="R1652" s="288"/>
      <c r="S1652" s="288"/>
      <c r="T1652" s="288"/>
      <c r="U1652" s="289"/>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7"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8"/>
      <c r="L1653" s="289"/>
      <c r="M1653" s="287" t="str">
        <f>IF(AND(OR(E1647="SS",E1647="RPX",E1647="EUC",E1647="RPX-T"),(OR(C1657="",C1657="Field SPL"))),"Cannot have FlexNap cables without tethers","---")</f>
        <v>---</v>
      </c>
      <c r="N1653" s="288"/>
      <c r="O1653" s="288"/>
      <c r="P1653" s="288"/>
      <c r="Q1653" s="288"/>
      <c r="R1653" s="288"/>
      <c r="S1653" s="288"/>
      <c r="T1653" s="288"/>
      <c r="U1653" s="289"/>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7" t="str">
        <f>IF(AND(OR(E1647="RPX", E1647="RPX-T", E1647="SS"),E1648=216),"NO 216 For RPX, RPX-T, OR SS CABLE","---")</f>
        <v>---</v>
      </c>
      <c r="K1654" s="288"/>
      <c r="L1654" s="289"/>
      <c r="M1654" s="287" t="str" cm="1">
        <f t="array" ref="M1654">IF(AND(E1647="",OR(C1657:C1681="FST",C1657:C1681="REV T",C1657:C1681="DBL REV",C1657:C1681="TPL REV", C1657:C1681="QD REV")),"Non-FlexNap cables cannot have tethers","---")</f>
        <v>---</v>
      </c>
      <c r="N1654" s="288"/>
      <c r="O1654" s="288"/>
      <c r="P1654" s="288"/>
      <c r="Q1654" s="288"/>
      <c r="R1654" s="288"/>
      <c r="S1654" s="288"/>
      <c r="T1654" s="288"/>
      <c r="U1654" s="289"/>
      <c r="V1654" s="25"/>
      <c r="W1654" s="58"/>
      <c r="X1654" s="58"/>
      <c r="Y1654" s="25"/>
      <c r="Z1654" s="45">
        <v>6</v>
      </c>
      <c r="AA1654" s="65">
        <v>61</v>
      </c>
      <c r="AB1654" s="65">
        <v>72</v>
      </c>
      <c r="AC1654" s="25"/>
      <c r="AD1654" s="25"/>
      <c r="BA1654" s="226"/>
    </row>
    <row r="1655" spans="1:53" ht="15.75" customHeight="1" thickBot="1" x14ac:dyDescent="0.3">
      <c r="A1655" s="88"/>
      <c r="B1655" s="322" t="s">
        <v>260</v>
      </c>
      <c r="C1655" s="294" t="s">
        <v>261</v>
      </c>
      <c r="D1655" s="294" t="s">
        <v>262</v>
      </c>
      <c r="E1655" s="307" t="s">
        <v>263</v>
      </c>
      <c r="F1655" s="294" t="s">
        <v>264</v>
      </c>
      <c r="G1655" s="309" t="s">
        <v>265</v>
      </c>
      <c r="H1655" s="309" t="s">
        <v>266</v>
      </c>
      <c r="I1655" s="309" t="s">
        <v>267</v>
      </c>
      <c r="J1655" s="311" t="s">
        <v>268</v>
      </c>
      <c r="K1655" s="294" t="s">
        <v>269</v>
      </c>
      <c r="L1655" s="281" t="s">
        <v>270</v>
      </c>
      <c r="M1655" s="283" t="s">
        <v>271</v>
      </c>
      <c r="N1655" s="283"/>
      <c r="O1655" s="283"/>
      <c r="P1655" s="283"/>
      <c r="Q1655" s="283"/>
      <c r="R1655" s="283"/>
      <c r="S1655" s="283"/>
      <c r="T1655" s="283"/>
      <c r="U1655" s="284"/>
      <c r="V1655" s="107"/>
      <c r="W1655" s="72"/>
      <c r="X1655" s="72"/>
      <c r="Y1655" s="72"/>
      <c r="Z1655" s="45">
        <v>7</v>
      </c>
      <c r="AA1655" s="65">
        <v>73</v>
      </c>
      <c r="AB1655" s="65">
        <v>84</v>
      </c>
      <c r="AC1655" s="25"/>
      <c r="AD1655" s="25"/>
      <c r="BA1655" s="228"/>
    </row>
    <row r="1656" spans="1:53" ht="15.75" thickBot="1" x14ac:dyDescent="0.3">
      <c r="A1656" s="88"/>
      <c r="B1656" s="323"/>
      <c r="C1656" s="295"/>
      <c r="D1656" s="295"/>
      <c r="E1656" s="308"/>
      <c r="F1656" s="295"/>
      <c r="G1656" s="310"/>
      <c r="H1656" s="310"/>
      <c r="I1656" s="310"/>
      <c r="J1656" s="312"/>
      <c r="K1656" s="295"/>
      <c r="L1656" s="282"/>
      <c r="M1656" s="285"/>
      <c r="N1656" s="285"/>
      <c r="O1656" s="285"/>
      <c r="P1656" s="285"/>
      <c r="Q1656" s="285"/>
      <c r="R1656" s="285"/>
      <c r="S1656" s="285"/>
      <c r="T1656" s="285"/>
      <c r="U1656" s="286"/>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9"/>
      <c r="N1657" s="279"/>
      <c r="O1657" s="279"/>
      <c r="P1657" s="279"/>
      <c r="Q1657" s="279"/>
      <c r="R1657" s="279"/>
      <c r="S1657" s="279"/>
      <c r="T1657" s="279"/>
      <c r="U1657" s="280"/>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9"/>
      <c r="N1658" s="279"/>
      <c r="O1658" s="279"/>
      <c r="P1658" s="279"/>
      <c r="Q1658" s="279"/>
      <c r="R1658" s="279"/>
      <c r="S1658" s="279"/>
      <c r="T1658" s="279"/>
      <c r="U1658" s="280"/>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9"/>
      <c r="N1659" s="279"/>
      <c r="O1659" s="279"/>
      <c r="P1659" s="279"/>
      <c r="Q1659" s="279"/>
      <c r="R1659" s="279"/>
      <c r="S1659" s="279"/>
      <c r="T1659" s="279"/>
      <c r="U1659" s="280"/>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9"/>
      <c r="N1660" s="279"/>
      <c r="O1660" s="279"/>
      <c r="P1660" s="279"/>
      <c r="Q1660" s="279"/>
      <c r="R1660" s="279"/>
      <c r="S1660" s="279"/>
      <c r="T1660" s="279"/>
      <c r="U1660" s="280"/>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9"/>
      <c r="N1661" s="279"/>
      <c r="O1661" s="279"/>
      <c r="P1661" s="279"/>
      <c r="Q1661" s="279"/>
      <c r="R1661" s="279"/>
      <c r="S1661" s="279"/>
      <c r="T1661" s="279"/>
      <c r="U1661" s="280"/>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9"/>
      <c r="N1662" s="279"/>
      <c r="O1662" s="279"/>
      <c r="P1662" s="279"/>
      <c r="Q1662" s="279"/>
      <c r="R1662" s="279"/>
      <c r="S1662" s="279"/>
      <c r="T1662" s="279"/>
      <c r="U1662" s="280"/>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9"/>
      <c r="N1663" s="279"/>
      <c r="O1663" s="279"/>
      <c r="P1663" s="279"/>
      <c r="Q1663" s="279"/>
      <c r="R1663" s="279"/>
      <c r="S1663" s="279"/>
      <c r="T1663" s="279"/>
      <c r="U1663" s="280"/>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9"/>
      <c r="N1664" s="279"/>
      <c r="O1664" s="279"/>
      <c r="P1664" s="279"/>
      <c r="Q1664" s="279"/>
      <c r="R1664" s="279"/>
      <c r="S1664" s="279"/>
      <c r="T1664" s="279"/>
      <c r="U1664" s="280"/>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9"/>
      <c r="N1665" s="279"/>
      <c r="O1665" s="279"/>
      <c r="P1665" s="279"/>
      <c r="Q1665" s="279"/>
      <c r="R1665" s="279"/>
      <c r="S1665" s="279"/>
      <c r="T1665" s="279"/>
      <c r="U1665" s="280"/>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9"/>
      <c r="N1666" s="279"/>
      <c r="O1666" s="279"/>
      <c r="P1666" s="279"/>
      <c r="Q1666" s="279"/>
      <c r="R1666" s="279"/>
      <c r="S1666" s="279"/>
      <c r="T1666" s="279"/>
      <c r="U1666" s="280"/>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9"/>
      <c r="N1667" s="279"/>
      <c r="O1667" s="279"/>
      <c r="P1667" s="279"/>
      <c r="Q1667" s="279"/>
      <c r="R1667" s="279"/>
      <c r="S1667" s="279"/>
      <c r="T1667" s="279"/>
      <c r="U1667" s="280"/>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9"/>
      <c r="N1668" s="279"/>
      <c r="O1668" s="279"/>
      <c r="P1668" s="279"/>
      <c r="Q1668" s="279"/>
      <c r="R1668" s="279"/>
      <c r="S1668" s="279"/>
      <c r="T1668" s="279"/>
      <c r="U1668" s="280"/>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9"/>
      <c r="N1669" s="279"/>
      <c r="O1669" s="279"/>
      <c r="P1669" s="279"/>
      <c r="Q1669" s="279"/>
      <c r="R1669" s="279"/>
      <c r="S1669" s="279"/>
      <c r="T1669" s="279"/>
      <c r="U1669" s="280"/>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9"/>
      <c r="N1670" s="279"/>
      <c r="O1670" s="279"/>
      <c r="P1670" s="279"/>
      <c r="Q1670" s="279"/>
      <c r="R1670" s="279"/>
      <c r="S1670" s="279"/>
      <c r="T1670" s="279"/>
      <c r="U1670" s="280"/>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9"/>
      <c r="N1671" s="279"/>
      <c r="O1671" s="279"/>
      <c r="P1671" s="279"/>
      <c r="Q1671" s="279"/>
      <c r="R1671" s="279"/>
      <c r="S1671" s="279"/>
      <c r="T1671" s="279"/>
      <c r="U1671" s="280"/>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9"/>
      <c r="N1672" s="279"/>
      <c r="O1672" s="279"/>
      <c r="P1672" s="279"/>
      <c r="Q1672" s="279"/>
      <c r="R1672" s="279"/>
      <c r="S1672" s="279"/>
      <c r="T1672" s="279"/>
      <c r="U1672" s="280"/>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9"/>
      <c r="N1673" s="279"/>
      <c r="O1673" s="279"/>
      <c r="P1673" s="279"/>
      <c r="Q1673" s="279"/>
      <c r="R1673" s="279"/>
      <c r="S1673" s="279"/>
      <c r="T1673" s="279"/>
      <c r="U1673" s="280"/>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9"/>
      <c r="N1674" s="279"/>
      <c r="O1674" s="279"/>
      <c r="P1674" s="279"/>
      <c r="Q1674" s="279"/>
      <c r="R1674" s="279"/>
      <c r="S1674" s="279"/>
      <c r="T1674" s="279"/>
      <c r="U1674" s="280"/>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9"/>
      <c r="N1675" s="279"/>
      <c r="O1675" s="279"/>
      <c r="P1675" s="279"/>
      <c r="Q1675" s="279"/>
      <c r="R1675" s="279"/>
      <c r="S1675" s="279"/>
      <c r="T1675" s="279"/>
      <c r="U1675" s="280"/>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9"/>
      <c r="N1676" s="279"/>
      <c r="O1676" s="279"/>
      <c r="P1676" s="279"/>
      <c r="Q1676" s="279"/>
      <c r="R1676" s="279"/>
      <c r="S1676" s="279"/>
      <c r="T1676" s="279"/>
      <c r="U1676" s="280"/>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9"/>
      <c r="N1677" s="279"/>
      <c r="O1677" s="279"/>
      <c r="P1677" s="279"/>
      <c r="Q1677" s="279"/>
      <c r="R1677" s="279"/>
      <c r="S1677" s="279"/>
      <c r="T1677" s="279"/>
      <c r="U1677" s="280"/>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9"/>
      <c r="N1678" s="279"/>
      <c r="O1678" s="279"/>
      <c r="P1678" s="279"/>
      <c r="Q1678" s="279"/>
      <c r="R1678" s="279"/>
      <c r="S1678" s="279"/>
      <c r="T1678" s="279"/>
      <c r="U1678" s="280"/>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9"/>
      <c r="N1679" s="279"/>
      <c r="O1679" s="279"/>
      <c r="P1679" s="279"/>
      <c r="Q1679" s="279"/>
      <c r="R1679" s="279"/>
      <c r="S1679" s="279"/>
      <c r="T1679" s="279"/>
      <c r="U1679" s="280"/>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9"/>
      <c r="N1680" s="279"/>
      <c r="O1680" s="279"/>
      <c r="P1680" s="279"/>
      <c r="Q1680" s="279"/>
      <c r="R1680" s="279"/>
      <c r="S1680" s="279"/>
      <c r="T1680" s="279"/>
      <c r="U1680" s="280"/>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9"/>
      <c r="N1681" s="279"/>
      <c r="O1681" s="279"/>
      <c r="P1681" s="279"/>
      <c r="Q1681" s="279"/>
      <c r="R1681" s="279"/>
      <c r="S1681" s="279"/>
      <c r="T1681" s="279"/>
      <c r="U1681" s="280"/>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20" t="s">
        <v>385</v>
      </c>
      <c r="C1682" s="321"/>
      <c r="D1682" s="79"/>
      <c r="E1682" s="80"/>
      <c r="F1682" s="80"/>
      <c r="G1682" s="81"/>
      <c r="H1682" s="192"/>
      <c r="I1682" s="192"/>
      <c r="J1682" s="192"/>
      <c r="K1682" s="82"/>
      <c r="L1682" s="320" t="s">
        <v>306</v>
      </c>
      <c r="M1682" s="331"/>
      <c r="N1682" s="331"/>
      <c r="O1682" s="331"/>
      <c r="P1682" s="331"/>
      <c r="Q1682" s="331"/>
      <c r="R1682" s="331"/>
      <c r="S1682" s="331"/>
      <c r="T1682" s="331"/>
      <c r="U1682" s="321"/>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20" t="s">
        <v>307</v>
      </c>
      <c r="C1683" s="321"/>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3" t="s">
        <v>222</v>
      </c>
      <c r="C1687" s="314"/>
      <c r="D1687" s="315" t="s">
        <v>223</v>
      </c>
      <c r="E1687" s="306"/>
      <c r="F1687" s="88"/>
      <c r="G1687" s="316" t="s">
        <v>224</v>
      </c>
      <c r="H1687" s="317"/>
      <c r="I1687" s="28">
        <f>SUM(E1698:E1722)</f>
        <v>0</v>
      </c>
      <c r="J1687" s="318" t="s">
        <v>225</v>
      </c>
      <c r="K1687" s="319"/>
      <c r="L1687" s="306"/>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6" t="s">
        <v>226</v>
      </c>
      <c r="AA1687" s="297"/>
      <c r="AB1687" s="298"/>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5" t="s">
        <v>230</v>
      </c>
      <c r="H1688" s="306"/>
      <c r="I1688" s="33">
        <f>E1689-I1687</f>
        <v>0</v>
      </c>
      <c r="J1688" s="290" t="s">
        <v>231</v>
      </c>
      <c r="K1688" s="291"/>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9" t="s">
        <v>232</v>
      </c>
      <c r="AA1688" s="301" t="s">
        <v>233</v>
      </c>
      <c r="AB1688" s="302"/>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2" t="s">
        <v>237</v>
      </c>
      <c r="H1689" s="293"/>
      <c r="I1689" s="35">
        <f>IF(E1689=0,0,12-(MOD(I1687,12)))</f>
        <v>0</v>
      </c>
      <c r="J1689" s="290" t="s">
        <v>238</v>
      </c>
      <c r="K1689" s="291"/>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0"/>
      <c r="AA1689" s="303"/>
      <c r="AB1689" s="304"/>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2" t="s">
        <v>242</v>
      </c>
      <c r="H1690" s="43" t="s">
        <v>243</v>
      </c>
      <c r="I1690" s="35">
        <f>IF(E1690&lt;&gt;0,1,0)</f>
        <v>0</v>
      </c>
      <c r="J1690" s="292" t="s">
        <v>244</v>
      </c>
      <c r="K1690" s="293"/>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3"/>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2" t="s">
        <v>251</v>
      </c>
      <c r="H1692" s="51" t="s">
        <v>252</v>
      </c>
      <c r="I1692" s="112">
        <f>E1691</f>
        <v>0</v>
      </c>
      <c r="J1692" s="324" t="s">
        <v>253</v>
      </c>
      <c r="K1692" s="325"/>
      <c r="L1692" s="326"/>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3"/>
      <c r="H1693" s="47" t="s">
        <v>257</v>
      </c>
      <c r="I1693" s="35" t="str">
        <f>IF(E1691="","0",IF(AND(E1688="EUC",E1689=432), I1692+(203-E1690),IF(E1691=0,0,(E1691+(E1689-E1690)-1))))</f>
        <v>0</v>
      </c>
      <c r="J1693" s="287" t="str">
        <f>IFERROR(IF(OR(E1688="EUC",E1688="SS"),"---",IF(OR(P1687,S1687),"NO 2F Tethers for RPX!",IF(OR(P1689,S1689),"NO 6F Tethers for RPX!","---"))),"---")</f>
        <v>---</v>
      </c>
      <c r="K1693" s="288"/>
      <c r="L1693" s="289"/>
      <c r="M1693" s="287" t="str">
        <f>IF(E1690&gt;60,"Dead Count &gt;60: Consider Downsize","---")</f>
        <v>---</v>
      </c>
      <c r="N1693" s="288"/>
      <c r="O1693" s="288"/>
      <c r="P1693" s="288"/>
      <c r="Q1693" s="288"/>
      <c r="R1693" s="288"/>
      <c r="S1693" s="288"/>
      <c r="T1693" s="288"/>
      <c r="U1693" s="289"/>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7"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8"/>
      <c r="L1694" s="289"/>
      <c r="M1694" s="287" t="str">
        <f>IF(AND(OR(E1688="SS",E1688="RPX",E1688="EUC",E1688="RPX-T"),(OR(C1698="",C1698="Field SPL"))),"Cannot have FlexNap cables without tethers","---")</f>
        <v>---</v>
      </c>
      <c r="N1694" s="288"/>
      <c r="O1694" s="288"/>
      <c r="P1694" s="288"/>
      <c r="Q1694" s="288"/>
      <c r="R1694" s="288"/>
      <c r="S1694" s="288"/>
      <c r="T1694" s="288"/>
      <c r="U1694" s="289"/>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7" t="str">
        <f>IF(AND(OR(E1688="RPX", E1688="RPX-T", E1688="SS"),E1689=216),"NO 216 For RPX, RPX-T, OR SS CABLE","---")</f>
        <v>---</v>
      </c>
      <c r="K1695" s="288"/>
      <c r="L1695" s="289"/>
      <c r="M1695" s="287" t="str" cm="1">
        <f t="array" ref="M1695">IF(AND(E1688="",OR(C1698:C1722="FST",C1698:C1722="REV T",C1698:C1722="DBL REV",C1698:C1722="TPL REV", C1698:C1722="QD REV")),"Non-FlexNap cables cannot have tethers","---")</f>
        <v>---</v>
      </c>
      <c r="N1695" s="288"/>
      <c r="O1695" s="288"/>
      <c r="P1695" s="288"/>
      <c r="Q1695" s="288"/>
      <c r="R1695" s="288"/>
      <c r="S1695" s="288"/>
      <c r="T1695" s="288"/>
      <c r="U1695" s="289"/>
      <c r="V1695" s="25"/>
      <c r="W1695" s="58"/>
      <c r="X1695" s="58"/>
      <c r="Y1695" s="25"/>
      <c r="Z1695" s="45">
        <v>6</v>
      </c>
      <c r="AA1695" s="65">
        <v>61</v>
      </c>
      <c r="AB1695" s="65">
        <v>72</v>
      </c>
      <c r="AC1695" s="25"/>
      <c r="AD1695" s="25"/>
      <c r="BA1695" s="226"/>
    </row>
    <row r="1696" spans="1:53" ht="15.75" customHeight="1" thickBot="1" x14ac:dyDescent="0.3">
      <c r="A1696" s="88"/>
      <c r="B1696" s="322" t="s">
        <v>260</v>
      </c>
      <c r="C1696" s="294" t="s">
        <v>261</v>
      </c>
      <c r="D1696" s="294" t="s">
        <v>262</v>
      </c>
      <c r="E1696" s="307" t="s">
        <v>263</v>
      </c>
      <c r="F1696" s="294" t="s">
        <v>264</v>
      </c>
      <c r="G1696" s="309" t="s">
        <v>265</v>
      </c>
      <c r="H1696" s="309" t="s">
        <v>266</v>
      </c>
      <c r="I1696" s="309" t="s">
        <v>267</v>
      </c>
      <c r="J1696" s="311" t="s">
        <v>268</v>
      </c>
      <c r="K1696" s="294" t="s">
        <v>269</v>
      </c>
      <c r="L1696" s="281" t="s">
        <v>270</v>
      </c>
      <c r="M1696" s="283" t="s">
        <v>271</v>
      </c>
      <c r="N1696" s="283"/>
      <c r="O1696" s="283"/>
      <c r="P1696" s="283"/>
      <c r="Q1696" s="283"/>
      <c r="R1696" s="283"/>
      <c r="S1696" s="283"/>
      <c r="T1696" s="283"/>
      <c r="U1696" s="284"/>
      <c r="V1696" s="107"/>
      <c r="W1696" s="72"/>
      <c r="X1696" s="72"/>
      <c r="Y1696" s="72"/>
      <c r="Z1696" s="45">
        <v>7</v>
      </c>
      <c r="AA1696" s="65">
        <v>73</v>
      </c>
      <c r="AB1696" s="65">
        <v>84</v>
      </c>
      <c r="AC1696" s="25"/>
      <c r="AD1696" s="25"/>
      <c r="BA1696" s="228"/>
    </row>
    <row r="1697" spans="1:53" ht="15.75" thickBot="1" x14ac:dyDescent="0.3">
      <c r="A1697" s="88"/>
      <c r="B1697" s="323"/>
      <c r="C1697" s="295"/>
      <c r="D1697" s="295"/>
      <c r="E1697" s="308"/>
      <c r="F1697" s="295"/>
      <c r="G1697" s="310"/>
      <c r="H1697" s="310"/>
      <c r="I1697" s="310"/>
      <c r="J1697" s="312"/>
      <c r="K1697" s="295"/>
      <c r="L1697" s="282"/>
      <c r="M1697" s="285"/>
      <c r="N1697" s="285"/>
      <c r="O1697" s="285"/>
      <c r="P1697" s="285"/>
      <c r="Q1697" s="285"/>
      <c r="R1697" s="285"/>
      <c r="S1697" s="285"/>
      <c r="T1697" s="285"/>
      <c r="U1697" s="286"/>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9"/>
      <c r="N1698" s="279"/>
      <c r="O1698" s="279"/>
      <c r="P1698" s="279"/>
      <c r="Q1698" s="279"/>
      <c r="R1698" s="279"/>
      <c r="S1698" s="279"/>
      <c r="T1698" s="279"/>
      <c r="U1698" s="280"/>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9"/>
      <c r="N1699" s="279"/>
      <c r="O1699" s="279"/>
      <c r="P1699" s="279"/>
      <c r="Q1699" s="279"/>
      <c r="R1699" s="279"/>
      <c r="S1699" s="279"/>
      <c r="T1699" s="279"/>
      <c r="U1699" s="280"/>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9"/>
      <c r="N1700" s="279"/>
      <c r="O1700" s="279"/>
      <c r="P1700" s="279"/>
      <c r="Q1700" s="279"/>
      <c r="R1700" s="279"/>
      <c r="S1700" s="279"/>
      <c r="T1700" s="279"/>
      <c r="U1700" s="280"/>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9"/>
      <c r="N1701" s="279"/>
      <c r="O1701" s="279"/>
      <c r="P1701" s="279"/>
      <c r="Q1701" s="279"/>
      <c r="R1701" s="279"/>
      <c r="S1701" s="279"/>
      <c r="T1701" s="279"/>
      <c r="U1701" s="280"/>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9"/>
      <c r="N1702" s="279"/>
      <c r="O1702" s="279"/>
      <c r="P1702" s="279"/>
      <c r="Q1702" s="279"/>
      <c r="R1702" s="279"/>
      <c r="S1702" s="279"/>
      <c r="T1702" s="279"/>
      <c r="U1702" s="280"/>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9"/>
      <c r="N1703" s="279"/>
      <c r="O1703" s="279"/>
      <c r="P1703" s="279"/>
      <c r="Q1703" s="279"/>
      <c r="R1703" s="279"/>
      <c r="S1703" s="279"/>
      <c r="T1703" s="279"/>
      <c r="U1703" s="280"/>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9"/>
      <c r="N1704" s="279"/>
      <c r="O1704" s="279"/>
      <c r="P1704" s="279"/>
      <c r="Q1704" s="279"/>
      <c r="R1704" s="279"/>
      <c r="S1704" s="279"/>
      <c r="T1704" s="279"/>
      <c r="U1704" s="280"/>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9"/>
      <c r="N1705" s="279"/>
      <c r="O1705" s="279"/>
      <c r="P1705" s="279"/>
      <c r="Q1705" s="279"/>
      <c r="R1705" s="279"/>
      <c r="S1705" s="279"/>
      <c r="T1705" s="279"/>
      <c r="U1705" s="280"/>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9"/>
      <c r="N1706" s="279"/>
      <c r="O1706" s="279"/>
      <c r="P1706" s="279"/>
      <c r="Q1706" s="279"/>
      <c r="R1706" s="279"/>
      <c r="S1706" s="279"/>
      <c r="T1706" s="279"/>
      <c r="U1706" s="280"/>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9"/>
      <c r="N1707" s="279"/>
      <c r="O1707" s="279"/>
      <c r="P1707" s="279"/>
      <c r="Q1707" s="279"/>
      <c r="R1707" s="279"/>
      <c r="S1707" s="279"/>
      <c r="T1707" s="279"/>
      <c r="U1707" s="280"/>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9"/>
      <c r="N1708" s="279"/>
      <c r="O1708" s="279"/>
      <c r="P1708" s="279"/>
      <c r="Q1708" s="279"/>
      <c r="R1708" s="279"/>
      <c r="S1708" s="279"/>
      <c r="T1708" s="279"/>
      <c r="U1708" s="280"/>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9"/>
      <c r="N1709" s="279"/>
      <c r="O1709" s="279"/>
      <c r="P1709" s="279"/>
      <c r="Q1709" s="279"/>
      <c r="R1709" s="279"/>
      <c r="S1709" s="279"/>
      <c r="T1709" s="279"/>
      <c r="U1709" s="280"/>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9"/>
      <c r="N1710" s="279"/>
      <c r="O1710" s="279"/>
      <c r="P1710" s="279"/>
      <c r="Q1710" s="279"/>
      <c r="R1710" s="279"/>
      <c r="S1710" s="279"/>
      <c r="T1710" s="279"/>
      <c r="U1710" s="280"/>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9"/>
      <c r="N1711" s="279"/>
      <c r="O1711" s="279"/>
      <c r="P1711" s="279"/>
      <c r="Q1711" s="279"/>
      <c r="R1711" s="279"/>
      <c r="S1711" s="279"/>
      <c r="T1711" s="279"/>
      <c r="U1711" s="280"/>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9"/>
      <c r="N1712" s="279"/>
      <c r="O1712" s="279"/>
      <c r="P1712" s="279"/>
      <c r="Q1712" s="279"/>
      <c r="R1712" s="279"/>
      <c r="S1712" s="279"/>
      <c r="T1712" s="279"/>
      <c r="U1712" s="280"/>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9"/>
      <c r="N1713" s="279"/>
      <c r="O1713" s="279"/>
      <c r="P1713" s="279"/>
      <c r="Q1713" s="279"/>
      <c r="R1713" s="279"/>
      <c r="S1713" s="279"/>
      <c r="T1713" s="279"/>
      <c r="U1713" s="280"/>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9"/>
      <c r="N1714" s="279"/>
      <c r="O1714" s="279"/>
      <c r="P1714" s="279"/>
      <c r="Q1714" s="279"/>
      <c r="R1714" s="279"/>
      <c r="S1714" s="279"/>
      <c r="T1714" s="279"/>
      <c r="U1714" s="280"/>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9"/>
      <c r="N1715" s="279"/>
      <c r="O1715" s="279"/>
      <c r="P1715" s="279"/>
      <c r="Q1715" s="279"/>
      <c r="R1715" s="279"/>
      <c r="S1715" s="279"/>
      <c r="T1715" s="279"/>
      <c r="U1715" s="280"/>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9"/>
      <c r="N1716" s="279"/>
      <c r="O1716" s="279"/>
      <c r="P1716" s="279"/>
      <c r="Q1716" s="279"/>
      <c r="R1716" s="279"/>
      <c r="S1716" s="279"/>
      <c r="T1716" s="279"/>
      <c r="U1716" s="280"/>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9"/>
      <c r="N1717" s="279"/>
      <c r="O1717" s="279"/>
      <c r="P1717" s="279"/>
      <c r="Q1717" s="279"/>
      <c r="R1717" s="279"/>
      <c r="S1717" s="279"/>
      <c r="T1717" s="279"/>
      <c r="U1717" s="280"/>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9"/>
      <c r="N1718" s="279"/>
      <c r="O1718" s="279"/>
      <c r="P1718" s="279"/>
      <c r="Q1718" s="279"/>
      <c r="R1718" s="279"/>
      <c r="S1718" s="279"/>
      <c r="T1718" s="279"/>
      <c r="U1718" s="280"/>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9"/>
      <c r="N1719" s="279"/>
      <c r="O1719" s="279"/>
      <c r="P1719" s="279"/>
      <c r="Q1719" s="279"/>
      <c r="R1719" s="279"/>
      <c r="S1719" s="279"/>
      <c r="T1719" s="279"/>
      <c r="U1719" s="280"/>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9"/>
      <c r="N1720" s="279"/>
      <c r="O1720" s="279"/>
      <c r="P1720" s="279"/>
      <c r="Q1720" s="279"/>
      <c r="R1720" s="279"/>
      <c r="S1720" s="279"/>
      <c r="T1720" s="279"/>
      <c r="U1720" s="280"/>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9"/>
      <c r="N1721" s="279"/>
      <c r="O1721" s="279"/>
      <c r="P1721" s="279"/>
      <c r="Q1721" s="279"/>
      <c r="R1721" s="279"/>
      <c r="S1721" s="279"/>
      <c r="T1721" s="279"/>
      <c r="U1721" s="280"/>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9"/>
      <c r="N1722" s="279"/>
      <c r="O1722" s="279"/>
      <c r="P1722" s="279"/>
      <c r="Q1722" s="279"/>
      <c r="R1722" s="279"/>
      <c r="S1722" s="279"/>
      <c r="T1722" s="279"/>
      <c r="U1722" s="280"/>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20" t="s">
        <v>387</v>
      </c>
      <c r="C1723" s="321"/>
      <c r="D1723" s="79"/>
      <c r="E1723" s="80"/>
      <c r="F1723" s="80"/>
      <c r="G1723" s="81"/>
      <c r="H1723" s="192"/>
      <c r="I1723" s="192"/>
      <c r="J1723" s="192"/>
      <c r="K1723" s="82"/>
      <c r="L1723" s="320" t="s">
        <v>306</v>
      </c>
      <c r="M1723" s="331"/>
      <c r="N1723" s="331"/>
      <c r="O1723" s="331"/>
      <c r="P1723" s="331"/>
      <c r="Q1723" s="331"/>
      <c r="R1723" s="331"/>
      <c r="S1723" s="331"/>
      <c r="T1723" s="331"/>
      <c r="U1723" s="321"/>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20" t="s">
        <v>307</v>
      </c>
      <c r="C1724" s="321"/>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3" t="s">
        <v>222</v>
      </c>
      <c r="C1728" s="314"/>
      <c r="D1728" s="315" t="s">
        <v>223</v>
      </c>
      <c r="E1728" s="306"/>
      <c r="F1728" s="88"/>
      <c r="G1728" s="316" t="s">
        <v>224</v>
      </c>
      <c r="H1728" s="317"/>
      <c r="I1728" s="28">
        <f>SUM(E1739:E1763)</f>
        <v>0</v>
      </c>
      <c r="J1728" s="318" t="s">
        <v>225</v>
      </c>
      <c r="K1728" s="319"/>
      <c r="L1728" s="306"/>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6" t="s">
        <v>226</v>
      </c>
      <c r="AA1728" s="297"/>
      <c r="AB1728" s="298"/>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5" t="s">
        <v>230</v>
      </c>
      <c r="H1729" s="306"/>
      <c r="I1729" s="33">
        <f>E1730-I1728</f>
        <v>0</v>
      </c>
      <c r="J1729" s="290" t="s">
        <v>231</v>
      </c>
      <c r="K1729" s="291"/>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9" t="s">
        <v>232</v>
      </c>
      <c r="AA1729" s="301" t="s">
        <v>233</v>
      </c>
      <c r="AB1729" s="302"/>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2" t="s">
        <v>237</v>
      </c>
      <c r="H1730" s="293"/>
      <c r="I1730" s="35">
        <f>IF(E1730=0,0,12-(MOD(I1728,12)))</f>
        <v>0</v>
      </c>
      <c r="J1730" s="290" t="s">
        <v>238</v>
      </c>
      <c r="K1730" s="291"/>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0"/>
      <c r="AA1730" s="303"/>
      <c r="AB1730" s="304"/>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2" t="s">
        <v>242</v>
      </c>
      <c r="H1731" s="43" t="s">
        <v>243</v>
      </c>
      <c r="I1731" s="35">
        <f>IF(E1731&lt;&gt;0,1,0)</f>
        <v>0</v>
      </c>
      <c r="J1731" s="292" t="s">
        <v>244</v>
      </c>
      <c r="K1731" s="293"/>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3"/>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2" t="s">
        <v>251</v>
      </c>
      <c r="H1733" s="51" t="s">
        <v>252</v>
      </c>
      <c r="I1733" s="112">
        <f>E1732</f>
        <v>0</v>
      </c>
      <c r="J1733" s="324" t="s">
        <v>253</v>
      </c>
      <c r="K1733" s="325"/>
      <c r="L1733" s="326"/>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3"/>
      <c r="H1734" s="47" t="s">
        <v>257</v>
      </c>
      <c r="I1734" s="35" t="str">
        <f>IF(E1732="","0",IF(AND(E1729="EUC",E1730=432), I1733+(203-E1731),IF(E1732=0,0,(E1732+(E1730-E1731)-1))))</f>
        <v>0</v>
      </c>
      <c r="J1734" s="287" t="str">
        <f>IFERROR(IF(OR(E1729="EUC",E1729="SS"),"---",IF(OR(P1728,S1728),"NO 2F Tethers for RPX!",IF(OR(P1730,S1730),"NO 6F Tethers for RPX!","---"))),"---")</f>
        <v>---</v>
      </c>
      <c r="K1734" s="288"/>
      <c r="L1734" s="289"/>
      <c r="M1734" s="287" t="str">
        <f>IF(E1731&gt;60,"Dead Count &gt;60: Consider Downsize","---")</f>
        <v>---</v>
      </c>
      <c r="N1734" s="288"/>
      <c r="O1734" s="288"/>
      <c r="P1734" s="288"/>
      <c r="Q1734" s="288"/>
      <c r="R1734" s="288"/>
      <c r="S1734" s="288"/>
      <c r="T1734" s="288"/>
      <c r="U1734" s="289"/>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7"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8"/>
      <c r="L1735" s="289"/>
      <c r="M1735" s="287" t="str">
        <f>IF(AND(OR(E1729="SS",E1729="RPX",E1729="EUC",E1729="RPX-T"),(OR(C1739="",C1739="Field SPL"))),"Cannot have FlexNap cables without tethers","---")</f>
        <v>---</v>
      </c>
      <c r="N1735" s="288"/>
      <c r="O1735" s="288"/>
      <c r="P1735" s="288"/>
      <c r="Q1735" s="288"/>
      <c r="R1735" s="288"/>
      <c r="S1735" s="288"/>
      <c r="T1735" s="288"/>
      <c r="U1735" s="289"/>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7" t="str">
        <f>IF(AND(OR(E1729="RPX", E1729="RPX-T", E1729="SS"),E1730=216),"NO 216 For RPX, RPX-T, OR SS CABLE","---")</f>
        <v>---</v>
      </c>
      <c r="K1736" s="288"/>
      <c r="L1736" s="289"/>
      <c r="M1736" s="287" t="str" cm="1">
        <f t="array" ref="M1736">IF(AND(E1729="",OR(C1739:C1763="FST",C1739:C1763="REV T",C1739:C1763="DBL REV",C1739:C1763="TPL REV", C1739:C1763="QD REV")),"Non-FlexNap cables cannot have tethers","---")</f>
        <v>---</v>
      </c>
      <c r="N1736" s="288"/>
      <c r="O1736" s="288"/>
      <c r="P1736" s="288"/>
      <c r="Q1736" s="288"/>
      <c r="R1736" s="288"/>
      <c r="S1736" s="288"/>
      <c r="T1736" s="288"/>
      <c r="U1736" s="289"/>
      <c r="V1736" s="25"/>
      <c r="W1736" s="58"/>
      <c r="X1736" s="58"/>
      <c r="Y1736" s="25"/>
      <c r="Z1736" s="45">
        <v>6</v>
      </c>
      <c r="AA1736" s="65">
        <v>61</v>
      </c>
      <c r="AB1736" s="65">
        <v>72</v>
      </c>
      <c r="AC1736" s="25"/>
      <c r="AD1736" s="25"/>
      <c r="BA1736" s="226"/>
    </row>
    <row r="1737" spans="1:53" ht="15.75" customHeight="1" thickBot="1" x14ac:dyDescent="0.3">
      <c r="A1737" s="88"/>
      <c r="B1737" s="322" t="s">
        <v>260</v>
      </c>
      <c r="C1737" s="294" t="s">
        <v>261</v>
      </c>
      <c r="D1737" s="294" t="s">
        <v>262</v>
      </c>
      <c r="E1737" s="307" t="s">
        <v>263</v>
      </c>
      <c r="F1737" s="294" t="s">
        <v>264</v>
      </c>
      <c r="G1737" s="309" t="s">
        <v>265</v>
      </c>
      <c r="H1737" s="309" t="s">
        <v>266</v>
      </c>
      <c r="I1737" s="309" t="s">
        <v>267</v>
      </c>
      <c r="J1737" s="311" t="s">
        <v>268</v>
      </c>
      <c r="K1737" s="294" t="s">
        <v>269</v>
      </c>
      <c r="L1737" s="281" t="s">
        <v>270</v>
      </c>
      <c r="M1737" s="283" t="s">
        <v>271</v>
      </c>
      <c r="N1737" s="283"/>
      <c r="O1737" s="283"/>
      <c r="P1737" s="283"/>
      <c r="Q1737" s="283"/>
      <c r="R1737" s="283"/>
      <c r="S1737" s="283"/>
      <c r="T1737" s="283"/>
      <c r="U1737" s="284"/>
      <c r="V1737" s="107"/>
      <c r="W1737" s="72"/>
      <c r="X1737" s="72"/>
      <c r="Y1737" s="72"/>
      <c r="Z1737" s="45">
        <v>7</v>
      </c>
      <c r="AA1737" s="65">
        <v>73</v>
      </c>
      <c r="AB1737" s="65">
        <v>84</v>
      </c>
      <c r="AC1737" s="25"/>
      <c r="AD1737" s="25"/>
      <c r="BA1737" s="228"/>
    </row>
    <row r="1738" spans="1:53" ht="15.75" thickBot="1" x14ac:dyDescent="0.3">
      <c r="A1738" s="88"/>
      <c r="B1738" s="323"/>
      <c r="C1738" s="295"/>
      <c r="D1738" s="295"/>
      <c r="E1738" s="308"/>
      <c r="F1738" s="295"/>
      <c r="G1738" s="310"/>
      <c r="H1738" s="310"/>
      <c r="I1738" s="310"/>
      <c r="J1738" s="312"/>
      <c r="K1738" s="295"/>
      <c r="L1738" s="282"/>
      <c r="M1738" s="285"/>
      <c r="N1738" s="285"/>
      <c r="O1738" s="285"/>
      <c r="P1738" s="285"/>
      <c r="Q1738" s="285"/>
      <c r="R1738" s="285"/>
      <c r="S1738" s="285"/>
      <c r="T1738" s="285"/>
      <c r="U1738" s="286"/>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9"/>
      <c r="N1739" s="279"/>
      <c r="O1739" s="279"/>
      <c r="P1739" s="279"/>
      <c r="Q1739" s="279"/>
      <c r="R1739" s="279"/>
      <c r="S1739" s="279"/>
      <c r="T1739" s="279"/>
      <c r="U1739" s="280"/>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9"/>
      <c r="N1740" s="279"/>
      <c r="O1740" s="279"/>
      <c r="P1740" s="279"/>
      <c r="Q1740" s="279"/>
      <c r="R1740" s="279"/>
      <c r="S1740" s="279"/>
      <c r="T1740" s="279"/>
      <c r="U1740" s="280"/>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9"/>
      <c r="N1741" s="279"/>
      <c r="O1741" s="279"/>
      <c r="P1741" s="279"/>
      <c r="Q1741" s="279"/>
      <c r="R1741" s="279"/>
      <c r="S1741" s="279"/>
      <c r="T1741" s="279"/>
      <c r="U1741" s="280"/>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9"/>
      <c r="N1742" s="279"/>
      <c r="O1742" s="279"/>
      <c r="P1742" s="279"/>
      <c r="Q1742" s="279"/>
      <c r="R1742" s="279"/>
      <c r="S1742" s="279"/>
      <c r="T1742" s="279"/>
      <c r="U1742" s="280"/>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9"/>
      <c r="N1743" s="279"/>
      <c r="O1743" s="279"/>
      <c r="P1743" s="279"/>
      <c r="Q1743" s="279"/>
      <c r="R1743" s="279"/>
      <c r="S1743" s="279"/>
      <c r="T1743" s="279"/>
      <c r="U1743" s="280"/>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9"/>
      <c r="N1744" s="279"/>
      <c r="O1744" s="279"/>
      <c r="P1744" s="279"/>
      <c r="Q1744" s="279"/>
      <c r="R1744" s="279"/>
      <c r="S1744" s="279"/>
      <c r="T1744" s="279"/>
      <c r="U1744" s="280"/>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9"/>
      <c r="N1745" s="279"/>
      <c r="O1745" s="279"/>
      <c r="P1745" s="279"/>
      <c r="Q1745" s="279"/>
      <c r="R1745" s="279"/>
      <c r="S1745" s="279"/>
      <c r="T1745" s="279"/>
      <c r="U1745" s="280"/>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9"/>
      <c r="N1746" s="279"/>
      <c r="O1746" s="279"/>
      <c r="P1746" s="279"/>
      <c r="Q1746" s="279"/>
      <c r="R1746" s="279"/>
      <c r="S1746" s="279"/>
      <c r="T1746" s="279"/>
      <c r="U1746" s="280"/>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9"/>
      <c r="N1747" s="279"/>
      <c r="O1747" s="279"/>
      <c r="P1747" s="279"/>
      <c r="Q1747" s="279"/>
      <c r="R1747" s="279"/>
      <c r="S1747" s="279"/>
      <c r="T1747" s="279"/>
      <c r="U1747" s="280"/>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9"/>
      <c r="N1748" s="279"/>
      <c r="O1748" s="279"/>
      <c r="P1748" s="279"/>
      <c r="Q1748" s="279"/>
      <c r="R1748" s="279"/>
      <c r="S1748" s="279"/>
      <c r="T1748" s="279"/>
      <c r="U1748" s="280"/>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9"/>
      <c r="N1749" s="279"/>
      <c r="O1749" s="279"/>
      <c r="P1749" s="279"/>
      <c r="Q1749" s="279"/>
      <c r="R1749" s="279"/>
      <c r="S1749" s="279"/>
      <c r="T1749" s="279"/>
      <c r="U1749" s="280"/>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9"/>
      <c r="N1750" s="279"/>
      <c r="O1750" s="279"/>
      <c r="P1750" s="279"/>
      <c r="Q1750" s="279"/>
      <c r="R1750" s="279"/>
      <c r="S1750" s="279"/>
      <c r="T1750" s="279"/>
      <c r="U1750" s="280"/>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9"/>
      <c r="N1751" s="279"/>
      <c r="O1751" s="279"/>
      <c r="P1751" s="279"/>
      <c r="Q1751" s="279"/>
      <c r="R1751" s="279"/>
      <c r="S1751" s="279"/>
      <c r="T1751" s="279"/>
      <c r="U1751" s="280"/>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9"/>
      <c r="N1752" s="279"/>
      <c r="O1752" s="279"/>
      <c r="P1752" s="279"/>
      <c r="Q1752" s="279"/>
      <c r="R1752" s="279"/>
      <c r="S1752" s="279"/>
      <c r="T1752" s="279"/>
      <c r="U1752" s="280"/>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9"/>
      <c r="N1753" s="279"/>
      <c r="O1753" s="279"/>
      <c r="P1753" s="279"/>
      <c r="Q1753" s="279"/>
      <c r="R1753" s="279"/>
      <c r="S1753" s="279"/>
      <c r="T1753" s="279"/>
      <c r="U1753" s="280"/>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9"/>
      <c r="N1754" s="279"/>
      <c r="O1754" s="279"/>
      <c r="P1754" s="279"/>
      <c r="Q1754" s="279"/>
      <c r="R1754" s="279"/>
      <c r="S1754" s="279"/>
      <c r="T1754" s="279"/>
      <c r="U1754" s="280"/>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9"/>
      <c r="N1755" s="279"/>
      <c r="O1755" s="279"/>
      <c r="P1755" s="279"/>
      <c r="Q1755" s="279"/>
      <c r="R1755" s="279"/>
      <c r="S1755" s="279"/>
      <c r="T1755" s="279"/>
      <c r="U1755" s="280"/>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9"/>
      <c r="N1756" s="279"/>
      <c r="O1756" s="279"/>
      <c r="P1756" s="279"/>
      <c r="Q1756" s="279"/>
      <c r="R1756" s="279"/>
      <c r="S1756" s="279"/>
      <c r="T1756" s="279"/>
      <c r="U1756" s="280"/>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9"/>
      <c r="N1757" s="279"/>
      <c r="O1757" s="279"/>
      <c r="P1757" s="279"/>
      <c r="Q1757" s="279"/>
      <c r="R1757" s="279"/>
      <c r="S1757" s="279"/>
      <c r="T1757" s="279"/>
      <c r="U1757" s="280"/>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9"/>
      <c r="N1758" s="279"/>
      <c r="O1758" s="279"/>
      <c r="P1758" s="279"/>
      <c r="Q1758" s="279"/>
      <c r="R1758" s="279"/>
      <c r="S1758" s="279"/>
      <c r="T1758" s="279"/>
      <c r="U1758" s="280"/>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9"/>
      <c r="N1759" s="279"/>
      <c r="O1759" s="279"/>
      <c r="P1759" s="279"/>
      <c r="Q1759" s="279"/>
      <c r="R1759" s="279"/>
      <c r="S1759" s="279"/>
      <c r="T1759" s="279"/>
      <c r="U1759" s="280"/>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9"/>
      <c r="N1760" s="279"/>
      <c r="O1760" s="279"/>
      <c r="P1760" s="279"/>
      <c r="Q1760" s="279"/>
      <c r="R1760" s="279"/>
      <c r="S1760" s="279"/>
      <c r="T1760" s="279"/>
      <c r="U1760" s="280"/>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9"/>
      <c r="N1761" s="279"/>
      <c r="O1761" s="279"/>
      <c r="P1761" s="279"/>
      <c r="Q1761" s="279"/>
      <c r="R1761" s="279"/>
      <c r="S1761" s="279"/>
      <c r="T1761" s="279"/>
      <c r="U1761" s="280"/>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9"/>
      <c r="N1762" s="279"/>
      <c r="O1762" s="279"/>
      <c r="P1762" s="279"/>
      <c r="Q1762" s="279"/>
      <c r="R1762" s="279"/>
      <c r="S1762" s="279"/>
      <c r="T1762" s="279"/>
      <c r="U1762" s="280"/>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9"/>
      <c r="N1763" s="279"/>
      <c r="O1763" s="279"/>
      <c r="P1763" s="279"/>
      <c r="Q1763" s="279"/>
      <c r="R1763" s="279"/>
      <c r="S1763" s="279"/>
      <c r="T1763" s="279"/>
      <c r="U1763" s="280"/>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20" t="s">
        <v>389</v>
      </c>
      <c r="C1764" s="321"/>
      <c r="D1764" s="79"/>
      <c r="E1764" s="80"/>
      <c r="F1764" s="80"/>
      <c r="G1764" s="81"/>
      <c r="H1764" s="192"/>
      <c r="I1764" s="192"/>
      <c r="J1764" s="192"/>
      <c r="K1764" s="82"/>
      <c r="L1764" s="320" t="s">
        <v>306</v>
      </c>
      <c r="M1764" s="331"/>
      <c r="N1764" s="331"/>
      <c r="O1764" s="331"/>
      <c r="P1764" s="331"/>
      <c r="Q1764" s="331"/>
      <c r="R1764" s="331"/>
      <c r="S1764" s="331"/>
      <c r="T1764" s="331"/>
      <c r="U1764" s="321"/>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20" t="s">
        <v>307</v>
      </c>
      <c r="C1765" s="321"/>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3" t="s">
        <v>222</v>
      </c>
      <c r="C1769" s="314"/>
      <c r="D1769" s="315" t="s">
        <v>223</v>
      </c>
      <c r="E1769" s="306"/>
      <c r="F1769" s="88"/>
      <c r="G1769" s="316" t="s">
        <v>224</v>
      </c>
      <c r="H1769" s="317"/>
      <c r="I1769" s="28">
        <f>SUM(E1780:E1804)</f>
        <v>0</v>
      </c>
      <c r="J1769" s="318" t="s">
        <v>225</v>
      </c>
      <c r="K1769" s="319"/>
      <c r="L1769" s="306"/>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6" t="s">
        <v>226</v>
      </c>
      <c r="AA1769" s="297"/>
      <c r="AB1769" s="298"/>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5" t="s">
        <v>230</v>
      </c>
      <c r="H1770" s="306"/>
      <c r="I1770" s="33">
        <f>E1771-I1769</f>
        <v>0</v>
      </c>
      <c r="J1770" s="290" t="s">
        <v>231</v>
      </c>
      <c r="K1770" s="291"/>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9" t="s">
        <v>232</v>
      </c>
      <c r="AA1770" s="301" t="s">
        <v>233</v>
      </c>
      <c r="AB1770" s="302"/>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2" t="s">
        <v>237</v>
      </c>
      <c r="H1771" s="293"/>
      <c r="I1771" s="35">
        <f>IF(E1771=0,0,12-(MOD(I1769,12)))</f>
        <v>0</v>
      </c>
      <c r="J1771" s="290" t="s">
        <v>238</v>
      </c>
      <c r="K1771" s="291"/>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0"/>
      <c r="AA1771" s="303"/>
      <c r="AB1771" s="304"/>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2" t="s">
        <v>242</v>
      </c>
      <c r="H1772" s="43" t="s">
        <v>243</v>
      </c>
      <c r="I1772" s="35">
        <f>IF(E1772&lt;&gt;0,1,0)</f>
        <v>0</v>
      </c>
      <c r="J1772" s="292" t="s">
        <v>244</v>
      </c>
      <c r="K1772" s="293"/>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3"/>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2" t="s">
        <v>251</v>
      </c>
      <c r="H1774" s="51" t="s">
        <v>252</v>
      </c>
      <c r="I1774" s="112">
        <f>E1773</f>
        <v>0</v>
      </c>
      <c r="J1774" s="324" t="s">
        <v>253</v>
      </c>
      <c r="K1774" s="325"/>
      <c r="L1774" s="326"/>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3"/>
      <c r="H1775" s="47" t="s">
        <v>257</v>
      </c>
      <c r="I1775" s="35" t="str">
        <f>IF(E1773="","0",IF(AND(E1770="EUC",E1771=432), I1774+(203-E1772),IF(E1773=0,0,(E1773+(E1771-E1772)-1))))</f>
        <v>0</v>
      </c>
      <c r="J1775" s="287" t="str">
        <f>IFERROR(IF(OR(E1770="EUC",E1770="SS"),"---",IF(OR(P1769,S1769),"NO 2F Tethers for RPX!",IF(OR(P1771,S1771),"NO 6F Tethers for RPX!","---"))),"---")</f>
        <v>---</v>
      </c>
      <c r="K1775" s="288"/>
      <c r="L1775" s="289"/>
      <c r="M1775" s="287" t="str">
        <f>IF(E1772&gt;60,"Dead Count &gt;60: Consider Downsize","---")</f>
        <v>---</v>
      </c>
      <c r="N1775" s="288"/>
      <c r="O1775" s="288"/>
      <c r="P1775" s="288"/>
      <c r="Q1775" s="288"/>
      <c r="R1775" s="288"/>
      <c r="S1775" s="288"/>
      <c r="T1775" s="288"/>
      <c r="U1775" s="289"/>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7"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8"/>
      <c r="L1776" s="289"/>
      <c r="M1776" s="287" t="str">
        <f>IF(AND(OR(E1770="SS",E1770="RPX",E1770="EUC",E1770="RPX-T"),(OR(C1780="",C1780="Field SPL"))),"Cannot have FlexNap cables without tethers","---")</f>
        <v>---</v>
      </c>
      <c r="N1776" s="288"/>
      <c r="O1776" s="288"/>
      <c r="P1776" s="288"/>
      <c r="Q1776" s="288"/>
      <c r="R1776" s="288"/>
      <c r="S1776" s="288"/>
      <c r="T1776" s="288"/>
      <c r="U1776" s="289"/>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7" t="str">
        <f>IF(AND(OR(E1770="RPX", E1770="RPX-T", E1770="SS"),E1771=216),"NO 216 For RPX, RPX-T, OR SS CABLE","---")</f>
        <v>---</v>
      </c>
      <c r="K1777" s="288"/>
      <c r="L1777" s="289"/>
      <c r="M1777" s="287" t="str" cm="1">
        <f t="array" ref="M1777">IF(AND(E1770="",OR(C1780:C1804="FST",C1780:C1804="REV T",C1780:C1804="DBL REV",C1780:C1804="TPL REV", C1780:C1804="QD REV")),"Non-FlexNap cables cannot have tethers","---")</f>
        <v>---</v>
      </c>
      <c r="N1777" s="288"/>
      <c r="O1777" s="288"/>
      <c r="P1777" s="288"/>
      <c r="Q1777" s="288"/>
      <c r="R1777" s="288"/>
      <c r="S1777" s="288"/>
      <c r="T1777" s="288"/>
      <c r="U1777" s="289"/>
      <c r="V1777" s="25"/>
      <c r="W1777" s="58"/>
      <c r="X1777" s="58"/>
      <c r="Y1777" s="25"/>
      <c r="Z1777" s="45">
        <v>6</v>
      </c>
      <c r="AA1777" s="65">
        <v>61</v>
      </c>
      <c r="AB1777" s="65">
        <v>72</v>
      </c>
      <c r="AC1777" s="25"/>
      <c r="AD1777" s="25"/>
      <c r="BA1777" s="226"/>
    </row>
    <row r="1778" spans="1:53" ht="15.75" customHeight="1" thickBot="1" x14ac:dyDescent="0.3">
      <c r="A1778" s="88"/>
      <c r="B1778" s="322" t="s">
        <v>260</v>
      </c>
      <c r="C1778" s="294" t="s">
        <v>261</v>
      </c>
      <c r="D1778" s="294" t="s">
        <v>262</v>
      </c>
      <c r="E1778" s="307" t="s">
        <v>263</v>
      </c>
      <c r="F1778" s="294" t="s">
        <v>264</v>
      </c>
      <c r="G1778" s="309" t="s">
        <v>265</v>
      </c>
      <c r="H1778" s="309" t="s">
        <v>266</v>
      </c>
      <c r="I1778" s="309" t="s">
        <v>267</v>
      </c>
      <c r="J1778" s="311" t="s">
        <v>268</v>
      </c>
      <c r="K1778" s="294" t="s">
        <v>269</v>
      </c>
      <c r="L1778" s="281" t="s">
        <v>270</v>
      </c>
      <c r="M1778" s="283" t="s">
        <v>271</v>
      </c>
      <c r="N1778" s="283"/>
      <c r="O1778" s="283"/>
      <c r="P1778" s="283"/>
      <c r="Q1778" s="283"/>
      <c r="R1778" s="283"/>
      <c r="S1778" s="283"/>
      <c r="T1778" s="283"/>
      <c r="U1778" s="284"/>
      <c r="V1778" s="107"/>
      <c r="W1778" s="72"/>
      <c r="X1778" s="72"/>
      <c r="Y1778" s="72"/>
      <c r="Z1778" s="45">
        <v>7</v>
      </c>
      <c r="AA1778" s="65">
        <v>73</v>
      </c>
      <c r="AB1778" s="65">
        <v>84</v>
      </c>
      <c r="AC1778" s="25"/>
      <c r="AD1778" s="25"/>
      <c r="BA1778" s="228"/>
    </row>
    <row r="1779" spans="1:53" ht="15.75" thickBot="1" x14ac:dyDescent="0.3">
      <c r="A1779" s="88"/>
      <c r="B1779" s="323"/>
      <c r="C1779" s="295"/>
      <c r="D1779" s="295"/>
      <c r="E1779" s="308"/>
      <c r="F1779" s="295"/>
      <c r="G1779" s="310"/>
      <c r="H1779" s="310"/>
      <c r="I1779" s="310"/>
      <c r="J1779" s="312"/>
      <c r="K1779" s="295"/>
      <c r="L1779" s="282"/>
      <c r="M1779" s="285"/>
      <c r="N1779" s="285"/>
      <c r="O1779" s="285"/>
      <c r="P1779" s="285"/>
      <c r="Q1779" s="285"/>
      <c r="R1779" s="285"/>
      <c r="S1779" s="285"/>
      <c r="T1779" s="285"/>
      <c r="U1779" s="286"/>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9"/>
      <c r="N1780" s="279"/>
      <c r="O1780" s="279"/>
      <c r="P1780" s="279"/>
      <c r="Q1780" s="279"/>
      <c r="R1780" s="279"/>
      <c r="S1780" s="279"/>
      <c r="T1780" s="279"/>
      <c r="U1780" s="280"/>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9"/>
      <c r="N1781" s="279"/>
      <c r="O1781" s="279"/>
      <c r="P1781" s="279"/>
      <c r="Q1781" s="279"/>
      <c r="R1781" s="279"/>
      <c r="S1781" s="279"/>
      <c r="T1781" s="279"/>
      <c r="U1781" s="280"/>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9"/>
      <c r="N1782" s="279"/>
      <c r="O1782" s="279"/>
      <c r="P1782" s="279"/>
      <c r="Q1782" s="279"/>
      <c r="R1782" s="279"/>
      <c r="S1782" s="279"/>
      <c r="T1782" s="279"/>
      <c r="U1782" s="280"/>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9"/>
      <c r="N1783" s="279"/>
      <c r="O1783" s="279"/>
      <c r="P1783" s="279"/>
      <c r="Q1783" s="279"/>
      <c r="R1783" s="279"/>
      <c r="S1783" s="279"/>
      <c r="T1783" s="279"/>
      <c r="U1783" s="280"/>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9"/>
      <c r="N1784" s="279"/>
      <c r="O1784" s="279"/>
      <c r="P1784" s="279"/>
      <c r="Q1784" s="279"/>
      <c r="R1784" s="279"/>
      <c r="S1784" s="279"/>
      <c r="T1784" s="279"/>
      <c r="U1784" s="280"/>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9"/>
      <c r="N1785" s="279"/>
      <c r="O1785" s="279"/>
      <c r="P1785" s="279"/>
      <c r="Q1785" s="279"/>
      <c r="R1785" s="279"/>
      <c r="S1785" s="279"/>
      <c r="T1785" s="279"/>
      <c r="U1785" s="280"/>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9"/>
      <c r="N1786" s="279"/>
      <c r="O1786" s="279"/>
      <c r="P1786" s="279"/>
      <c r="Q1786" s="279"/>
      <c r="R1786" s="279"/>
      <c r="S1786" s="279"/>
      <c r="T1786" s="279"/>
      <c r="U1786" s="280"/>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9"/>
      <c r="N1787" s="279"/>
      <c r="O1787" s="279"/>
      <c r="P1787" s="279"/>
      <c r="Q1787" s="279"/>
      <c r="R1787" s="279"/>
      <c r="S1787" s="279"/>
      <c r="T1787" s="279"/>
      <c r="U1787" s="280"/>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9"/>
      <c r="N1788" s="279"/>
      <c r="O1788" s="279"/>
      <c r="P1788" s="279"/>
      <c r="Q1788" s="279"/>
      <c r="R1788" s="279"/>
      <c r="S1788" s="279"/>
      <c r="T1788" s="279"/>
      <c r="U1788" s="280"/>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9"/>
      <c r="N1789" s="279"/>
      <c r="O1789" s="279"/>
      <c r="P1789" s="279"/>
      <c r="Q1789" s="279"/>
      <c r="R1789" s="279"/>
      <c r="S1789" s="279"/>
      <c r="T1789" s="279"/>
      <c r="U1789" s="280"/>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9"/>
      <c r="N1790" s="279"/>
      <c r="O1790" s="279"/>
      <c r="P1790" s="279"/>
      <c r="Q1790" s="279"/>
      <c r="R1790" s="279"/>
      <c r="S1790" s="279"/>
      <c r="T1790" s="279"/>
      <c r="U1790" s="280"/>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9"/>
      <c r="N1791" s="279"/>
      <c r="O1791" s="279"/>
      <c r="P1791" s="279"/>
      <c r="Q1791" s="279"/>
      <c r="R1791" s="279"/>
      <c r="S1791" s="279"/>
      <c r="T1791" s="279"/>
      <c r="U1791" s="280"/>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9"/>
      <c r="N1792" s="279"/>
      <c r="O1792" s="279"/>
      <c r="P1792" s="279"/>
      <c r="Q1792" s="279"/>
      <c r="R1792" s="279"/>
      <c r="S1792" s="279"/>
      <c r="T1792" s="279"/>
      <c r="U1792" s="280"/>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9"/>
      <c r="N1793" s="279"/>
      <c r="O1793" s="279"/>
      <c r="P1793" s="279"/>
      <c r="Q1793" s="279"/>
      <c r="R1793" s="279"/>
      <c r="S1793" s="279"/>
      <c r="T1793" s="279"/>
      <c r="U1793" s="280"/>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9"/>
      <c r="N1794" s="279"/>
      <c r="O1794" s="279"/>
      <c r="P1794" s="279"/>
      <c r="Q1794" s="279"/>
      <c r="R1794" s="279"/>
      <c r="S1794" s="279"/>
      <c r="T1794" s="279"/>
      <c r="U1794" s="280"/>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9"/>
      <c r="N1795" s="279"/>
      <c r="O1795" s="279"/>
      <c r="P1795" s="279"/>
      <c r="Q1795" s="279"/>
      <c r="R1795" s="279"/>
      <c r="S1795" s="279"/>
      <c r="T1795" s="279"/>
      <c r="U1795" s="280"/>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9"/>
      <c r="N1796" s="279"/>
      <c r="O1796" s="279"/>
      <c r="P1796" s="279"/>
      <c r="Q1796" s="279"/>
      <c r="R1796" s="279"/>
      <c r="S1796" s="279"/>
      <c r="T1796" s="279"/>
      <c r="U1796" s="280"/>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9"/>
      <c r="N1797" s="279"/>
      <c r="O1797" s="279"/>
      <c r="P1797" s="279"/>
      <c r="Q1797" s="279"/>
      <c r="R1797" s="279"/>
      <c r="S1797" s="279"/>
      <c r="T1797" s="279"/>
      <c r="U1797" s="280"/>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9"/>
      <c r="N1798" s="279"/>
      <c r="O1798" s="279"/>
      <c r="P1798" s="279"/>
      <c r="Q1798" s="279"/>
      <c r="R1798" s="279"/>
      <c r="S1798" s="279"/>
      <c r="T1798" s="279"/>
      <c r="U1798" s="280"/>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9"/>
      <c r="N1799" s="279"/>
      <c r="O1799" s="279"/>
      <c r="P1799" s="279"/>
      <c r="Q1799" s="279"/>
      <c r="R1799" s="279"/>
      <c r="S1799" s="279"/>
      <c r="T1799" s="279"/>
      <c r="U1799" s="280"/>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9"/>
      <c r="N1800" s="279"/>
      <c r="O1800" s="279"/>
      <c r="P1800" s="279"/>
      <c r="Q1800" s="279"/>
      <c r="R1800" s="279"/>
      <c r="S1800" s="279"/>
      <c r="T1800" s="279"/>
      <c r="U1800" s="280"/>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9"/>
      <c r="N1801" s="279"/>
      <c r="O1801" s="279"/>
      <c r="P1801" s="279"/>
      <c r="Q1801" s="279"/>
      <c r="R1801" s="279"/>
      <c r="S1801" s="279"/>
      <c r="T1801" s="279"/>
      <c r="U1801" s="280"/>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9"/>
      <c r="N1802" s="279"/>
      <c r="O1802" s="279"/>
      <c r="P1802" s="279"/>
      <c r="Q1802" s="279"/>
      <c r="R1802" s="279"/>
      <c r="S1802" s="279"/>
      <c r="T1802" s="279"/>
      <c r="U1802" s="280"/>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9"/>
      <c r="N1803" s="279"/>
      <c r="O1803" s="279"/>
      <c r="P1803" s="279"/>
      <c r="Q1803" s="279"/>
      <c r="R1803" s="279"/>
      <c r="S1803" s="279"/>
      <c r="T1803" s="279"/>
      <c r="U1803" s="280"/>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9"/>
      <c r="N1804" s="279"/>
      <c r="O1804" s="279"/>
      <c r="P1804" s="279"/>
      <c r="Q1804" s="279"/>
      <c r="R1804" s="279"/>
      <c r="S1804" s="279"/>
      <c r="T1804" s="279"/>
      <c r="U1804" s="280"/>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20" t="s">
        <v>391</v>
      </c>
      <c r="C1805" s="321"/>
      <c r="D1805" s="79"/>
      <c r="E1805" s="80"/>
      <c r="F1805" s="80"/>
      <c r="G1805" s="81"/>
      <c r="H1805" s="192"/>
      <c r="I1805" s="192"/>
      <c r="J1805" s="192"/>
      <c r="K1805" s="82"/>
      <c r="L1805" s="320" t="s">
        <v>306</v>
      </c>
      <c r="M1805" s="331"/>
      <c r="N1805" s="331"/>
      <c r="O1805" s="331"/>
      <c r="P1805" s="331"/>
      <c r="Q1805" s="331"/>
      <c r="R1805" s="331"/>
      <c r="S1805" s="331"/>
      <c r="T1805" s="331"/>
      <c r="U1805" s="321"/>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20" t="s">
        <v>307</v>
      </c>
      <c r="C1806" s="321"/>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3" t="s">
        <v>222</v>
      </c>
      <c r="C1810" s="314"/>
      <c r="D1810" s="315" t="s">
        <v>223</v>
      </c>
      <c r="E1810" s="306"/>
      <c r="F1810" s="88"/>
      <c r="G1810" s="316" t="s">
        <v>224</v>
      </c>
      <c r="H1810" s="317"/>
      <c r="I1810" s="28">
        <f>SUM(E1821:E1845)</f>
        <v>0</v>
      </c>
      <c r="J1810" s="318" t="s">
        <v>225</v>
      </c>
      <c r="K1810" s="319"/>
      <c r="L1810" s="306"/>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6" t="s">
        <v>226</v>
      </c>
      <c r="AA1810" s="297"/>
      <c r="AB1810" s="298"/>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5" t="s">
        <v>230</v>
      </c>
      <c r="H1811" s="306"/>
      <c r="I1811" s="33">
        <f>E1812-I1810</f>
        <v>0</v>
      </c>
      <c r="J1811" s="290" t="s">
        <v>231</v>
      </c>
      <c r="K1811" s="291"/>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9" t="s">
        <v>232</v>
      </c>
      <c r="AA1811" s="301" t="s">
        <v>233</v>
      </c>
      <c r="AB1811" s="302"/>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2" t="s">
        <v>237</v>
      </c>
      <c r="H1812" s="293"/>
      <c r="I1812" s="35">
        <f>IF(E1812=0,0,12-(MOD(I1810,12)))</f>
        <v>0</v>
      </c>
      <c r="J1812" s="290" t="s">
        <v>238</v>
      </c>
      <c r="K1812" s="291"/>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0"/>
      <c r="AA1812" s="303"/>
      <c r="AB1812" s="304"/>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2" t="s">
        <v>242</v>
      </c>
      <c r="H1813" s="43" t="s">
        <v>243</v>
      </c>
      <c r="I1813" s="35">
        <f>IF(E1813&lt;&gt;0,1,0)</f>
        <v>0</v>
      </c>
      <c r="J1813" s="292" t="s">
        <v>244</v>
      </c>
      <c r="K1813" s="293"/>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3"/>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2" t="s">
        <v>251</v>
      </c>
      <c r="H1815" s="51" t="s">
        <v>252</v>
      </c>
      <c r="I1815" s="112">
        <f>E1814</f>
        <v>0</v>
      </c>
      <c r="J1815" s="324" t="s">
        <v>253</v>
      </c>
      <c r="K1815" s="325"/>
      <c r="L1815" s="326"/>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3"/>
      <c r="H1816" s="47" t="s">
        <v>257</v>
      </c>
      <c r="I1816" s="35" t="str">
        <f>IF(E1814="","0",IF(AND(E1811="EUC",E1812=432), I1815+(203-E1813),IF(E1814=0,0,(E1814+(E1812-E1813)-1))))</f>
        <v>0</v>
      </c>
      <c r="J1816" s="287" t="str">
        <f>IFERROR(IF(OR(E1811="EUC",E1811="SS"),"---",IF(OR(P1810,S1810),"NO 2F Tethers for RPX!",IF(OR(P1812,S1812),"NO 6F Tethers for RPX!","---"))),"---")</f>
        <v>---</v>
      </c>
      <c r="K1816" s="288"/>
      <c r="L1816" s="289"/>
      <c r="M1816" s="287" t="str">
        <f>IF(E1813&gt;60,"Dead Count &gt;60: Consider Downsize","---")</f>
        <v>---</v>
      </c>
      <c r="N1816" s="288"/>
      <c r="O1816" s="288"/>
      <c r="P1816" s="288"/>
      <c r="Q1816" s="288"/>
      <c r="R1816" s="288"/>
      <c r="S1816" s="288"/>
      <c r="T1816" s="288"/>
      <c r="U1816" s="289"/>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7"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8"/>
      <c r="L1817" s="289"/>
      <c r="M1817" s="287" t="str">
        <f>IF(AND(OR(E1811="SS",E1811="RPX",E1811="EUC",E1811="RPX-T"),(OR(C1821="",C1821="Field SPL"))),"Cannot have FlexNap cables without tethers","---")</f>
        <v>---</v>
      </c>
      <c r="N1817" s="288"/>
      <c r="O1817" s="288"/>
      <c r="P1817" s="288"/>
      <c r="Q1817" s="288"/>
      <c r="R1817" s="288"/>
      <c r="S1817" s="288"/>
      <c r="T1817" s="288"/>
      <c r="U1817" s="289"/>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7" t="str">
        <f>IF(AND(OR(E1811="RPX", E1811="RPX-T", E1811="SS"),E1812=216),"NO 216 For RPX, RPX-T, OR SS CABLE","---")</f>
        <v>---</v>
      </c>
      <c r="K1818" s="288"/>
      <c r="L1818" s="289"/>
      <c r="M1818" s="287" t="str" cm="1">
        <f t="array" ref="M1818">IF(AND(E1811="",OR(C1821:C1845="FST",C1821:C1845="REV T",C1821:C1845="DBL REV",C1821:C1845="TPL REV", C1821:C1845="QD REV")),"Non-FlexNap cables cannot have tethers","---")</f>
        <v>---</v>
      </c>
      <c r="N1818" s="288"/>
      <c r="O1818" s="288"/>
      <c r="P1818" s="288"/>
      <c r="Q1818" s="288"/>
      <c r="R1818" s="288"/>
      <c r="S1818" s="288"/>
      <c r="T1818" s="288"/>
      <c r="U1818" s="289"/>
      <c r="V1818" s="25"/>
      <c r="W1818" s="58"/>
      <c r="X1818" s="58"/>
      <c r="Y1818" s="25"/>
      <c r="Z1818" s="45">
        <v>6</v>
      </c>
      <c r="AA1818" s="65">
        <v>61</v>
      </c>
      <c r="AB1818" s="65">
        <v>72</v>
      </c>
      <c r="AC1818" s="25"/>
      <c r="AD1818" s="25"/>
      <c r="BA1818" s="226"/>
    </row>
    <row r="1819" spans="1:53" ht="15.75" customHeight="1" thickBot="1" x14ac:dyDescent="0.3">
      <c r="A1819" s="88"/>
      <c r="B1819" s="322" t="s">
        <v>260</v>
      </c>
      <c r="C1819" s="294" t="s">
        <v>261</v>
      </c>
      <c r="D1819" s="294" t="s">
        <v>262</v>
      </c>
      <c r="E1819" s="307" t="s">
        <v>263</v>
      </c>
      <c r="F1819" s="294" t="s">
        <v>264</v>
      </c>
      <c r="G1819" s="309" t="s">
        <v>265</v>
      </c>
      <c r="H1819" s="309" t="s">
        <v>266</v>
      </c>
      <c r="I1819" s="309" t="s">
        <v>267</v>
      </c>
      <c r="J1819" s="311" t="s">
        <v>268</v>
      </c>
      <c r="K1819" s="294" t="s">
        <v>269</v>
      </c>
      <c r="L1819" s="281" t="s">
        <v>270</v>
      </c>
      <c r="M1819" s="283" t="s">
        <v>271</v>
      </c>
      <c r="N1819" s="283"/>
      <c r="O1819" s="283"/>
      <c r="P1819" s="283"/>
      <c r="Q1819" s="283"/>
      <c r="R1819" s="283"/>
      <c r="S1819" s="283"/>
      <c r="T1819" s="283"/>
      <c r="U1819" s="284"/>
      <c r="V1819" s="107"/>
      <c r="W1819" s="72"/>
      <c r="X1819" s="72"/>
      <c r="Y1819" s="72"/>
      <c r="Z1819" s="45">
        <v>7</v>
      </c>
      <c r="AA1819" s="65">
        <v>73</v>
      </c>
      <c r="AB1819" s="65">
        <v>84</v>
      </c>
      <c r="AC1819" s="25"/>
      <c r="AD1819" s="25"/>
      <c r="BA1819" s="228"/>
    </row>
    <row r="1820" spans="1:53" ht="15.75" thickBot="1" x14ac:dyDescent="0.3">
      <c r="A1820" s="88"/>
      <c r="B1820" s="323"/>
      <c r="C1820" s="295"/>
      <c r="D1820" s="295"/>
      <c r="E1820" s="308"/>
      <c r="F1820" s="295"/>
      <c r="G1820" s="310"/>
      <c r="H1820" s="310"/>
      <c r="I1820" s="310"/>
      <c r="J1820" s="312"/>
      <c r="K1820" s="295"/>
      <c r="L1820" s="282"/>
      <c r="M1820" s="285"/>
      <c r="N1820" s="285"/>
      <c r="O1820" s="285"/>
      <c r="P1820" s="285"/>
      <c r="Q1820" s="285"/>
      <c r="R1820" s="285"/>
      <c r="S1820" s="285"/>
      <c r="T1820" s="285"/>
      <c r="U1820" s="286"/>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9"/>
      <c r="N1821" s="279"/>
      <c r="O1821" s="279"/>
      <c r="P1821" s="279"/>
      <c r="Q1821" s="279"/>
      <c r="R1821" s="279"/>
      <c r="S1821" s="279"/>
      <c r="T1821" s="279"/>
      <c r="U1821" s="280"/>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9"/>
      <c r="N1822" s="279"/>
      <c r="O1822" s="279"/>
      <c r="P1822" s="279"/>
      <c r="Q1822" s="279"/>
      <c r="R1822" s="279"/>
      <c r="S1822" s="279"/>
      <c r="T1822" s="279"/>
      <c r="U1822" s="280"/>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9"/>
      <c r="N1823" s="279"/>
      <c r="O1823" s="279"/>
      <c r="P1823" s="279"/>
      <c r="Q1823" s="279"/>
      <c r="R1823" s="279"/>
      <c r="S1823" s="279"/>
      <c r="T1823" s="279"/>
      <c r="U1823" s="280"/>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9"/>
      <c r="N1824" s="279"/>
      <c r="O1824" s="279"/>
      <c r="P1824" s="279"/>
      <c r="Q1824" s="279"/>
      <c r="R1824" s="279"/>
      <c r="S1824" s="279"/>
      <c r="T1824" s="279"/>
      <c r="U1824" s="280"/>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9"/>
      <c r="N1825" s="279"/>
      <c r="O1825" s="279"/>
      <c r="P1825" s="279"/>
      <c r="Q1825" s="279"/>
      <c r="R1825" s="279"/>
      <c r="S1825" s="279"/>
      <c r="T1825" s="279"/>
      <c r="U1825" s="280"/>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9"/>
      <c r="N1826" s="279"/>
      <c r="O1826" s="279"/>
      <c r="P1826" s="279"/>
      <c r="Q1826" s="279"/>
      <c r="R1826" s="279"/>
      <c r="S1826" s="279"/>
      <c r="T1826" s="279"/>
      <c r="U1826" s="280"/>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9"/>
      <c r="N1827" s="279"/>
      <c r="O1827" s="279"/>
      <c r="P1827" s="279"/>
      <c r="Q1827" s="279"/>
      <c r="R1827" s="279"/>
      <c r="S1827" s="279"/>
      <c r="T1827" s="279"/>
      <c r="U1827" s="280"/>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9"/>
      <c r="N1828" s="279"/>
      <c r="O1828" s="279"/>
      <c r="P1828" s="279"/>
      <c r="Q1828" s="279"/>
      <c r="R1828" s="279"/>
      <c r="S1828" s="279"/>
      <c r="T1828" s="279"/>
      <c r="U1828" s="280"/>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9"/>
      <c r="N1829" s="279"/>
      <c r="O1829" s="279"/>
      <c r="P1829" s="279"/>
      <c r="Q1829" s="279"/>
      <c r="R1829" s="279"/>
      <c r="S1829" s="279"/>
      <c r="T1829" s="279"/>
      <c r="U1829" s="280"/>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9"/>
      <c r="N1830" s="279"/>
      <c r="O1830" s="279"/>
      <c r="P1830" s="279"/>
      <c r="Q1830" s="279"/>
      <c r="R1830" s="279"/>
      <c r="S1830" s="279"/>
      <c r="T1830" s="279"/>
      <c r="U1830" s="280"/>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9"/>
      <c r="N1831" s="279"/>
      <c r="O1831" s="279"/>
      <c r="P1831" s="279"/>
      <c r="Q1831" s="279"/>
      <c r="R1831" s="279"/>
      <c r="S1831" s="279"/>
      <c r="T1831" s="279"/>
      <c r="U1831" s="280"/>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9"/>
      <c r="N1832" s="279"/>
      <c r="O1832" s="279"/>
      <c r="P1832" s="279"/>
      <c r="Q1832" s="279"/>
      <c r="R1832" s="279"/>
      <c r="S1832" s="279"/>
      <c r="T1832" s="279"/>
      <c r="U1832" s="280"/>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9"/>
      <c r="N1833" s="279"/>
      <c r="O1833" s="279"/>
      <c r="P1833" s="279"/>
      <c r="Q1833" s="279"/>
      <c r="R1833" s="279"/>
      <c r="S1833" s="279"/>
      <c r="T1833" s="279"/>
      <c r="U1833" s="280"/>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9"/>
      <c r="N1834" s="279"/>
      <c r="O1834" s="279"/>
      <c r="P1834" s="279"/>
      <c r="Q1834" s="279"/>
      <c r="R1834" s="279"/>
      <c r="S1834" s="279"/>
      <c r="T1834" s="279"/>
      <c r="U1834" s="280"/>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9"/>
      <c r="N1835" s="279"/>
      <c r="O1835" s="279"/>
      <c r="P1835" s="279"/>
      <c r="Q1835" s="279"/>
      <c r="R1835" s="279"/>
      <c r="S1835" s="279"/>
      <c r="T1835" s="279"/>
      <c r="U1835" s="280"/>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9"/>
      <c r="N1836" s="279"/>
      <c r="O1836" s="279"/>
      <c r="P1836" s="279"/>
      <c r="Q1836" s="279"/>
      <c r="R1836" s="279"/>
      <c r="S1836" s="279"/>
      <c r="T1836" s="279"/>
      <c r="U1836" s="280"/>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9"/>
      <c r="N1837" s="279"/>
      <c r="O1837" s="279"/>
      <c r="P1837" s="279"/>
      <c r="Q1837" s="279"/>
      <c r="R1837" s="279"/>
      <c r="S1837" s="279"/>
      <c r="T1837" s="279"/>
      <c r="U1837" s="280"/>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9"/>
      <c r="N1838" s="279"/>
      <c r="O1838" s="279"/>
      <c r="P1838" s="279"/>
      <c r="Q1838" s="279"/>
      <c r="R1838" s="279"/>
      <c r="S1838" s="279"/>
      <c r="T1838" s="279"/>
      <c r="U1838" s="280"/>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9"/>
      <c r="N1839" s="279"/>
      <c r="O1839" s="279"/>
      <c r="P1839" s="279"/>
      <c r="Q1839" s="279"/>
      <c r="R1839" s="279"/>
      <c r="S1839" s="279"/>
      <c r="T1839" s="279"/>
      <c r="U1839" s="280"/>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9"/>
      <c r="N1840" s="279"/>
      <c r="O1840" s="279"/>
      <c r="P1840" s="279"/>
      <c r="Q1840" s="279"/>
      <c r="R1840" s="279"/>
      <c r="S1840" s="279"/>
      <c r="T1840" s="279"/>
      <c r="U1840" s="280"/>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9"/>
      <c r="N1841" s="279"/>
      <c r="O1841" s="279"/>
      <c r="P1841" s="279"/>
      <c r="Q1841" s="279"/>
      <c r="R1841" s="279"/>
      <c r="S1841" s="279"/>
      <c r="T1841" s="279"/>
      <c r="U1841" s="280"/>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9"/>
      <c r="N1842" s="279"/>
      <c r="O1842" s="279"/>
      <c r="P1842" s="279"/>
      <c r="Q1842" s="279"/>
      <c r="R1842" s="279"/>
      <c r="S1842" s="279"/>
      <c r="T1842" s="279"/>
      <c r="U1842" s="280"/>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9"/>
      <c r="N1843" s="279"/>
      <c r="O1843" s="279"/>
      <c r="P1843" s="279"/>
      <c r="Q1843" s="279"/>
      <c r="R1843" s="279"/>
      <c r="S1843" s="279"/>
      <c r="T1843" s="279"/>
      <c r="U1843" s="280"/>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9"/>
      <c r="N1844" s="279"/>
      <c r="O1844" s="279"/>
      <c r="P1844" s="279"/>
      <c r="Q1844" s="279"/>
      <c r="R1844" s="279"/>
      <c r="S1844" s="279"/>
      <c r="T1844" s="279"/>
      <c r="U1844" s="280"/>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9"/>
      <c r="N1845" s="279"/>
      <c r="O1845" s="279"/>
      <c r="P1845" s="279"/>
      <c r="Q1845" s="279"/>
      <c r="R1845" s="279"/>
      <c r="S1845" s="279"/>
      <c r="T1845" s="279"/>
      <c r="U1845" s="280"/>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20" t="s">
        <v>393</v>
      </c>
      <c r="C1846" s="321"/>
      <c r="D1846" s="79"/>
      <c r="E1846" s="80"/>
      <c r="F1846" s="80"/>
      <c r="G1846" s="81"/>
      <c r="H1846" s="192"/>
      <c r="I1846" s="192"/>
      <c r="J1846" s="192"/>
      <c r="K1846" s="82"/>
      <c r="L1846" s="320" t="s">
        <v>306</v>
      </c>
      <c r="M1846" s="331"/>
      <c r="N1846" s="331"/>
      <c r="O1846" s="331"/>
      <c r="P1846" s="331"/>
      <c r="Q1846" s="331"/>
      <c r="R1846" s="331"/>
      <c r="S1846" s="331"/>
      <c r="T1846" s="331"/>
      <c r="U1846" s="321"/>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20" t="s">
        <v>307</v>
      </c>
      <c r="C1847" s="321"/>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3" t="s">
        <v>222</v>
      </c>
      <c r="C1851" s="314"/>
      <c r="D1851" s="315" t="s">
        <v>223</v>
      </c>
      <c r="E1851" s="306"/>
      <c r="F1851" s="88"/>
      <c r="G1851" s="316" t="s">
        <v>224</v>
      </c>
      <c r="H1851" s="317"/>
      <c r="I1851" s="28">
        <f>SUM(E1862:E1886)</f>
        <v>0</v>
      </c>
      <c r="J1851" s="318" t="s">
        <v>225</v>
      </c>
      <c r="K1851" s="319"/>
      <c r="L1851" s="306"/>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6" t="s">
        <v>226</v>
      </c>
      <c r="AA1851" s="297"/>
      <c r="AB1851" s="298"/>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5" t="s">
        <v>230</v>
      </c>
      <c r="H1852" s="306"/>
      <c r="I1852" s="33">
        <f>E1853-I1851</f>
        <v>0</v>
      </c>
      <c r="J1852" s="290" t="s">
        <v>231</v>
      </c>
      <c r="K1852" s="291"/>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9" t="s">
        <v>232</v>
      </c>
      <c r="AA1852" s="301" t="s">
        <v>233</v>
      </c>
      <c r="AB1852" s="302"/>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2" t="s">
        <v>237</v>
      </c>
      <c r="H1853" s="293"/>
      <c r="I1853" s="35">
        <f>IF(E1853=0,0,12-(MOD(I1851,12)))</f>
        <v>0</v>
      </c>
      <c r="J1853" s="290" t="s">
        <v>238</v>
      </c>
      <c r="K1853" s="291"/>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0"/>
      <c r="AA1853" s="303"/>
      <c r="AB1853" s="304"/>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2" t="s">
        <v>242</v>
      </c>
      <c r="H1854" s="43" t="s">
        <v>243</v>
      </c>
      <c r="I1854" s="35">
        <f>IF(E1854&lt;&gt;0,1,0)</f>
        <v>0</v>
      </c>
      <c r="J1854" s="292" t="s">
        <v>244</v>
      </c>
      <c r="K1854" s="293"/>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3"/>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2" t="s">
        <v>251</v>
      </c>
      <c r="H1856" s="51" t="s">
        <v>252</v>
      </c>
      <c r="I1856" s="112">
        <f>E1855</f>
        <v>0</v>
      </c>
      <c r="J1856" s="324" t="s">
        <v>253</v>
      </c>
      <c r="K1856" s="325"/>
      <c r="L1856" s="326"/>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3"/>
      <c r="H1857" s="47" t="s">
        <v>257</v>
      </c>
      <c r="I1857" s="35" t="str">
        <f>IF(E1855="","0",IF(AND(E1852="EUC",E1853=432), I1856+(203-E1854),IF(E1855=0,0,(E1855+(E1853-E1854)-1))))</f>
        <v>0</v>
      </c>
      <c r="J1857" s="287" t="str">
        <f>IFERROR(IF(OR(E1852="EUC",E1852="SS"),"---",IF(OR(P1851,S1851),"NO 2F Tethers for RPX!",IF(OR(P1853,S1853),"NO 6F Tethers for RPX!","---"))),"---")</f>
        <v>---</v>
      </c>
      <c r="K1857" s="288"/>
      <c r="L1857" s="289"/>
      <c r="M1857" s="287" t="str">
        <f>IF(E1854&gt;60,"Dead Count &gt;60: Consider Downsize","---")</f>
        <v>---</v>
      </c>
      <c r="N1857" s="288"/>
      <c r="O1857" s="288"/>
      <c r="P1857" s="288"/>
      <c r="Q1857" s="288"/>
      <c r="R1857" s="288"/>
      <c r="S1857" s="288"/>
      <c r="T1857" s="288"/>
      <c r="U1857" s="289"/>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7"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8"/>
      <c r="L1858" s="289"/>
      <c r="M1858" s="287" t="str">
        <f>IF(AND(OR(E1852="SS",E1852="RPX",E1852="EUC",E1852="RPX-T"),(OR(C1862="",C1862="Field SPL"))),"Cannot have FlexNap cables without tethers","---")</f>
        <v>---</v>
      </c>
      <c r="N1858" s="288"/>
      <c r="O1858" s="288"/>
      <c r="P1858" s="288"/>
      <c r="Q1858" s="288"/>
      <c r="R1858" s="288"/>
      <c r="S1858" s="288"/>
      <c r="T1858" s="288"/>
      <c r="U1858" s="289"/>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7" t="str">
        <f>IF(AND(OR(E1852="RPX", E1852="RPX-T", E1852="SS"),E1853=216),"NO 216 For RPX, RPX-T, OR SS CABLE","---")</f>
        <v>---</v>
      </c>
      <c r="K1859" s="288"/>
      <c r="L1859" s="289"/>
      <c r="M1859" s="287" t="str" cm="1">
        <f t="array" ref="M1859">IF(AND(E1852="",OR(C1862:C1886="FST",C1862:C1886="REV T",C1862:C1886="DBL REV",C1862:C1886="TPL REV", C1862:C1886="QD REV")),"Non-FlexNap cables cannot have tethers","---")</f>
        <v>---</v>
      </c>
      <c r="N1859" s="288"/>
      <c r="O1859" s="288"/>
      <c r="P1859" s="288"/>
      <c r="Q1859" s="288"/>
      <c r="R1859" s="288"/>
      <c r="S1859" s="288"/>
      <c r="T1859" s="288"/>
      <c r="U1859" s="289"/>
      <c r="V1859" s="25"/>
      <c r="W1859" s="58"/>
      <c r="X1859" s="58"/>
      <c r="Y1859" s="25"/>
      <c r="Z1859" s="45">
        <v>6</v>
      </c>
      <c r="AA1859" s="65">
        <v>61</v>
      </c>
      <c r="AB1859" s="65">
        <v>72</v>
      </c>
      <c r="AC1859" s="25"/>
      <c r="AD1859" s="25"/>
      <c r="BA1859" s="226"/>
    </row>
    <row r="1860" spans="1:53" ht="15.75" customHeight="1" thickBot="1" x14ac:dyDescent="0.3">
      <c r="A1860" s="88"/>
      <c r="B1860" s="322" t="s">
        <v>260</v>
      </c>
      <c r="C1860" s="294" t="s">
        <v>261</v>
      </c>
      <c r="D1860" s="294" t="s">
        <v>262</v>
      </c>
      <c r="E1860" s="307" t="s">
        <v>263</v>
      </c>
      <c r="F1860" s="294" t="s">
        <v>264</v>
      </c>
      <c r="G1860" s="309" t="s">
        <v>265</v>
      </c>
      <c r="H1860" s="309" t="s">
        <v>266</v>
      </c>
      <c r="I1860" s="309" t="s">
        <v>267</v>
      </c>
      <c r="J1860" s="311" t="s">
        <v>268</v>
      </c>
      <c r="K1860" s="294" t="s">
        <v>269</v>
      </c>
      <c r="L1860" s="281" t="s">
        <v>270</v>
      </c>
      <c r="M1860" s="283" t="s">
        <v>271</v>
      </c>
      <c r="N1860" s="283"/>
      <c r="O1860" s="283"/>
      <c r="P1860" s="283"/>
      <c r="Q1860" s="283"/>
      <c r="R1860" s="283"/>
      <c r="S1860" s="283"/>
      <c r="T1860" s="283"/>
      <c r="U1860" s="284"/>
      <c r="V1860" s="107"/>
      <c r="W1860" s="72"/>
      <c r="X1860" s="72"/>
      <c r="Y1860" s="72"/>
      <c r="Z1860" s="45">
        <v>7</v>
      </c>
      <c r="AA1860" s="65">
        <v>73</v>
      </c>
      <c r="AB1860" s="65">
        <v>84</v>
      </c>
      <c r="AC1860" s="25"/>
      <c r="AD1860" s="25"/>
      <c r="BA1860" s="228"/>
    </row>
    <row r="1861" spans="1:53" ht="15.75" thickBot="1" x14ac:dyDescent="0.3">
      <c r="A1861" s="88"/>
      <c r="B1861" s="323"/>
      <c r="C1861" s="295"/>
      <c r="D1861" s="295"/>
      <c r="E1861" s="308"/>
      <c r="F1861" s="295"/>
      <c r="G1861" s="310"/>
      <c r="H1861" s="310"/>
      <c r="I1861" s="310"/>
      <c r="J1861" s="312"/>
      <c r="K1861" s="295"/>
      <c r="L1861" s="282"/>
      <c r="M1861" s="285"/>
      <c r="N1861" s="285"/>
      <c r="O1861" s="285"/>
      <c r="P1861" s="285"/>
      <c r="Q1861" s="285"/>
      <c r="R1861" s="285"/>
      <c r="S1861" s="285"/>
      <c r="T1861" s="285"/>
      <c r="U1861" s="286"/>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9"/>
      <c r="N1862" s="279"/>
      <c r="O1862" s="279"/>
      <c r="P1862" s="279"/>
      <c r="Q1862" s="279"/>
      <c r="R1862" s="279"/>
      <c r="S1862" s="279"/>
      <c r="T1862" s="279"/>
      <c r="U1862" s="280"/>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9"/>
      <c r="N1863" s="279"/>
      <c r="O1863" s="279"/>
      <c r="P1863" s="279"/>
      <c r="Q1863" s="279"/>
      <c r="R1863" s="279"/>
      <c r="S1863" s="279"/>
      <c r="T1863" s="279"/>
      <c r="U1863" s="280"/>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9"/>
      <c r="N1864" s="279"/>
      <c r="O1864" s="279"/>
      <c r="P1864" s="279"/>
      <c r="Q1864" s="279"/>
      <c r="R1864" s="279"/>
      <c r="S1864" s="279"/>
      <c r="T1864" s="279"/>
      <c r="U1864" s="280"/>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9"/>
      <c r="N1865" s="279"/>
      <c r="O1865" s="279"/>
      <c r="P1865" s="279"/>
      <c r="Q1865" s="279"/>
      <c r="R1865" s="279"/>
      <c r="S1865" s="279"/>
      <c r="T1865" s="279"/>
      <c r="U1865" s="280"/>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9"/>
      <c r="N1866" s="279"/>
      <c r="O1866" s="279"/>
      <c r="P1866" s="279"/>
      <c r="Q1866" s="279"/>
      <c r="R1866" s="279"/>
      <c r="S1866" s="279"/>
      <c r="T1866" s="279"/>
      <c r="U1866" s="280"/>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9"/>
      <c r="N1867" s="279"/>
      <c r="O1867" s="279"/>
      <c r="P1867" s="279"/>
      <c r="Q1867" s="279"/>
      <c r="R1867" s="279"/>
      <c r="S1867" s="279"/>
      <c r="T1867" s="279"/>
      <c r="U1867" s="280"/>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9"/>
      <c r="N1868" s="279"/>
      <c r="O1868" s="279"/>
      <c r="P1868" s="279"/>
      <c r="Q1868" s="279"/>
      <c r="R1868" s="279"/>
      <c r="S1868" s="279"/>
      <c r="T1868" s="279"/>
      <c r="U1868" s="280"/>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9"/>
      <c r="N1869" s="279"/>
      <c r="O1869" s="279"/>
      <c r="P1869" s="279"/>
      <c r="Q1869" s="279"/>
      <c r="R1869" s="279"/>
      <c r="S1869" s="279"/>
      <c r="T1869" s="279"/>
      <c r="U1869" s="280"/>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9"/>
      <c r="N1870" s="279"/>
      <c r="O1870" s="279"/>
      <c r="P1870" s="279"/>
      <c r="Q1870" s="279"/>
      <c r="R1870" s="279"/>
      <c r="S1870" s="279"/>
      <c r="T1870" s="279"/>
      <c r="U1870" s="280"/>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9"/>
      <c r="N1871" s="279"/>
      <c r="O1871" s="279"/>
      <c r="P1871" s="279"/>
      <c r="Q1871" s="279"/>
      <c r="R1871" s="279"/>
      <c r="S1871" s="279"/>
      <c r="T1871" s="279"/>
      <c r="U1871" s="280"/>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9"/>
      <c r="N1872" s="279"/>
      <c r="O1872" s="279"/>
      <c r="P1872" s="279"/>
      <c r="Q1872" s="279"/>
      <c r="R1872" s="279"/>
      <c r="S1872" s="279"/>
      <c r="T1872" s="279"/>
      <c r="U1872" s="280"/>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9"/>
      <c r="N1873" s="279"/>
      <c r="O1873" s="279"/>
      <c r="P1873" s="279"/>
      <c r="Q1873" s="279"/>
      <c r="R1873" s="279"/>
      <c r="S1873" s="279"/>
      <c r="T1873" s="279"/>
      <c r="U1873" s="280"/>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9"/>
      <c r="N1874" s="279"/>
      <c r="O1874" s="279"/>
      <c r="P1874" s="279"/>
      <c r="Q1874" s="279"/>
      <c r="R1874" s="279"/>
      <c r="S1874" s="279"/>
      <c r="T1874" s="279"/>
      <c r="U1874" s="280"/>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9"/>
      <c r="N1875" s="279"/>
      <c r="O1875" s="279"/>
      <c r="P1875" s="279"/>
      <c r="Q1875" s="279"/>
      <c r="R1875" s="279"/>
      <c r="S1875" s="279"/>
      <c r="T1875" s="279"/>
      <c r="U1875" s="280"/>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9"/>
      <c r="N1876" s="279"/>
      <c r="O1876" s="279"/>
      <c r="P1876" s="279"/>
      <c r="Q1876" s="279"/>
      <c r="R1876" s="279"/>
      <c r="S1876" s="279"/>
      <c r="T1876" s="279"/>
      <c r="U1876" s="280"/>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9"/>
      <c r="N1877" s="279"/>
      <c r="O1877" s="279"/>
      <c r="P1877" s="279"/>
      <c r="Q1877" s="279"/>
      <c r="R1877" s="279"/>
      <c r="S1877" s="279"/>
      <c r="T1877" s="279"/>
      <c r="U1877" s="280"/>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9"/>
      <c r="N1878" s="279"/>
      <c r="O1878" s="279"/>
      <c r="P1878" s="279"/>
      <c r="Q1878" s="279"/>
      <c r="R1878" s="279"/>
      <c r="S1878" s="279"/>
      <c r="T1878" s="279"/>
      <c r="U1878" s="280"/>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9"/>
      <c r="N1879" s="279"/>
      <c r="O1879" s="279"/>
      <c r="P1879" s="279"/>
      <c r="Q1879" s="279"/>
      <c r="R1879" s="279"/>
      <c r="S1879" s="279"/>
      <c r="T1879" s="279"/>
      <c r="U1879" s="280"/>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9"/>
      <c r="N1880" s="279"/>
      <c r="O1880" s="279"/>
      <c r="P1880" s="279"/>
      <c r="Q1880" s="279"/>
      <c r="R1880" s="279"/>
      <c r="S1880" s="279"/>
      <c r="T1880" s="279"/>
      <c r="U1880" s="280"/>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9"/>
      <c r="N1881" s="279"/>
      <c r="O1881" s="279"/>
      <c r="P1881" s="279"/>
      <c r="Q1881" s="279"/>
      <c r="R1881" s="279"/>
      <c r="S1881" s="279"/>
      <c r="T1881" s="279"/>
      <c r="U1881" s="280"/>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9"/>
      <c r="N1882" s="279"/>
      <c r="O1882" s="279"/>
      <c r="P1882" s="279"/>
      <c r="Q1882" s="279"/>
      <c r="R1882" s="279"/>
      <c r="S1882" s="279"/>
      <c r="T1882" s="279"/>
      <c r="U1882" s="280"/>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9"/>
      <c r="N1883" s="279"/>
      <c r="O1883" s="279"/>
      <c r="P1883" s="279"/>
      <c r="Q1883" s="279"/>
      <c r="R1883" s="279"/>
      <c r="S1883" s="279"/>
      <c r="T1883" s="279"/>
      <c r="U1883" s="280"/>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9"/>
      <c r="N1884" s="279"/>
      <c r="O1884" s="279"/>
      <c r="P1884" s="279"/>
      <c r="Q1884" s="279"/>
      <c r="R1884" s="279"/>
      <c r="S1884" s="279"/>
      <c r="T1884" s="279"/>
      <c r="U1884" s="280"/>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9"/>
      <c r="N1885" s="279"/>
      <c r="O1885" s="279"/>
      <c r="P1885" s="279"/>
      <c r="Q1885" s="279"/>
      <c r="R1885" s="279"/>
      <c r="S1885" s="279"/>
      <c r="T1885" s="279"/>
      <c r="U1885" s="280"/>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9"/>
      <c r="N1886" s="279"/>
      <c r="O1886" s="279"/>
      <c r="P1886" s="279"/>
      <c r="Q1886" s="279"/>
      <c r="R1886" s="279"/>
      <c r="S1886" s="279"/>
      <c r="T1886" s="279"/>
      <c r="U1886" s="280"/>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20" t="s">
        <v>395</v>
      </c>
      <c r="C1887" s="321"/>
      <c r="D1887" s="79"/>
      <c r="E1887" s="80"/>
      <c r="F1887" s="80"/>
      <c r="G1887" s="81"/>
      <c r="H1887" s="192"/>
      <c r="I1887" s="192"/>
      <c r="J1887" s="192"/>
      <c r="K1887" s="82"/>
      <c r="L1887" s="320" t="s">
        <v>306</v>
      </c>
      <c r="M1887" s="331"/>
      <c r="N1887" s="331"/>
      <c r="O1887" s="331"/>
      <c r="P1887" s="331"/>
      <c r="Q1887" s="331"/>
      <c r="R1887" s="331"/>
      <c r="S1887" s="331"/>
      <c r="T1887" s="331"/>
      <c r="U1887" s="321"/>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20" t="s">
        <v>307</v>
      </c>
      <c r="C1888" s="321"/>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3" t="s">
        <v>222</v>
      </c>
      <c r="C1892" s="314"/>
      <c r="D1892" s="315" t="s">
        <v>223</v>
      </c>
      <c r="E1892" s="306"/>
      <c r="F1892" s="88"/>
      <c r="G1892" s="316" t="s">
        <v>224</v>
      </c>
      <c r="H1892" s="317"/>
      <c r="I1892" s="28">
        <f>SUM(E1903:E1927)</f>
        <v>0</v>
      </c>
      <c r="J1892" s="318" t="s">
        <v>225</v>
      </c>
      <c r="K1892" s="319"/>
      <c r="L1892" s="306"/>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6" t="s">
        <v>226</v>
      </c>
      <c r="AA1892" s="297"/>
      <c r="AB1892" s="298"/>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5" t="s">
        <v>230</v>
      </c>
      <c r="H1893" s="306"/>
      <c r="I1893" s="33">
        <f>E1894-I1892</f>
        <v>0</v>
      </c>
      <c r="J1893" s="290" t="s">
        <v>231</v>
      </c>
      <c r="K1893" s="291"/>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9" t="s">
        <v>232</v>
      </c>
      <c r="AA1893" s="301" t="s">
        <v>233</v>
      </c>
      <c r="AB1893" s="302"/>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2" t="s">
        <v>237</v>
      </c>
      <c r="H1894" s="293"/>
      <c r="I1894" s="35">
        <f>IF(E1894=0,0,12-(MOD(I1892,12)))</f>
        <v>0</v>
      </c>
      <c r="J1894" s="290" t="s">
        <v>238</v>
      </c>
      <c r="K1894" s="291"/>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0"/>
      <c r="AA1894" s="303"/>
      <c r="AB1894" s="304"/>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2" t="s">
        <v>242</v>
      </c>
      <c r="H1895" s="43" t="s">
        <v>243</v>
      </c>
      <c r="I1895" s="35">
        <f>IF(E1895&lt;&gt;0,1,0)</f>
        <v>0</v>
      </c>
      <c r="J1895" s="292" t="s">
        <v>244</v>
      </c>
      <c r="K1895" s="293"/>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3"/>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2" t="s">
        <v>251</v>
      </c>
      <c r="H1897" s="51" t="s">
        <v>252</v>
      </c>
      <c r="I1897" s="112">
        <f>E1896</f>
        <v>0</v>
      </c>
      <c r="J1897" s="324" t="s">
        <v>253</v>
      </c>
      <c r="K1897" s="325"/>
      <c r="L1897" s="326"/>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3"/>
      <c r="H1898" s="47" t="s">
        <v>257</v>
      </c>
      <c r="I1898" s="35" t="str">
        <f>IF(E1896="","0",IF(AND(E1893="EUC",E1894=432), I1897+(203-E1895),IF(E1896=0,0,(E1896+(E1894-E1895)-1))))</f>
        <v>0</v>
      </c>
      <c r="J1898" s="287" t="str">
        <f>IFERROR(IF(OR(E1893="EUC",E1893="SS"),"---",IF(OR(P1892,S1892),"NO 2F Tethers for RPX!",IF(OR(P1894,S1894),"NO 6F Tethers for RPX!","---"))),"---")</f>
        <v>---</v>
      </c>
      <c r="K1898" s="288"/>
      <c r="L1898" s="289"/>
      <c r="M1898" s="287" t="str">
        <f>IF(E1895&gt;60,"Dead Count &gt;60: Consider Downsize","---")</f>
        <v>---</v>
      </c>
      <c r="N1898" s="288"/>
      <c r="O1898" s="288"/>
      <c r="P1898" s="288"/>
      <c r="Q1898" s="288"/>
      <c r="R1898" s="288"/>
      <c r="S1898" s="288"/>
      <c r="T1898" s="288"/>
      <c r="U1898" s="289"/>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7"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8"/>
      <c r="L1899" s="289"/>
      <c r="M1899" s="287" t="str">
        <f>IF(AND(OR(E1893="SS",E1893="RPX",E1893="EUC",E1893="RPX-T"),(OR(C1903="",C1903="Field SPL"))),"Cannot have FlexNap cables without tethers","---")</f>
        <v>---</v>
      </c>
      <c r="N1899" s="288"/>
      <c r="O1899" s="288"/>
      <c r="P1899" s="288"/>
      <c r="Q1899" s="288"/>
      <c r="R1899" s="288"/>
      <c r="S1899" s="288"/>
      <c r="T1899" s="288"/>
      <c r="U1899" s="289"/>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7" t="str">
        <f>IF(AND(OR(E1893="RPX", E1893="RPX-T", E1893="SS"),E1894=216),"NO 216 For RPX, RPX-T, OR SS CABLE","---")</f>
        <v>---</v>
      </c>
      <c r="K1900" s="288"/>
      <c r="L1900" s="289"/>
      <c r="M1900" s="287" t="str" cm="1">
        <f t="array" ref="M1900">IF(AND(E1893="",OR(C1903:C1927="FST",C1903:C1927="REV T",C1903:C1927="DBL REV",C1903:C1927="TPL REV", C1903:C1927="QD REV")),"Non-FlexNap cables cannot have tethers","---")</f>
        <v>---</v>
      </c>
      <c r="N1900" s="288"/>
      <c r="O1900" s="288"/>
      <c r="P1900" s="288"/>
      <c r="Q1900" s="288"/>
      <c r="R1900" s="288"/>
      <c r="S1900" s="288"/>
      <c r="T1900" s="288"/>
      <c r="U1900" s="289"/>
      <c r="V1900" s="25"/>
      <c r="W1900" s="58"/>
      <c r="X1900" s="58"/>
      <c r="Y1900" s="25"/>
      <c r="Z1900" s="45">
        <v>6</v>
      </c>
      <c r="AA1900" s="65">
        <v>61</v>
      </c>
      <c r="AB1900" s="65">
        <v>72</v>
      </c>
      <c r="AC1900" s="25"/>
      <c r="AD1900" s="25"/>
      <c r="BA1900" s="226"/>
    </row>
    <row r="1901" spans="1:53" ht="15.75" customHeight="1" thickBot="1" x14ac:dyDescent="0.3">
      <c r="A1901" s="88"/>
      <c r="B1901" s="322" t="s">
        <v>260</v>
      </c>
      <c r="C1901" s="294" t="s">
        <v>261</v>
      </c>
      <c r="D1901" s="294" t="s">
        <v>262</v>
      </c>
      <c r="E1901" s="307" t="s">
        <v>263</v>
      </c>
      <c r="F1901" s="294" t="s">
        <v>264</v>
      </c>
      <c r="G1901" s="309" t="s">
        <v>265</v>
      </c>
      <c r="H1901" s="309" t="s">
        <v>266</v>
      </c>
      <c r="I1901" s="309" t="s">
        <v>267</v>
      </c>
      <c r="J1901" s="311" t="s">
        <v>268</v>
      </c>
      <c r="K1901" s="294" t="s">
        <v>269</v>
      </c>
      <c r="L1901" s="281" t="s">
        <v>270</v>
      </c>
      <c r="M1901" s="283" t="s">
        <v>271</v>
      </c>
      <c r="N1901" s="283"/>
      <c r="O1901" s="283"/>
      <c r="P1901" s="283"/>
      <c r="Q1901" s="283"/>
      <c r="R1901" s="283"/>
      <c r="S1901" s="283"/>
      <c r="T1901" s="283"/>
      <c r="U1901" s="284"/>
      <c r="V1901" s="107"/>
      <c r="W1901" s="72"/>
      <c r="X1901" s="72"/>
      <c r="Y1901" s="72"/>
      <c r="Z1901" s="45">
        <v>7</v>
      </c>
      <c r="AA1901" s="65">
        <v>73</v>
      </c>
      <c r="AB1901" s="65">
        <v>84</v>
      </c>
      <c r="AC1901" s="25"/>
      <c r="AD1901" s="25"/>
      <c r="BA1901" s="228"/>
    </row>
    <row r="1902" spans="1:53" ht="15.75" thickBot="1" x14ac:dyDescent="0.3">
      <c r="A1902" s="88"/>
      <c r="B1902" s="323"/>
      <c r="C1902" s="295"/>
      <c r="D1902" s="295"/>
      <c r="E1902" s="308"/>
      <c r="F1902" s="295"/>
      <c r="G1902" s="310"/>
      <c r="H1902" s="310"/>
      <c r="I1902" s="310"/>
      <c r="J1902" s="312"/>
      <c r="K1902" s="295"/>
      <c r="L1902" s="282"/>
      <c r="M1902" s="285"/>
      <c r="N1902" s="285"/>
      <c r="O1902" s="285"/>
      <c r="P1902" s="285"/>
      <c r="Q1902" s="285"/>
      <c r="R1902" s="285"/>
      <c r="S1902" s="285"/>
      <c r="T1902" s="285"/>
      <c r="U1902" s="286"/>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9"/>
      <c r="N1903" s="279"/>
      <c r="O1903" s="279"/>
      <c r="P1903" s="279"/>
      <c r="Q1903" s="279"/>
      <c r="R1903" s="279"/>
      <c r="S1903" s="279"/>
      <c r="T1903" s="279"/>
      <c r="U1903" s="280"/>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9"/>
      <c r="N1904" s="279"/>
      <c r="O1904" s="279"/>
      <c r="P1904" s="279"/>
      <c r="Q1904" s="279"/>
      <c r="R1904" s="279"/>
      <c r="S1904" s="279"/>
      <c r="T1904" s="279"/>
      <c r="U1904" s="280"/>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9"/>
      <c r="N1905" s="279"/>
      <c r="O1905" s="279"/>
      <c r="P1905" s="279"/>
      <c r="Q1905" s="279"/>
      <c r="R1905" s="279"/>
      <c r="S1905" s="279"/>
      <c r="T1905" s="279"/>
      <c r="U1905" s="280"/>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9"/>
      <c r="N1906" s="279"/>
      <c r="O1906" s="279"/>
      <c r="P1906" s="279"/>
      <c r="Q1906" s="279"/>
      <c r="R1906" s="279"/>
      <c r="S1906" s="279"/>
      <c r="T1906" s="279"/>
      <c r="U1906" s="280"/>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9"/>
      <c r="N1907" s="279"/>
      <c r="O1907" s="279"/>
      <c r="P1907" s="279"/>
      <c r="Q1907" s="279"/>
      <c r="R1907" s="279"/>
      <c r="S1907" s="279"/>
      <c r="T1907" s="279"/>
      <c r="U1907" s="280"/>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9"/>
      <c r="N1908" s="279"/>
      <c r="O1908" s="279"/>
      <c r="P1908" s="279"/>
      <c r="Q1908" s="279"/>
      <c r="R1908" s="279"/>
      <c r="S1908" s="279"/>
      <c r="T1908" s="279"/>
      <c r="U1908" s="280"/>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9"/>
      <c r="N1909" s="279"/>
      <c r="O1909" s="279"/>
      <c r="P1909" s="279"/>
      <c r="Q1909" s="279"/>
      <c r="R1909" s="279"/>
      <c r="S1909" s="279"/>
      <c r="T1909" s="279"/>
      <c r="U1909" s="280"/>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9"/>
      <c r="N1910" s="279"/>
      <c r="O1910" s="279"/>
      <c r="P1910" s="279"/>
      <c r="Q1910" s="279"/>
      <c r="R1910" s="279"/>
      <c r="S1910" s="279"/>
      <c r="T1910" s="279"/>
      <c r="U1910" s="280"/>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9"/>
      <c r="N1911" s="279"/>
      <c r="O1911" s="279"/>
      <c r="P1911" s="279"/>
      <c r="Q1911" s="279"/>
      <c r="R1911" s="279"/>
      <c r="S1911" s="279"/>
      <c r="T1911" s="279"/>
      <c r="U1911" s="280"/>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9"/>
      <c r="N1912" s="279"/>
      <c r="O1912" s="279"/>
      <c r="P1912" s="279"/>
      <c r="Q1912" s="279"/>
      <c r="R1912" s="279"/>
      <c r="S1912" s="279"/>
      <c r="T1912" s="279"/>
      <c r="U1912" s="280"/>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9"/>
      <c r="N1913" s="279"/>
      <c r="O1913" s="279"/>
      <c r="P1913" s="279"/>
      <c r="Q1913" s="279"/>
      <c r="R1913" s="279"/>
      <c r="S1913" s="279"/>
      <c r="T1913" s="279"/>
      <c r="U1913" s="280"/>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9"/>
      <c r="N1914" s="279"/>
      <c r="O1914" s="279"/>
      <c r="P1914" s="279"/>
      <c r="Q1914" s="279"/>
      <c r="R1914" s="279"/>
      <c r="S1914" s="279"/>
      <c r="T1914" s="279"/>
      <c r="U1914" s="280"/>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9"/>
      <c r="N1915" s="279"/>
      <c r="O1915" s="279"/>
      <c r="P1915" s="279"/>
      <c r="Q1915" s="279"/>
      <c r="R1915" s="279"/>
      <c r="S1915" s="279"/>
      <c r="T1915" s="279"/>
      <c r="U1915" s="280"/>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9"/>
      <c r="N1916" s="279"/>
      <c r="O1916" s="279"/>
      <c r="P1916" s="279"/>
      <c r="Q1916" s="279"/>
      <c r="R1916" s="279"/>
      <c r="S1916" s="279"/>
      <c r="T1916" s="279"/>
      <c r="U1916" s="280"/>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9"/>
      <c r="N1917" s="279"/>
      <c r="O1917" s="279"/>
      <c r="P1917" s="279"/>
      <c r="Q1917" s="279"/>
      <c r="R1917" s="279"/>
      <c r="S1917" s="279"/>
      <c r="T1917" s="279"/>
      <c r="U1917" s="280"/>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9"/>
      <c r="N1918" s="279"/>
      <c r="O1918" s="279"/>
      <c r="P1918" s="279"/>
      <c r="Q1918" s="279"/>
      <c r="R1918" s="279"/>
      <c r="S1918" s="279"/>
      <c r="T1918" s="279"/>
      <c r="U1918" s="280"/>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9"/>
      <c r="N1919" s="279"/>
      <c r="O1919" s="279"/>
      <c r="P1919" s="279"/>
      <c r="Q1919" s="279"/>
      <c r="R1919" s="279"/>
      <c r="S1919" s="279"/>
      <c r="T1919" s="279"/>
      <c r="U1919" s="280"/>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9"/>
      <c r="N1920" s="279"/>
      <c r="O1920" s="279"/>
      <c r="P1920" s="279"/>
      <c r="Q1920" s="279"/>
      <c r="R1920" s="279"/>
      <c r="S1920" s="279"/>
      <c r="T1920" s="279"/>
      <c r="U1920" s="280"/>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9"/>
      <c r="N1921" s="279"/>
      <c r="O1921" s="279"/>
      <c r="P1921" s="279"/>
      <c r="Q1921" s="279"/>
      <c r="R1921" s="279"/>
      <c r="S1921" s="279"/>
      <c r="T1921" s="279"/>
      <c r="U1921" s="280"/>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9"/>
      <c r="N1922" s="279"/>
      <c r="O1922" s="279"/>
      <c r="P1922" s="279"/>
      <c r="Q1922" s="279"/>
      <c r="R1922" s="279"/>
      <c r="S1922" s="279"/>
      <c r="T1922" s="279"/>
      <c r="U1922" s="280"/>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9"/>
      <c r="N1923" s="279"/>
      <c r="O1923" s="279"/>
      <c r="P1923" s="279"/>
      <c r="Q1923" s="279"/>
      <c r="R1923" s="279"/>
      <c r="S1923" s="279"/>
      <c r="T1923" s="279"/>
      <c r="U1923" s="280"/>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9"/>
      <c r="N1924" s="279"/>
      <c r="O1924" s="279"/>
      <c r="P1924" s="279"/>
      <c r="Q1924" s="279"/>
      <c r="R1924" s="279"/>
      <c r="S1924" s="279"/>
      <c r="T1924" s="279"/>
      <c r="U1924" s="280"/>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9"/>
      <c r="N1925" s="279"/>
      <c r="O1925" s="279"/>
      <c r="P1925" s="279"/>
      <c r="Q1925" s="279"/>
      <c r="R1925" s="279"/>
      <c r="S1925" s="279"/>
      <c r="T1925" s="279"/>
      <c r="U1925" s="280"/>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9"/>
      <c r="N1926" s="279"/>
      <c r="O1926" s="279"/>
      <c r="P1926" s="279"/>
      <c r="Q1926" s="279"/>
      <c r="R1926" s="279"/>
      <c r="S1926" s="279"/>
      <c r="T1926" s="279"/>
      <c r="U1926" s="280"/>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9"/>
      <c r="N1927" s="279"/>
      <c r="O1927" s="279"/>
      <c r="P1927" s="279"/>
      <c r="Q1927" s="279"/>
      <c r="R1927" s="279"/>
      <c r="S1927" s="279"/>
      <c r="T1927" s="279"/>
      <c r="U1927" s="280"/>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20" t="s">
        <v>397</v>
      </c>
      <c r="C1928" s="321"/>
      <c r="D1928" s="79"/>
      <c r="E1928" s="80"/>
      <c r="F1928" s="80"/>
      <c r="G1928" s="81"/>
      <c r="H1928" s="192"/>
      <c r="I1928" s="192"/>
      <c r="J1928" s="192"/>
      <c r="K1928" s="82"/>
      <c r="L1928" s="320" t="s">
        <v>306</v>
      </c>
      <c r="M1928" s="331"/>
      <c r="N1928" s="331"/>
      <c r="O1928" s="331"/>
      <c r="P1928" s="331"/>
      <c r="Q1928" s="331"/>
      <c r="R1928" s="331"/>
      <c r="S1928" s="331"/>
      <c r="T1928" s="331"/>
      <c r="U1928" s="321"/>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20" t="s">
        <v>307</v>
      </c>
      <c r="C1929" s="321"/>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3" t="s">
        <v>222</v>
      </c>
      <c r="C1933" s="314"/>
      <c r="D1933" s="315" t="s">
        <v>223</v>
      </c>
      <c r="E1933" s="306"/>
      <c r="F1933" s="88"/>
      <c r="G1933" s="316" t="s">
        <v>224</v>
      </c>
      <c r="H1933" s="317"/>
      <c r="I1933" s="28">
        <f>SUM(E1944:E1968)</f>
        <v>0</v>
      </c>
      <c r="J1933" s="318" t="s">
        <v>225</v>
      </c>
      <c r="K1933" s="319"/>
      <c r="L1933" s="306"/>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6" t="s">
        <v>226</v>
      </c>
      <c r="AA1933" s="297"/>
      <c r="AB1933" s="298"/>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5" t="s">
        <v>230</v>
      </c>
      <c r="H1934" s="306"/>
      <c r="I1934" s="33">
        <f>E1935-I1933</f>
        <v>0</v>
      </c>
      <c r="J1934" s="290" t="s">
        <v>231</v>
      </c>
      <c r="K1934" s="291"/>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9" t="s">
        <v>232</v>
      </c>
      <c r="AA1934" s="301" t="s">
        <v>233</v>
      </c>
      <c r="AB1934" s="302"/>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2" t="s">
        <v>237</v>
      </c>
      <c r="H1935" s="293"/>
      <c r="I1935" s="35">
        <f>IF(E1935=0,0,12-(MOD(I1933,12)))</f>
        <v>0</v>
      </c>
      <c r="J1935" s="290" t="s">
        <v>238</v>
      </c>
      <c r="K1935" s="291"/>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0"/>
      <c r="AA1935" s="303"/>
      <c r="AB1935" s="304"/>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2" t="s">
        <v>242</v>
      </c>
      <c r="H1936" s="43" t="s">
        <v>243</v>
      </c>
      <c r="I1936" s="35">
        <f>IF(E1936&lt;&gt;0,1,0)</f>
        <v>0</v>
      </c>
      <c r="J1936" s="292" t="s">
        <v>244</v>
      </c>
      <c r="K1936" s="293"/>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3"/>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2" t="s">
        <v>251</v>
      </c>
      <c r="H1938" s="51" t="s">
        <v>252</v>
      </c>
      <c r="I1938" s="112">
        <f>E1937</f>
        <v>0</v>
      </c>
      <c r="J1938" s="324" t="s">
        <v>253</v>
      </c>
      <c r="K1938" s="325"/>
      <c r="L1938" s="326"/>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3"/>
      <c r="H1939" s="47" t="s">
        <v>257</v>
      </c>
      <c r="I1939" s="35" t="str">
        <f>IF(E1937="","0",IF(AND(E1934="EUC",E1935=432), I1938+(203-E1936),IF(E1937=0,0,(E1937+(E1935-E1936)-1))))</f>
        <v>0</v>
      </c>
      <c r="J1939" s="287" t="str">
        <f>IFERROR(IF(OR(E1934="EUC",E1934="SS"),"---",IF(OR(P1933,S1933),"NO 2F Tethers for RPX!",IF(OR(P1935,S1935),"NO 6F Tethers for RPX!","---"))),"---")</f>
        <v>---</v>
      </c>
      <c r="K1939" s="288"/>
      <c r="L1939" s="289"/>
      <c r="M1939" s="287" t="str">
        <f>IF(E1936&gt;60,"Dead Count &gt;60: Consider Downsize","---")</f>
        <v>---</v>
      </c>
      <c r="N1939" s="288"/>
      <c r="O1939" s="288"/>
      <c r="P1939" s="288"/>
      <c r="Q1939" s="288"/>
      <c r="R1939" s="288"/>
      <c r="S1939" s="288"/>
      <c r="T1939" s="288"/>
      <c r="U1939" s="289"/>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7"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8"/>
      <c r="L1940" s="289"/>
      <c r="M1940" s="287" t="str">
        <f>IF(AND(OR(E1934="SS",E1934="RPX",E1934="EUC",E1934="RPX-T"),(OR(C1944="",C1944="Field SPL"))),"Cannot have FlexNap cables without tethers","---")</f>
        <v>---</v>
      </c>
      <c r="N1940" s="288"/>
      <c r="O1940" s="288"/>
      <c r="P1940" s="288"/>
      <c r="Q1940" s="288"/>
      <c r="R1940" s="288"/>
      <c r="S1940" s="288"/>
      <c r="T1940" s="288"/>
      <c r="U1940" s="289"/>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7" t="str">
        <f>IF(AND(OR(E1934="RPX", E1934="RPX-T", E1934="SS"),E1935=216),"NO 216 For RPX, RPX-T, OR SS CABLE","---")</f>
        <v>---</v>
      </c>
      <c r="K1941" s="288"/>
      <c r="L1941" s="289"/>
      <c r="M1941" s="287" t="str" cm="1">
        <f t="array" ref="M1941">IF(AND(E1934="",OR(C1944:C1968="FST",C1944:C1968="REV T",C1944:C1968="DBL REV",C1944:C1968="TPL REV", C1944:C1968="QD REV")),"Non-FlexNap cables cannot have tethers","---")</f>
        <v>---</v>
      </c>
      <c r="N1941" s="288"/>
      <c r="O1941" s="288"/>
      <c r="P1941" s="288"/>
      <c r="Q1941" s="288"/>
      <c r="R1941" s="288"/>
      <c r="S1941" s="288"/>
      <c r="T1941" s="288"/>
      <c r="U1941" s="289"/>
      <c r="V1941" s="25"/>
      <c r="W1941" s="58"/>
      <c r="X1941" s="58"/>
      <c r="Y1941" s="25"/>
      <c r="Z1941" s="45">
        <v>6</v>
      </c>
      <c r="AA1941" s="65">
        <v>61</v>
      </c>
      <c r="AB1941" s="65">
        <v>72</v>
      </c>
      <c r="AC1941" s="25"/>
      <c r="AD1941" s="25"/>
      <c r="BA1941" s="226"/>
    </row>
    <row r="1942" spans="1:53" ht="15.75" customHeight="1" thickBot="1" x14ac:dyDescent="0.3">
      <c r="A1942" s="88"/>
      <c r="B1942" s="322" t="s">
        <v>260</v>
      </c>
      <c r="C1942" s="294" t="s">
        <v>261</v>
      </c>
      <c r="D1942" s="294" t="s">
        <v>262</v>
      </c>
      <c r="E1942" s="307" t="s">
        <v>263</v>
      </c>
      <c r="F1942" s="294" t="s">
        <v>264</v>
      </c>
      <c r="G1942" s="309" t="s">
        <v>265</v>
      </c>
      <c r="H1942" s="309" t="s">
        <v>266</v>
      </c>
      <c r="I1942" s="309" t="s">
        <v>267</v>
      </c>
      <c r="J1942" s="311" t="s">
        <v>268</v>
      </c>
      <c r="K1942" s="294" t="s">
        <v>269</v>
      </c>
      <c r="L1942" s="281" t="s">
        <v>270</v>
      </c>
      <c r="M1942" s="283" t="s">
        <v>271</v>
      </c>
      <c r="N1942" s="283"/>
      <c r="O1942" s="283"/>
      <c r="P1942" s="283"/>
      <c r="Q1942" s="283"/>
      <c r="R1942" s="283"/>
      <c r="S1942" s="283"/>
      <c r="T1942" s="283"/>
      <c r="U1942" s="284"/>
      <c r="V1942" s="107"/>
      <c r="W1942" s="72"/>
      <c r="X1942" s="72"/>
      <c r="Y1942" s="72"/>
      <c r="Z1942" s="45">
        <v>7</v>
      </c>
      <c r="AA1942" s="65">
        <v>73</v>
      </c>
      <c r="AB1942" s="65">
        <v>84</v>
      </c>
      <c r="AC1942" s="25"/>
      <c r="AD1942" s="25"/>
      <c r="BA1942" s="228"/>
    </row>
    <row r="1943" spans="1:53" ht="15.75" thickBot="1" x14ac:dyDescent="0.3">
      <c r="A1943" s="88"/>
      <c r="B1943" s="323"/>
      <c r="C1943" s="295"/>
      <c r="D1943" s="295"/>
      <c r="E1943" s="308"/>
      <c r="F1943" s="295"/>
      <c r="G1943" s="310"/>
      <c r="H1943" s="310"/>
      <c r="I1943" s="310"/>
      <c r="J1943" s="312"/>
      <c r="K1943" s="295"/>
      <c r="L1943" s="282"/>
      <c r="M1943" s="285"/>
      <c r="N1943" s="285"/>
      <c r="O1943" s="285"/>
      <c r="P1943" s="285"/>
      <c r="Q1943" s="285"/>
      <c r="R1943" s="285"/>
      <c r="S1943" s="285"/>
      <c r="T1943" s="285"/>
      <c r="U1943" s="286"/>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9"/>
      <c r="N1944" s="279"/>
      <c r="O1944" s="279"/>
      <c r="P1944" s="279"/>
      <c r="Q1944" s="279"/>
      <c r="R1944" s="279"/>
      <c r="S1944" s="279"/>
      <c r="T1944" s="279"/>
      <c r="U1944" s="280"/>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9"/>
      <c r="N1945" s="279"/>
      <c r="O1945" s="279"/>
      <c r="P1945" s="279"/>
      <c r="Q1945" s="279"/>
      <c r="R1945" s="279"/>
      <c r="S1945" s="279"/>
      <c r="T1945" s="279"/>
      <c r="U1945" s="280"/>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9"/>
      <c r="N1946" s="279"/>
      <c r="O1946" s="279"/>
      <c r="P1946" s="279"/>
      <c r="Q1946" s="279"/>
      <c r="R1946" s="279"/>
      <c r="S1946" s="279"/>
      <c r="T1946" s="279"/>
      <c r="U1946" s="280"/>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9"/>
      <c r="N1947" s="279"/>
      <c r="O1947" s="279"/>
      <c r="P1947" s="279"/>
      <c r="Q1947" s="279"/>
      <c r="R1947" s="279"/>
      <c r="S1947" s="279"/>
      <c r="T1947" s="279"/>
      <c r="U1947" s="280"/>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9"/>
      <c r="N1948" s="279"/>
      <c r="O1948" s="279"/>
      <c r="P1948" s="279"/>
      <c r="Q1948" s="279"/>
      <c r="R1948" s="279"/>
      <c r="S1948" s="279"/>
      <c r="T1948" s="279"/>
      <c r="U1948" s="280"/>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9"/>
      <c r="N1949" s="279"/>
      <c r="O1949" s="279"/>
      <c r="P1949" s="279"/>
      <c r="Q1949" s="279"/>
      <c r="R1949" s="279"/>
      <c r="S1949" s="279"/>
      <c r="T1949" s="279"/>
      <c r="U1949" s="280"/>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9"/>
      <c r="N1950" s="279"/>
      <c r="O1950" s="279"/>
      <c r="P1950" s="279"/>
      <c r="Q1950" s="279"/>
      <c r="R1950" s="279"/>
      <c r="S1950" s="279"/>
      <c r="T1950" s="279"/>
      <c r="U1950" s="280"/>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9"/>
      <c r="N1951" s="279"/>
      <c r="O1951" s="279"/>
      <c r="P1951" s="279"/>
      <c r="Q1951" s="279"/>
      <c r="R1951" s="279"/>
      <c r="S1951" s="279"/>
      <c r="T1951" s="279"/>
      <c r="U1951" s="280"/>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9"/>
      <c r="N1952" s="279"/>
      <c r="O1952" s="279"/>
      <c r="P1952" s="279"/>
      <c r="Q1952" s="279"/>
      <c r="R1952" s="279"/>
      <c r="S1952" s="279"/>
      <c r="T1952" s="279"/>
      <c r="U1952" s="280"/>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9"/>
      <c r="N1953" s="279"/>
      <c r="O1953" s="279"/>
      <c r="P1953" s="279"/>
      <c r="Q1953" s="279"/>
      <c r="R1953" s="279"/>
      <c r="S1953" s="279"/>
      <c r="T1953" s="279"/>
      <c r="U1953" s="280"/>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9"/>
      <c r="N1954" s="279"/>
      <c r="O1954" s="279"/>
      <c r="P1954" s="279"/>
      <c r="Q1954" s="279"/>
      <c r="R1954" s="279"/>
      <c r="S1954" s="279"/>
      <c r="T1954" s="279"/>
      <c r="U1954" s="280"/>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9"/>
      <c r="N1955" s="279"/>
      <c r="O1955" s="279"/>
      <c r="P1955" s="279"/>
      <c r="Q1955" s="279"/>
      <c r="R1955" s="279"/>
      <c r="S1955" s="279"/>
      <c r="T1955" s="279"/>
      <c r="U1955" s="280"/>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9"/>
      <c r="N1956" s="279"/>
      <c r="O1956" s="279"/>
      <c r="P1956" s="279"/>
      <c r="Q1956" s="279"/>
      <c r="R1956" s="279"/>
      <c r="S1956" s="279"/>
      <c r="T1956" s="279"/>
      <c r="U1956" s="280"/>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9"/>
      <c r="N1957" s="279"/>
      <c r="O1957" s="279"/>
      <c r="P1957" s="279"/>
      <c r="Q1957" s="279"/>
      <c r="R1957" s="279"/>
      <c r="S1957" s="279"/>
      <c r="T1957" s="279"/>
      <c r="U1957" s="280"/>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9"/>
      <c r="N1958" s="279"/>
      <c r="O1958" s="279"/>
      <c r="P1958" s="279"/>
      <c r="Q1958" s="279"/>
      <c r="R1958" s="279"/>
      <c r="S1958" s="279"/>
      <c r="T1958" s="279"/>
      <c r="U1958" s="280"/>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9"/>
      <c r="N1959" s="279"/>
      <c r="O1959" s="279"/>
      <c r="P1959" s="279"/>
      <c r="Q1959" s="279"/>
      <c r="R1959" s="279"/>
      <c r="S1959" s="279"/>
      <c r="T1959" s="279"/>
      <c r="U1959" s="280"/>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9"/>
      <c r="N1960" s="279"/>
      <c r="O1960" s="279"/>
      <c r="P1960" s="279"/>
      <c r="Q1960" s="279"/>
      <c r="R1960" s="279"/>
      <c r="S1960" s="279"/>
      <c r="T1960" s="279"/>
      <c r="U1960" s="280"/>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9"/>
      <c r="N1961" s="279"/>
      <c r="O1961" s="279"/>
      <c r="P1961" s="279"/>
      <c r="Q1961" s="279"/>
      <c r="R1961" s="279"/>
      <c r="S1961" s="279"/>
      <c r="T1961" s="279"/>
      <c r="U1961" s="280"/>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9"/>
      <c r="N1962" s="279"/>
      <c r="O1962" s="279"/>
      <c r="P1962" s="279"/>
      <c r="Q1962" s="279"/>
      <c r="R1962" s="279"/>
      <c r="S1962" s="279"/>
      <c r="T1962" s="279"/>
      <c r="U1962" s="280"/>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9"/>
      <c r="N1963" s="279"/>
      <c r="O1963" s="279"/>
      <c r="P1963" s="279"/>
      <c r="Q1963" s="279"/>
      <c r="R1963" s="279"/>
      <c r="S1963" s="279"/>
      <c r="T1963" s="279"/>
      <c r="U1963" s="280"/>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9"/>
      <c r="N1964" s="279"/>
      <c r="O1964" s="279"/>
      <c r="P1964" s="279"/>
      <c r="Q1964" s="279"/>
      <c r="R1964" s="279"/>
      <c r="S1964" s="279"/>
      <c r="T1964" s="279"/>
      <c r="U1964" s="280"/>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9"/>
      <c r="N1965" s="279"/>
      <c r="O1965" s="279"/>
      <c r="P1965" s="279"/>
      <c r="Q1965" s="279"/>
      <c r="R1965" s="279"/>
      <c r="S1965" s="279"/>
      <c r="T1965" s="279"/>
      <c r="U1965" s="280"/>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9"/>
      <c r="N1966" s="279"/>
      <c r="O1966" s="279"/>
      <c r="P1966" s="279"/>
      <c r="Q1966" s="279"/>
      <c r="R1966" s="279"/>
      <c r="S1966" s="279"/>
      <c r="T1966" s="279"/>
      <c r="U1966" s="280"/>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9"/>
      <c r="N1967" s="279"/>
      <c r="O1967" s="279"/>
      <c r="P1967" s="279"/>
      <c r="Q1967" s="279"/>
      <c r="R1967" s="279"/>
      <c r="S1967" s="279"/>
      <c r="T1967" s="279"/>
      <c r="U1967" s="280"/>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9"/>
      <c r="N1968" s="279"/>
      <c r="O1968" s="279"/>
      <c r="P1968" s="279"/>
      <c r="Q1968" s="279"/>
      <c r="R1968" s="279"/>
      <c r="S1968" s="279"/>
      <c r="T1968" s="279"/>
      <c r="U1968" s="280"/>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20" t="s">
        <v>399</v>
      </c>
      <c r="C1969" s="321"/>
      <c r="D1969" s="79"/>
      <c r="E1969" s="80"/>
      <c r="F1969" s="80"/>
      <c r="G1969" s="81"/>
      <c r="H1969" s="192"/>
      <c r="I1969" s="192"/>
      <c r="J1969" s="192"/>
      <c r="K1969" s="82"/>
      <c r="L1969" s="320" t="s">
        <v>306</v>
      </c>
      <c r="M1969" s="331"/>
      <c r="N1969" s="331"/>
      <c r="O1969" s="331"/>
      <c r="P1969" s="331"/>
      <c r="Q1969" s="331"/>
      <c r="R1969" s="331"/>
      <c r="S1969" s="331"/>
      <c r="T1969" s="331"/>
      <c r="U1969" s="321"/>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20" t="s">
        <v>307</v>
      </c>
      <c r="C1970" s="321"/>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3" t="s">
        <v>222</v>
      </c>
      <c r="C1974" s="314"/>
      <c r="D1974" s="315" t="s">
        <v>223</v>
      </c>
      <c r="E1974" s="306"/>
      <c r="F1974" s="88"/>
      <c r="G1974" s="316" t="s">
        <v>224</v>
      </c>
      <c r="H1974" s="317"/>
      <c r="I1974" s="28">
        <f>SUM(E1985:E2009)</f>
        <v>0</v>
      </c>
      <c r="J1974" s="318" t="s">
        <v>225</v>
      </c>
      <c r="K1974" s="319"/>
      <c r="L1974" s="306"/>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6" t="s">
        <v>226</v>
      </c>
      <c r="AA1974" s="297"/>
      <c r="AB1974" s="298"/>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5" t="s">
        <v>230</v>
      </c>
      <c r="H1975" s="306"/>
      <c r="I1975" s="33">
        <f>E1976-I1974</f>
        <v>0</v>
      </c>
      <c r="J1975" s="290" t="s">
        <v>231</v>
      </c>
      <c r="K1975" s="291"/>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9" t="s">
        <v>232</v>
      </c>
      <c r="AA1975" s="301" t="s">
        <v>233</v>
      </c>
      <c r="AB1975" s="302"/>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2" t="s">
        <v>237</v>
      </c>
      <c r="H1976" s="293"/>
      <c r="I1976" s="35">
        <f>IF(E1976=0,0,12-(MOD(I1974,12)))</f>
        <v>0</v>
      </c>
      <c r="J1976" s="290" t="s">
        <v>238</v>
      </c>
      <c r="K1976" s="291"/>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0"/>
      <c r="AA1976" s="303"/>
      <c r="AB1976" s="304"/>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2" t="s">
        <v>242</v>
      </c>
      <c r="H1977" s="43" t="s">
        <v>243</v>
      </c>
      <c r="I1977" s="35">
        <f>IF(E1977&lt;&gt;0,1,0)</f>
        <v>0</v>
      </c>
      <c r="J1977" s="292" t="s">
        <v>244</v>
      </c>
      <c r="K1977" s="293"/>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3"/>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2" t="s">
        <v>251</v>
      </c>
      <c r="H1979" s="51" t="s">
        <v>252</v>
      </c>
      <c r="I1979" s="112">
        <f>E1978</f>
        <v>0</v>
      </c>
      <c r="J1979" s="324" t="s">
        <v>253</v>
      </c>
      <c r="K1979" s="325"/>
      <c r="L1979" s="326"/>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3"/>
      <c r="H1980" s="47" t="s">
        <v>257</v>
      </c>
      <c r="I1980" s="35" t="str">
        <f>IF(E1978="","0",IF(AND(E1975="EUC",E1976=432), I1979+(203-E1977),IF(E1978=0,0,(E1978+(E1976-E1977)-1))))</f>
        <v>0</v>
      </c>
      <c r="J1980" s="287" t="str">
        <f>IFERROR(IF(OR(E1975="EUC",E1975="SS"),"---",IF(OR(P1974,S1974),"NO 2F Tethers for RPX!",IF(OR(P1976,S1976),"NO 6F Tethers for RPX!","---"))),"---")</f>
        <v>---</v>
      </c>
      <c r="K1980" s="288"/>
      <c r="L1980" s="289"/>
      <c r="M1980" s="287" t="str">
        <f>IF(E1977&gt;60,"Dead Count &gt;60: Consider Downsize","---")</f>
        <v>---</v>
      </c>
      <c r="N1980" s="288"/>
      <c r="O1980" s="288"/>
      <c r="P1980" s="288"/>
      <c r="Q1980" s="288"/>
      <c r="R1980" s="288"/>
      <c r="S1980" s="288"/>
      <c r="T1980" s="288"/>
      <c r="U1980" s="289"/>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7"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8"/>
      <c r="L1981" s="289"/>
      <c r="M1981" s="287" t="str">
        <f>IF(AND(OR(E1975="SS",E1975="RPX",E1975="EUC",E1975="RPX-T"),(OR(C1985="",C1985="Field SPL"))),"Cannot have FlexNap cables without tethers","---")</f>
        <v>---</v>
      </c>
      <c r="N1981" s="288"/>
      <c r="O1981" s="288"/>
      <c r="P1981" s="288"/>
      <c r="Q1981" s="288"/>
      <c r="R1981" s="288"/>
      <c r="S1981" s="288"/>
      <c r="T1981" s="288"/>
      <c r="U1981" s="289"/>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7" t="str">
        <f>IF(AND(OR(E1975="RPX", E1975="RPX-T", E1975="SS"),E1976=216),"NO 216 For RPX, RPX-T, OR SS CABLE","---")</f>
        <v>---</v>
      </c>
      <c r="K1982" s="288"/>
      <c r="L1982" s="289"/>
      <c r="M1982" s="287" t="str" cm="1">
        <f t="array" ref="M1982">IF(AND(E1975="",OR(C1985:C2009="FST",C1985:C2009="REV T",C1985:C2009="DBL REV",C1985:C2009="TPL REV", C1985:C2009="QD REV")),"Non-FlexNap cables cannot have tethers","---")</f>
        <v>---</v>
      </c>
      <c r="N1982" s="288"/>
      <c r="O1982" s="288"/>
      <c r="P1982" s="288"/>
      <c r="Q1982" s="288"/>
      <c r="R1982" s="288"/>
      <c r="S1982" s="288"/>
      <c r="T1982" s="288"/>
      <c r="U1982" s="289"/>
      <c r="V1982" s="25"/>
      <c r="W1982" s="58"/>
      <c r="X1982" s="58"/>
      <c r="Y1982" s="25"/>
      <c r="Z1982" s="45">
        <v>6</v>
      </c>
      <c r="AA1982" s="65">
        <v>61</v>
      </c>
      <c r="AB1982" s="65">
        <v>72</v>
      </c>
      <c r="AC1982" s="25"/>
      <c r="AD1982" s="25"/>
      <c r="BA1982" s="226"/>
    </row>
    <row r="1983" spans="1:53" ht="15.75" customHeight="1" thickBot="1" x14ac:dyDescent="0.3">
      <c r="A1983" s="88"/>
      <c r="B1983" s="322" t="s">
        <v>260</v>
      </c>
      <c r="C1983" s="294" t="s">
        <v>261</v>
      </c>
      <c r="D1983" s="294" t="s">
        <v>262</v>
      </c>
      <c r="E1983" s="307" t="s">
        <v>263</v>
      </c>
      <c r="F1983" s="294" t="s">
        <v>264</v>
      </c>
      <c r="G1983" s="309" t="s">
        <v>265</v>
      </c>
      <c r="H1983" s="309" t="s">
        <v>266</v>
      </c>
      <c r="I1983" s="309" t="s">
        <v>267</v>
      </c>
      <c r="J1983" s="311" t="s">
        <v>268</v>
      </c>
      <c r="K1983" s="294" t="s">
        <v>269</v>
      </c>
      <c r="L1983" s="281" t="s">
        <v>270</v>
      </c>
      <c r="M1983" s="283" t="s">
        <v>271</v>
      </c>
      <c r="N1983" s="283"/>
      <c r="O1983" s="283"/>
      <c r="P1983" s="283"/>
      <c r="Q1983" s="283"/>
      <c r="R1983" s="283"/>
      <c r="S1983" s="283"/>
      <c r="T1983" s="283"/>
      <c r="U1983" s="284"/>
      <c r="V1983" s="107"/>
      <c r="W1983" s="72"/>
      <c r="X1983" s="72"/>
      <c r="Y1983" s="72"/>
      <c r="Z1983" s="45">
        <v>7</v>
      </c>
      <c r="AA1983" s="65">
        <v>73</v>
      </c>
      <c r="AB1983" s="65">
        <v>84</v>
      </c>
      <c r="AC1983" s="25"/>
      <c r="AD1983" s="25"/>
      <c r="BA1983" s="228"/>
    </row>
    <row r="1984" spans="1:53" ht="15.75" thickBot="1" x14ac:dyDescent="0.3">
      <c r="A1984" s="88"/>
      <c r="B1984" s="323"/>
      <c r="C1984" s="295"/>
      <c r="D1984" s="295"/>
      <c r="E1984" s="308"/>
      <c r="F1984" s="295"/>
      <c r="G1984" s="310"/>
      <c r="H1984" s="310"/>
      <c r="I1984" s="310"/>
      <c r="J1984" s="312"/>
      <c r="K1984" s="295"/>
      <c r="L1984" s="282"/>
      <c r="M1984" s="285"/>
      <c r="N1984" s="285"/>
      <c r="O1984" s="285"/>
      <c r="P1984" s="285"/>
      <c r="Q1984" s="285"/>
      <c r="R1984" s="285"/>
      <c r="S1984" s="285"/>
      <c r="T1984" s="285"/>
      <c r="U1984" s="286"/>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9"/>
      <c r="N1985" s="279"/>
      <c r="O1985" s="279"/>
      <c r="P1985" s="279"/>
      <c r="Q1985" s="279"/>
      <c r="R1985" s="279"/>
      <c r="S1985" s="279"/>
      <c r="T1985" s="279"/>
      <c r="U1985" s="280"/>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9"/>
      <c r="N1986" s="279"/>
      <c r="O1986" s="279"/>
      <c r="P1986" s="279"/>
      <c r="Q1986" s="279"/>
      <c r="R1986" s="279"/>
      <c r="S1986" s="279"/>
      <c r="T1986" s="279"/>
      <c r="U1986" s="280"/>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9"/>
      <c r="N1987" s="279"/>
      <c r="O1987" s="279"/>
      <c r="P1987" s="279"/>
      <c r="Q1987" s="279"/>
      <c r="R1987" s="279"/>
      <c r="S1987" s="279"/>
      <c r="T1987" s="279"/>
      <c r="U1987" s="280"/>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9"/>
      <c r="N1988" s="279"/>
      <c r="O1988" s="279"/>
      <c r="P1988" s="279"/>
      <c r="Q1988" s="279"/>
      <c r="R1988" s="279"/>
      <c r="S1988" s="279"/>
      <c r="T1988" s="279"/>
      <c r="U1988" s="280"/>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9"/>
      <c r="N1989" s="279"/>
      <c r="O1989" s="279"/>
      <c r="P1989" s="279"/>
      <c r="Q1989" s="279"/>
      <c r="R1989" s="279"/>
      <c r="S1989" s="279"/>
      <c r="T1989" s="279"/>
      <c r="U1989" s="280"/>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9"/>
      <c r="N1990" s="279"/>
      <c r="O1990" s="279"/>
      <c r="P1990" s="279"/>
      <c r="Q1990" s="279"/>
      <c r="R1990" s="279"/>
      <c r="S1990" s="279"/>
      <c r="T1990" s="279"/>
      <c r="U1990" s="280"/>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9"/>
      <c r="N1991" s="279"/>
      <c r="O1991" s="279"/>
      <c r="P1991" s="279"/>
      <c r="Q1991" s="279"/>
      <c r="R1991" s="279"/>
      <c r="S1991" s="279"/>
      <c r="T1991" s="279"/>
      <c r="U1991" s="280"/>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9"/>
      <c r="N1992" s="279"/>
      <c r="O1992" s="279"/>
      <c r="P1992" s="279"/>
      <c r="Q1992" s="279"/>
      <c r="R1992" s="279"/>
      <c r="S1992" s="279"/>
      <c r="T1992" s="279"/>
      <c r="U1992" s="280"/>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9"/>
      <c r="N1993" s="279"/>
      <c r="O1993" s="279"/>
      <c r="P1993" s="279"/>
      <c r="Q1993" s="279"/>
      <c r="R1993" s="279"/>
      <c r="S1993" s="279"/>
      <c r="T1993" s="279"/>
      <c r="U1993" s="280"/>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9"/>
      <c r="N1994" s="279"/>
      <c r="O1994" s="279"/>
      <c r="P1994" s="279"/>
      <c r="Q1994" s="279"/>
      <c r="R1994" s="279"/>
      <c r="S1994" s="279"/>
      <c r="T1994" s="279"/>
      <c r="U1994" s="280"/>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9"/>
      <c r="N1995" s="279"/>
      <c r="O1995" s="279"/>
      <c r="P1995" s="279"/>
      <c r="Q1995" s="279"/>
      <c r="R1995" s="279"/>
      <c r="S1995" s="279"/>
      <c r="T1995" s="279"/>
      <c r="U1995" s="280"/>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9"/>
      <c r="N1996" s="279"/>
      <c r="O1996" s="279"/>
      <c r="P1996" s="279"/>
      <c r="Q1996" s="279"/>
      <c r="R1996" s="279"/>
      <c r="S1996" s="279"/>
      <c r="T1996" s="279"/>
      <c r="U1996" s="280"/>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9"/>
      <c r="N1997" s="279"/>
      <c r="O1997" s="279"/>
      <c r="P1997" s="279"/>
      <c r="Q1997" s="279"/>
      <c r="R1997" s="279"/>
      <c r="S1997" s="279"/>
      <c r="T1997" s="279"/>
      <c r="U1997" s="280"/>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9"/>
      <c r="N1998" s="279"/>
      <c r="O1998" s="279"/>
      <c r="P1998" s="279"/>
      <c r="Q1998" s="279"/>
      <c r="R1998" s="279"/>
      <c r="S1998" s="279"/>
      <c r="T1998" s="279"/>
      <c r="U1998" s="280"/>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9"/>
      <c r="N1999" s="279"/>
      <c r="O1999" s="279"/>
      <c r="P1999" s="279"/>
      <c r="Q1999" s="279"/>
      <c r="R1999" s="279"/>
      <c r="S1999" s="279"/>
      <c r="T1999" s="279"/>
      <c r="U1999" s="280"/>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9"/>
      <c r="N2000" s="279"/>
      <c r="O2000" s="279"/>
      <c r="P2000" s="279"/>
      <c r="Q2000" s="279"/>
      <c r="R2000" s="279"/>
      <c r="S2000" s="279"/>
      <c r="T2000" s="279"/>
      <c r="U2000" s="280"/>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9"/>
      <c r="N2001" s="279"/>
      <c r="O2001" s="279"/>
      <c r="P2001" s="279"/>
      <c r="Q2001" s="279"/>
      <c r="R2001" s="279"/>
      <c r="S2001" s="279"/>
      <c r="T2001" s="279"/>
      <c r="U2001" s="280"/>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9"/>
      <c r="N2002" s="279"/>
      <c r="O2002" s="279"/>
      <c r="P2002" s="279"/>
      <c r="Q2002" s="279"/>
      <c r="R2002" s="279"/>
      <c r="S2002" s="279"/>
      <c r="T2002" s="279"/>
      <c r="U2002" s="280"/>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9"/>
      <c r="N2003" s="279"/>
      <c r="O2003" s="279"/>
      <c r="P2003" s="279"/>
      <c r="Q2003" s="279"/>
      <c r="R2003" s="279"/>
      <c r="S2003" s="279"/>
      <c r="T2003" s="279"/>
      <c r="U2003" s="280"/>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9"/>
      <c r="N2004" s="279"/>
      <c r="O2004" s="279"/>
      <c r="P2004" s="279"/>
      <c r="Q2004" s="279"/>
      <c r="R2004" s="279"/>
      <c r="S2004" s="279"/>
      <c r="T2004" s="279"/>
      <c r="U2004" s="280"/>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9"/>
      <c r="N2005" s="279"/>
      <c r="O2005" s="279"/>
      <c r="P2005" s="279"/>
      <c r="Q2005" s="279"/>
      <c r="R2005" s="279"/>
      <c r="S2005" s="279"/>
      <c r="T2005" s="279"/>
      <c r="U2005" s="280"/>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9"/>
      <c r="N2006" s="279"/>
      <c r="O2006" s="279"/>
      <c r="P2006" s="279"/>
      <c r="Q2006" s="279"/>
      <c r="R2006" s="279"/>
      <c r="S2006" s="279"/>
      <c r="T2006" s="279"/>
      <c r="U2006" s="280"/>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9"/>
      <c r="N2007" s="279"/>
      <c r="O2007" s="279"/>
      <c r="P2007" s="279"/>
      <c r="Q2007" s="279"/>
      <c r="R2007" s="279"/>
      <c r="S2007" s="279"/>
      <c r="T2007" s="279"/>
      <c r="U2007" s="280"/>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9"/>
      <c r="N2008" s="279"/>
      <c r="O2008" s="279"/>
      <c r="P2008" s="279"/>
      <c r="Q2008" s="279"/>
      <c r="R2008" s="279"/>
      <c r="S2008" s="279"/>
      <c r="T2008" s="279"/>
      <c r="U2008" s="280"/>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9"/>
      <c r="N2009" s="279"/>
      <c r="O2009" s="279"/>
      <c r="P2009" s="279"/>
      <c r="Q2009" s="279"/>
      <c r="R2009" s="279"/>
      <c r="S2009" s="279"/>
      <c r="T2009" s="279"/>
      <c r="U2009" s="280"/>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20" t="s">
        <v>401</v>
      </c>
      <c r="C2010" s="321"/>
      <c r="D2010" s="79"/>
      <c r="E2010" s="80"/>
      <c r="F2010" s="80"/>
      <c r="G2010" s="81"/>
      <c r="H2010" s="192"/>
      <c r="I2010" s="192"/>
      <c r="J2010" s="192"/>
      <c r="K2010" s="82"/>
      <c r="L2010" s="320" t="s">
        <v>306</v>
      </c>
      <c r="M2010" s="331"/>
      <c r="N2010" s="331"/>
      <c r="O2010" s="331"/>
      <c r="P2010" s="331"/>
      <c r="Q2010" s="331"/>
      <c r="R2010" s="331"/>
      <c r="S2010" s="331"/>
      <c r="T2010" s="331"/>
      <c r="U2010" s="321"/>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20" t="s">
        <v>307</v>
      </c>
      <c r="C2011" s="321"/>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3" t="s">
        <v>222</v>
      </c>
      <c r="C2015" s="314"/>
      <c r="D2015" s="315" t="s">
        <v>223</v>
      </c>
      <c r="E2015" s="306"/>
      <c r="F2015" s="88"/>
      <c r="G2015" s="316" t="s">
        <v>224</v>
      </c>
      <c r="H2015" s="317"/>
      <c r="I2015" s="28">
        <f>SUM(E2026:E2050)</f>
        <v>0</v>
      </c>
      <c r="J2015" s="318" t="s">
        <v>225</v>
      </c>
      <c r="K2015" s="319"/>
      <c r="L2015" s="306"/>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6" t="s">
        <v>226</v>
      </c>
      <c r="AA2015" s="297"/>
      <c r="AB2015" s="298"/>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5" t="s">
        <v>230</v>
      </c>
      <c r="H2016" s="306"/>
      <c r="I2016" s="33">
        <f>E2017-I2015</f>
        <v>0</v>
      </c>
      <c r="J2016" s="290" t="s">
        <v>231</v>
      </c>
      <c r="K2016" s="291"/>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9" t="s">
        <v>232</v>
      </c>
      <c r="AA2016" s="301" t="s">
        <v>233</v>
      </c>
      <c r="AB2016" s="302"/>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2" t="s">
        <v>237</v>
      </c>
      <c r="H2017" s="293"/>
      <c r="I2017" s="35">
        <f>IF(E2017=0,0,12-(MOD(I2015,12)))</f>
        <v>0</v>
      </c>
      <c r="J2017" s="290" t="s">
        <v>238</v>
      </c>
      <c r="K2017" s="291"/>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0"/>
      <c r="AA2017" s="303"/>
      <c r="AB2017" s="304"/>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2" t="s">
        <v>242</v>
      </c>
      <c r="H2018" s="43" t="s">
        <v>243</v>
      </c>
      <c r="I2018" s="35">
        <f>IF(E2018&lt;&gt;0,1,0)</f>
        <v>0</v>
      </c>
      <c r="J2018" s="292" t="s">
        <v>244</v>
      </c>
      <c r="K2018" s="293"/>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3"/>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2" t="s">
        <v>251</v>
      </c>
      <c r="H2020" s="51" t="s">
        <v>252</v>
      </c>
      <c r="I2020" s="112">
        <f>E2019</f>
        <v>0</v>
      </c>
      <c r="J2020" s="324" t="s">
        <v>253</v>
      </c>
      <c r="K2020" s="325"/>
      <c r="L2020" s="326"/>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3"/>
      <c r="H2021" s="47" t="s">
        <v>257</v>
      </c>
      <c r="I2021" s="35" t="str">
        <f>IF(E2019="","0",IF(AND(E2016="EUC",E2017=432), I2020+(203-E2018),IF(E2019=0,0,(E2019+(E2017-E2018)-1))))</f>
        <v>0</v>
      </c>
      <c r="J2021" s="287" t="str">
        <f>IFERROR(IF(OR(E2016="EUC",E2016="SS"),"---",IF(OR(P2015,S2015),"NO 2F Tethers for RPX!",IF(OR(P2017,S2017),"NO 6F Tethers for RPX!","---"))),"---")</f>
        <v>---</v>
      </c>
      <c r="K2021" s="288"/>
      <c r="L2021" s="289"/>
      <c r="M2021" s="287" t="str">
        <f>IF(E2018&gt;60,"Dead Count &gt;60: Consider Downsize","---")</f>
        <v>---</v>
      </c>
      <c r="N2021" s="288"/>
      <c r="O2021" s="288"/>
      <c r="P2021" s="288"/>
      <c r="Q2021" s="288"/>
      <c r="R2021" s="288"/>
      <c r="S2021" s="288"/>
      <c r="T2021" s="288"/>
      <c r="U2021" s="289"/>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7"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8"/>
      <c r="L2022" s="289"/>
      <c r="M2022" s="287" t="str">
        <f>IF(AND(OR(E2016="SS",E2016="RPX",E2016="EUC",E2016="RPX-T"),(OR(C2026="",C2026="Field SPL"))),"Cannot have FlexNap cables without tethers","---")</f>
        <v>---</v>
      </c>
      <c r="N2022" s="288"/>
      <c r="O2022" s="288"/>
      <c r="P2022" s="288"/>
      <c r="Q2022" s="288"/>
      <c r="R2022" s="288"/>
      <c r="S2022" s="288"/>
      <c r="T2022" s="288"/>
      <c r="U2022" s="289"/>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7" t="str">
        <f>IF(AND(OR(E2016="RPX", E2016="RPX-T", E2016="SS"),E2017=216),"NO 216 For RPX, RPX-T, OR SS CABLE","---")</f>
        <v>---</v>
      </c>
      <c r="K2023" s="288"/>
      <c r="L2023" s="289"/>
      <c r="M2023" s="287" t="str" cm="1">
        <f t="array" ref="M2023">IF(AND(E2016="",OR(C2026:C2050="FST",C2026:C2050="REV T",C2026:C2050="DBL REV",C2026:C2050="TPL REV", C2026:C2050="QD REV")),"Non-FlexNap cables cannot have tethers","---")</f>
        <v>---</v>
      </c>
      <c r="N2023" s="288"/>
      <c r="O2023" s="288"/>
      <c r="P2023" s="288"/>
      <c r="Q2023" s="288"/>
      <c r="R2023" s="288"/>
      <c r="S2023" s="288"/>
      <c r="T2023" s="288"/>
      <c r="U2023" s="289"/>
      <c r="V2023" s="25"/>
      <c r="W2023" s="58"/>
      <c r="X2023" s="58"/>
      <c r="Y2023" s="25"/>
      <c r="Z2023" s="45">
        <v>6</v>
      </c>
      <c r="AA2023" s="65">
        <v>61</v>
      </c>
      <c r="AB2023" s="65">
        <v>72</v>
      </c>
      <c r="AC2023" s="25"/>
      <c r="AD2023" s="25"/>
      <c r="BA2023" s="226"/>
    </row>
    <row r="2024" spans="1:53" ht="15.75" customHeight="1" thickBot="1" x14ac:dyDescent="0.3">
      <c r="A2024" s="88"/>
      <c r="B2024" s="322" t="s">
        <v>260</v>
      </c>
      <c r="C2024" s="294" t="s">
        <v>261</v>
      </c>
      <c r="D2024" s="294" t="s">
        <v>262</v>
      </c>
      <c r="E2024" s="307" t="s">
        <v>263</v>
      </c>
      <c r="F2024" s="294" t="s">
        <v>264</v>
      </c>
      <c r="G2024" s="309" t="s">
        <v>265</v>
      </c>
      <c r="H2024" s="309" t="s">
        <v>266</v>
      </c>
      <c r="I2024" s="309" t="s">
        <v>267</v>
      </c>
      <c r="J2024" s="311" t="s">
        <v>268</v>
      </c>
      <c r="K2024" s="294" t="s">
        <v>269</v>
      </c>
      <c r="L2024" s="281" t="s">
        <v>270</v>
      </c>
      <c r="M2024" s="283" t="s">
        <v>271</v>
      </c>
      <c r="N2024" s="283"/>
      <c r="O2024" s="283"/>
      <c r="P2024" s="283"/>
      <c r="Q2024" s="283"/>
      <c r="R2024" s="283"/>
      <c r="S2024" s="283"/>
      <c r="T2024" s="283"/>
      <c r="U2024" s="284"/>
      <c r="V2024" s="107"/>
      <c r="W2024" s="72"/>
      <c r="X2024" s="72"/>
      <c r="Y2024" s="72"/>
      <c r="Z2024" s="45">
        <v>7</v>
      </c>
      <c r="AA2024" s="65">
        <v>73</v>
      </c>
      <c r="AB2024" s="65">
        <v>84</v>
      </c>
      <c r="AC2024" s="25"/>
      <c r="AD2024" s="25"/>
      <c r="BA2024" s="228"/>
    </row>
    <row r="2025" spans="1:53" ht="15.75" thickBot="1" x14ac:dyDescent="0.3">
      <c r="A2025" s="88"/>
      <c r="B2025" s="323"/>
      <c r="C2025" s="295"/>
      <c r="D2025" s="295"/>
      <c r="E2025" s="308"/>
      <c r="F2025" s="295"/>
      <c r="G2025" s="310"/>
      <c r="H2025" s="310"/>
      <c r="I2025" s="310"/>
      <c r="J2025" s="312"/>
      <c r="K2025" s="295"/>
      <c r="L2025" s="282"/>
      <c r="M2025" s="285"/>
      <c r="N2025" s="285"/>
      <c r="O2025" s="285"/>
      <c r="P2025" s="285"/>
      <c r="Q2025" s="285"/>
      <c r="R2025" s="285"/>
      <c r="S2025" s="285"/>
      <c r="T2025" s="285"/>
      <c r="U2025" s="286"/>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9"/>
      <c r="N2026" s="279"/>
      <c r="O2026" s="279"/>
      <c r="P2026" s="279"/>
      <c r="Q2026" s="279"/>
      <c r="R2026" s="279"/>
      <c r="S2026" s="279"/>
      <c r="T2026" s="279"/>
      <c r="U2026" s="280"/>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9"/>
      <c r="N2027" s="279"/>
      <c r="O2027" s="279"/>
      <c r="P2027" s="279"/>
      <c r="Q2027" s="279"/>
      <c r="R2027" s="279"/>
      <c r="S2027" s="279"/>
      <c r="T2027" s="279"/>
      <c r="U2027" s="280"/>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9"/>
      <c r="N2028" s="279"/>
      <c r="O2028" s="279"/>
      <c r="P2028" s="279"/>
      <c r="Q2028" s="279"/>
      <c r="R2028" s="279"/>
      <c r="S2028" s="279"/>
      <c r="T2028" s="279"/>
      <c r="U2028" s="280"/>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9"/>
      <c r="N2029" s="279"/>
      <c r="O2029" s="279"/>
      <c r="P2029" s="279"/>
      <c r="Q2029" s="279"/>
      <c r="R2029" s="279"/>
      <c r="S2029" s="279"/>
      <c r="T2029" s="279"/>
      <c r="U2029" s="280"/>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9"/>
      <c r="N2030" s="279"/>
      <c r="O2030" s="279"/>
      <c r="P2030" s="279"/>
      <c r="Q2030" s="279"/>
      <c r="R2030" s="279"/>
      <c r="S2030" s="279"/>
      <c r="T2030" s="279"/>
      <c r="U2030" s="280"/>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9"/>
      <c r="N2031" s="279"/>
      <c r="O2031" s="279"/>
      <c r="P2031" s="279"/>
      <c r="Q2031" s="279"/>
      <c r="R2031" s="279"/>
      <c r="S2031" s="279"/>
      <c r="T2031" s="279"/>
      <c r="U2031" s="280"/>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9"/>
      <c r="N2032" s="279"/>
      <c r="O2032" s="279"/>
      <c r="P2032" s="279"/>
      <c r="Q2032" s="279"/>
      <c r="R2032" s="279"/>
      <c r="S2032" s="279"/>
      <c r="T2032" s="279"/>
      <c r="U2032" s="280"/>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9"/>
      <c r="N2033" s="279"/>
      <c r="O2033" s="279"/>
      <c r="P2033" s="279"/>
      <c r="Q2033" s="279"/>
      <c r="R2033" s="279"/>
      <c r="S2033" s="279"/>
      <c r="T2033" s="279"/>
      <c r="U2033" s="280"/>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9"/>
      <c r="N2034" s="279"/>
      <c r="O2034" s="279"/>
      <c r="P2034" s="279"/>
      <c r="Q2034" s="279"/>
      <c r="R2034" s="279"/>
      <c r="S2034" s="279"/>
      <c r="T2034" s="279"/>
      <c r="U2034" s="280"/>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9"/>
      <c r="N2035" s="279"/>
      <c r="O2035" s="279"/>
      <c r="P2035" s="279"/>
      <c r="Q2035" s="279"/>
      <c r="R2035" s="279"/>
      <c r="S2035" s="279"/>
      <c r="T2035" s="279"/>
      <c r="U2035" s="280"/>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9"/>
      <c r="N2036" s="279"/>
      <c r="O2036" s="279"/>
      <c r="P2036" s="279"/>
      <c r="Q2036" s="279"/>
      <c r="R2036" s="279"/>
      <c r="S2036" s="279"/>
      <c r="T2036" s="279"/>
      <c r="U2036" s="280"/>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9"/>
      <c r="N2037" s="279"/>
      <c r="O2037" s="279"/>
      <c r="P2037" s="279"/>
      <c r="Q2037" s="279"/>
      <c r="R2037" s="279"/>
      <c r="S2037" s="279"/>
      <c r="T2037" s="279"/>
      <c r="U2037" s="280"/>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9"/>
      <c r="N2038" s="279"/>
      <c r="O2038" s="279"/>
      <c r="P2038" s="279"/>
      <c r="Q2038" s="279"/>
      <c r="R2038" s="279"/>
      <c r="S2038" s="279"/>
      <c r="T2038" s="279"/>
      <c r="U2038" s="280"/>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9"/>
      <c r="N2039" s="279"/>
      <c r="O2039" s="279"/>
      <c r="P2039" s="279"/>
      <c r="Q2039" s="279"/>
      <c r="R2039" s="279"/>
      <c r="S2039" s="279"/>
      <c r="T2039" s="279"/>
      <c r="U2039" s="280"/>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9"/>
      <c r="N2040" s="279"/>
      <c r="O2040" s="279"/>
      <c r="P2040" s="279"/>
      <c r="Q2040" s="279"/>
      <c r="R2040" s="279"/>
      <c r="S2040" s="279"/>
      <c r="T2040" s="279"/>
      <c r="U2040" s="280"/>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9"/>
      <c r="N2041" s="279"/>
      <c r="O2041" s="279"/>
      <c r="P2041" s="279"/>
      <c r="Q2041" s="279"/>
      <c r="R2041" s="279"/>
      <c r="S2041" s="279"/>
      <c r="T2041" s="279"/>
      <c r="U2041" s="280"/>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9"/>
      <c r="N2042" s="279"/>
      <c r="O2042" s="279"/>
      <c r="P2042" s="279"/>
      <c r="Q2042" s="279"/>
      <c r="R2042" s="279"/>
      <c r="S2042" s="279"/>
      <c r="T2042" s="279"/>
      <c r="U2042" s="280"/>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9"/>
      <c r="N2043" s="279"/>
      <c r="O2043" s="279"/>
      <c r="P2043" s="279"/>
      <c r="Q2043" s="279"/>
      <c r="R2043" s="279"/>
      <c r="S2043" s="279"/>
      <c r="T2043" s="279"/>
      <c r="U2043" s="280"/>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9"/>
      <c r="N2044" s="279"/>
      <c r="O2044" s="279"/>
      <c r="P2044" s="279"/>
      <c r="Q2044" s="279"/>
      <c r="R2044" s="279"/>
      <c r="S2044" s="279"/>
      <c r="T2044" s="279"/>
      <c r="U2044" s="280"/>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9"/>
      <c r="N2045" s="279"/>
      <c r="O2045" s="279"/>
      <c r="P2045" s="279"/>
      <c r="Q2045" s="279"/>
      <c r="R2045" s="279"/>
      <c r="S2045" s="279"/>
      <c r="T2045" s="279"/>
      <c r="U2045" s="280"/>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9"/>
      <c r="N2046" s="279"/>
      <c r="O2046" s="279"/>
      <c r="P2046" s="279"/>
      <c r="Q2046" s="279"/>
      <c r="R2046" s="279"/>
      <c r="S2046" s="279"/>
      <c r="T2046" s="279"/>
      <c r="U2046" s="280"/>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9"/>
      <c r="N2047" s="279"/>
      <c r="O2047" s="279"/>
      <c r="P2047" s="279"/>
      <c r="Q2047" s="279"/>
      <c r="R2047" s="279"/>
      <c r="S2047" s="279"/>
      <c r="T2047" s="279"/>
      <c r="U2047" s="280"/>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9"/>
      <c r="N2048" s="279"/>
      <c r="O2048" s="279"/>
      <c r="P2048" s="279"/>
      <c r="Q2048" s="279"/>
      <c r="R2048" s="279"/>
      <c r="S2048" s="279"/>
      <c r="T2048" s="279"/>
      <c r="U2048" s="280"/>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9"/>
      <c r="N2049" s="279"/>
      <c r="O2049" s="279"/>
      <c r="P2049" s="279"/>
      <c r="Q2049" s="279"/>
      <c r="R2049" s="279"/>
      <c r="S2049" s="279"/>
      <c r="T2049" s="279"/>
      <c r="U2049" s="280"/>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9"/>
      <c r="N2050" s="279"/>
      <c r="O2050" s="279"/>
      <c r="P2050" s="279"/>
      <c r="Q2050" s="279"/>
      <c r="R2050" s="279"/>
      <c r="S2050" s="279"/>
      <c r="T2050" s="279"/>
      <c r="U2050" s="280"/>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20" t="s">
        <v>307</v>
      </c>
      <c r="C2051" s="321"/>
      <c r="D2051" s="79"/>
      <c r="E2051" s="80"/>
      <c r="F2051" s="80"/>
      <c r="G2051" s="81"/>
      <c r="H2051" s="192"/>
      <c r="I2051" s="192"/>
      <c r="J2051" s="192"/>
      <c r="K2051" s="82"/>
      <c r="L2051" s="320" t="s">
        <v>306</v>
      </c>
      <c r="M2051" s="331"/>
      <c r="N2051" s="331"/>
      <c r="O2051" s="331"/>
      <c r="P2051" s="331"/>
      <c r="Q2051" s="331"/>
      <c r="R2051" s="331"/>
      <c r="S2051" s="331"/>
      <c r="T2051" s="331"/>
      <c r="U2051" s="321"/>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2" t="s">
        <v>403</v>
      </c>
      <c r="B1" s="333"/>
      <c r="C1" s="333"/>
      <c r="D1" s="334"/>
      <c r="E1" s="332" t="s">
        <v>404</v>
      </c>
      <c r="F1" s="333"/>
      <c r="G1" s="333"/>
      <c r="H1" s="334"/>
      <c r="I1" s="332" t="s">
        <v>405</v>
      </c>
      <c r="J1" s="333"/>
      <c r="K1" s="333"/>
      <c r="L1" s="334"/>
      <c r="M1" s="332" t="s">
        <v>406</v>
      </c>
      <c r="N1" s="333"/>
      <c r="O1" s="333"/>
      <c r="P1" s="334"/>
      <c r="Q1" s="332" t="s">
        <v>407</v>
      </c>
      <c r="R1" s="333"/>
      <c r="S1" s="333"/>
      <c r="T1" s="334"/>
      <c r="U1" s="332" t="s">
        <v>408</v>
      </c>
      <c r="V1" s="333"/>
      <c r="W1" s="333"/>
      <c r="X1" s="334"/>
      <c r="Y1" s="332" t="s">
        <v>409</v>
      </c>
      <c r="Z1" s="333"/>
      <c r="AA1" s="333"/>
      <c r="AB1" s="334"/>
      <c r="AC1" s="332" t="s">
        <v>410</v>
      </c>
      <c r="AD1" s="333"/>
      <c r="AE1" s="333"/>
      <c r="AF1" s="334"/>
      <c r="AG1" s="332" t="s">
        <v>411</v>
      </c>
      <c r="AH1" s="333"/>
      <c r="AI1" s="333"/>
      <c r="AJ1" s="334"/>
      <c r="AK1" s="332" t="s">
        <v>412</v>
      </c>
      <c r="AL1" s="333"/>
      <c r="AM1" s="333"/>
      <c r="AN1" s="334"/>
      <c r="AO1" s="332" t="s">
        <v>413</v>
      </c>
      <c r="AP1" s="333"/>
      <c r="AQ1" s="333"/>
      <c r="AR1" s="334"/>
      <c r="AS1" s="332" t="s">
        <v>414</v>
      </c>
      <c r="AT1" s="333"/>
      <c r="AU1" s="333"/>
      <c r="AV1" s="334"/>
      <c r="AW1" s="332" t="s">
        <v>415</v>
      </c>
      <c r="AX1" s="333"/>
      <c r="AY1" s="333"/>
      <c r="AZ1" s="334"/>
      <c r="BA1" s="332" t="s">
        <v>416</v>
      </c>
      <c r="BB1" s="333"/>
      <c r="BC1" s="333"/>
      <c r="BD1" s="334"/>
      <c r="BE1" s="332" t="s">
        <v>417</v>
      </c>
      <c r="BF1" s="333"/>
      <c r="BG1" s="333"/>
      <c r="BH1" s="334"/>
      <c r="BI1" s="332" t="s">
        <v>418</v>
      </c>
      <c r="BJ1" s="333"/>
      <c r="BK1" s="333"/>
      <c r="BL1" s="334"/>
      <c r="BM1" s="332" t="s">
        <v>419</v>
      </c>
      <c r="BN1" s="333"/>
      <c r="BO1" s="333"/>
      <c r="BP1" s="334"/>
      <c r="BQ1" s="332" t="s">
        <v>420</v>
      </c>
      <c r="BR1" s="333"/>
      <c r="BS1" s="333"/>
      <c r="BT1" s="334"/>
      <c r="BU1" s="332" t="s">
        <v>421</v>
      </c>
      <c r="BV1" s="333"/>
      <c r="BW1" s="333"/>
      <c r="BX1" s="334"/>
      <c r="BY1" s="332" t="s">
        <v>422</v>
      </c>
      <c r="BZ1" s="333"/>
      <c r="CA1" s="333"/>
      <c r="CB1" s="334"/>
      <c r="CC1" s="332" t="s">
        <v>423</v>
      </c>
      <c r="CD1" s="333"/>
      <c r="CE1" s="333"/>
      <c r="CF1" s="334"/>
      <c r="CG1" s="332" t="s">
        <v>424</v>
      </c>
      <c r="CH1" s="333"/>
      <c r="CI1" s="333"/>
      <c r="CJ1" s="334"/>
      <c r="CK1" s="332" t="s">
        <v>425</v>
      </c>
      <c r="CL1" s="333"/>
      <c r="CM1" s="333"/>
      <c r="CN1" s="334"/>
      <c r="CO1" s="332" t="s">
        <v>426</v>
      </c>
      <c r="CP1" s="333"/>
      <c r="CQ1" s="333"/>
      <c r="CR1" s="334"/>
      <c r="CS1" s="332" t="s">
        <v>427</v>
      </c>
      <c r="CT1" s="333"/>
      <c r="CU1" s="333"/>
      <c r="CV1" s="334"/>
      <c r="CW1" s="332" t="s">
        <v>428</v>
      </c>
      <c r="CX1" s="333"/>
      <c r="CY1" s="333"/>
      <c r="CZ1" s="334"/>
      <c r="DA1" s="332" t="s">
        <v>429</v>
      </c>
      <c r="DB1" s="333"/>
      <c r="DC1" s="333"/>
      <c r="DD1" s="334"/>
      <c r="DE1" s="332" t="s">
        <v>430</v>
      </c>
      <c r="DF1" s="333"/>
      <c r="DG1" s="333"/>
      <c r="DH1" s="334"/>
      <c r="DI1" s="332" t="s">
        <v>431</v>
      </c>
      <c r="DJ1" s="333"/>
      <c r="DK1" s="333"/>
      <c r="DL1" s="334"/>
      <c r="DM1" s="332" t="s">
        <v>432</v>
      </c>
      <c r="DN1" s="333"/>
      <c r="DO1" s="333"/>
      <c r="DP1" s="334"/>
      <c r="DQ1" s="332" t="s">
        <v>433</v>
      </c>
      <c r="DR1" s="333"/>
      <c r="DS1" s="333"/>
      <c r="DT1" s="334"/>
      <c r="DU1" s="332" t="s">
        <v>434</v>
      </c>
      <c r="DV1" s="333"/>
      <c r="DW1" s="333"/>
      <c r="DX1" s="334"/>
      <c r="DY1" s="332" t="s">
        <v>435</v>
      </c>
      <c r="DZ1" s="333"/>
      <c r="EA1" s="333"/>
      <c r="EB1" s="334"/>
      <c r="EC1" s="332" t="s">
        <v>436</v>
      </c>
      <c r="ED1" s="333"/>
      <c r="EE1" s="333"/>
      <c r="EF1" s="334"/>
      <c r="EG1" s="332" t="s">
        <v>437</v>
      </c>
      <c r="EH1" s="333"/>
      <c r="EI1" s="333"/>
      <c r="EJ1" s="334"/>
      <c r="EK1" s="332" t="s">
        <v>438</v>
      </c>
      <c r="EL1" s="333"/>
      <c r="EM1" s="333"/>
      <c r="EN1" s="334"/>
      <c r="EO1" s="332" t="s">
        <v>439</v>
      </c>
      <c r="EP1" s="333"/>
      <c r="EQ1" s="333"/>
      <c r="ER1" s="334"/>
      <c r="ES1" s="332" t="s">
        <v>440</v>
      </c>
      <c r="ET1" s="333"/>
      <c r="EU1" s="333"/>
      <c r="EV1" s="334"/>
      <c r="EW1" s="332" t="s">
        <v>441</v>
      </c>
      <c r="EX1" s="333"/>
      <c r="EY1" s="333"/>
      <c r="EZ1" s="334"/>
      <c r="FA1" s="332" t="s">
        <v>442</v>
      </c>
      <c r="FB1" s="333"/>
      <c r="FC1" s="333"/>
      <c r="FD1" s="334"/>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7" t="s">
        <v>451</v>
      </c>
      <c r="C2" s="337"/>
      <c r="D2" s="337"/>
      <c r="E2" s="337"/>
      <c r="F2" s="337"/>
      <c r="G2" s="337"/>
      <c r="H2" s="337"/>
      <c r="I2" s="337"/>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6" t="s">
        <v>453</v>
      </c>
      <c r="D3" s="336"/>
      <c r="E3" s="336"/>
      <c r="F3" s="336"/>
      <c r="G3" s="336"/>
      <c r="H3" s="336"/>
      <c r="I3" s="336"/>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5" t="s">
        <v>454</v>
      </c>
      <c r="D4" s="335"/>
      <c r="E4" s="335" t="s">
        <v>455</v>
      </c>
      <c r="F4" s="335"/>
      <c r="G4" s="335"/>
      <c r="H4" s="335"/>
      <c r="I4" s="148">
        <f>Data!Q2</f>
        <v>15072.79</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5" t="s">
        <v>454</v>
      </c>
      <c r="D5" s="335"/>
      <c r="E5" s="335" t="s">
        <v>457</v>
      </c>
      <c r="F5" s="335"/>
      <c r="G5" s="335"/>
      <c r="H5" s="335"/>
      <c r="I5" s="148">
        <f>Data!P2</f>
        <v>22147.059999999998</v>
      </c>
      <c r="J5" s="146"/>
      <c r="K5" s="146"/>
      <c r="L5" s="146"/>
      <c r="M5" s="146"/>
      <c r="N5" s="146"/>
      <c r="O5" s="146"/>
      <c r="P5" s="146"/>
      <c r="Q5" s="146"/>
      <c r="R5" s="146"/>
      <c r="S5" s="146"/>
      <c r="T5" s="146"/>
      <c r="U5" s="146"/>
      <c r="V5" s="146"/>
      <c r="W5" s="146"/>
      <c r="X5" s="146"/>
      <c r="Y5" s="146"/>
      <c r="Z5" s="146"/>
      <c r="AA5" s="146"/>
    </row>
    <row r="6" spans="1:27" ht="18.75" x14ac:dyDescent="0.3">
      <c r="A6" s="146"/>
      <c r="B6" s="147"/>
      <c r="C6" s="336" t="s">
        <v>458</v>
      </c>
      <c r="D6" s="336"/>
      <c r="E6" s="336"/>
      <c r="F6" s="336"/>
      <c r="G6" s="336"/>
      <c r="H6" s="336"/>
      <c r="I6" s="336"/>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5" t="s">
        <v>454</v>
      </c>
      <c r="D7" s="335"/>
      <c r="E7" s="335" t="s">
        <v>460</v>
      </c>
      <c r="F7" s="335"/>
      <c r="G7" s="335"/>
      <c r="H7" s="335"/>
      <c r="I7" s="148">
        <f>Data!R2</f>
        <v>724.12</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6" t="s">
        <v>461</v>
      </c>
      <c r="D9" s="336"/>
      <c r="E9" s="336"/>
      <c r="F9" s="336"/>
      <c r="G9" s="336"/>
      <c r="H9" s="336"/>
      <c r="I9" s="336"/>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5" t="s">
        <v>462</v>
      </c>
      <c r="D10" s="335"/>
      <c r="E10" s="335" t="s">
        <v>463</v>
      </c>
      <c r="F10" s="335"/>
      <c r="G10" s="335"/>
      <c r="H10" s="335"/>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71</v>
      </c>
      <c r="F2" s="186">
        <f t="shared" ref="F2:F5" si="0">PRODUCT(D2:E2)</f>
        <v>7962.6500000000005</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2</v>
      </c>
      <c r="J2" s="181">
        <f>COUNTIFS('Assignment Tool'!$E$17:$E$2050, "4",'Assignment Tool'!$F$17:$F$2050,"POLE", 'Assignment Tool'!$C$17:$C$2050, "FST",'Assignment Tool'!$K$17:$K$2050,"")</f>
        <v>57</v>
      </c>
      <c r="K2" s="180">
        <f>COUNTIFS('Assignment Tool'!$E$17:$E$2050, "4",'Assignment Tool'!$F$17:$F$2050,"PED", 'Assignment Tool'!$C$17:$C$2050, "FST",'Assignment Tool'!$K$17:$K$2050,"")</f>
        <v>0</v>
      </c>
      <c r="L2" s="180">
        <f>COUNTIFS('Assignment Tool'!$E$17:$E$2050, "4",'Assignment Tool'!$F$17:$F$2050,"HH", 'Assignment Tool'!$C$17:$C$2050, "FST",'Assignment Tool'!$K$17:$K$2050,"")</f>
        <v>12</v>
      </c>
      <c r="N2" s="181">
        <f>PRODUCT(SUM(G2,J2),D2)</f>
        <v>6392.55</v>
      </c>
      <c r="O2" s="180">
        <f>PRODUCT(SUM(H2:I2,K2:L2),D2)</f>
        <v>1570.1000000000001</v>
      </c>
      <c r="P2" s="183">
        <f>SUM(N2:N5,F11:F16,F27:F36,F43:F46,F51:F54,N88:N135)</f>
        <v>22147.059999999998</v>
      </c>
      <c r="Q2" s="182">
        <f>SUM(O2:O5,F17:F26,F37:F42,F47:F50,F55:F58,F60:F67,O88:O135)</f>
        <v>15072.79</v>
      </c>
      <c r="R2" s="126">
        <f>SUM(F69:F71)</f>
        <v>724.12</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16</v>
      </c>
      <c r="F4" s="186">
        <f t="shared" si="0"/>
        <v>2716.32</v>
      </c>
      <c r="G4" s="181">
        <f>COUNTIFS('Assignment Tool'!$E$17:$E$2050, "8", 'Assignment Tool'!$F$17:$F$2050, "POLE", 'Assignment Tool'!$C$17:$C$2050, "FST",'Assignment Tool'!$K$17:$K$2050,"")</f>
        <v>13</v>
      </c>
      <c r="H4" s="180">
        <f>COUNTIFS('Assignment Tool'!$E$17:$E$2050, "8", 'Assignment Tool'!$F$17:$F$2050, "PED", 'Assignment Tool'!$C$17:$C$2050, "FST",'Assignment Tool'!$K$17:$K$2050,"")</f>
        <v>0</v>
      </c>
      <c r="I4" s="180">
        <f>COUNTIFS('Assignment Tool'!$E$17:$E$2050, "8", 'Assignment Tool'!$F$17:$F$2050, "HH", 'Assignment Tool'!$C$17:$C$2050, "FST",'Assignment Tool'!$K$17:$K$2050,"")</f>
        <v>3</v>
      </c>
      <c r="N4" s="181">
        <f t="shared" ref="N4:N5" si="2">PRODUCT(G4,D4)</f>
        <v>2207.0100000000002</v>
      </c>
      <c r="O4" s="180">
        <f t="shared" ref="O4:O5" si="3">PRODUCT(SUM(H4:I4),D4)</f>
        <v>509.31000000000006</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4</v>
      </c>
      <c r="F5" s="186">
        <f t="shared" si="0"/>
        <v>911.8</v>
      </c>
      <c r="G5" s="181">
        <f>COUNTIFS('Assignment Tool'!$E$17:$E$2050, "12", 'Assignment Tool'!$F$17:$F$2050, "POLE", 'Assignment Tool'!$C$17:$C$2050, "FST",'Assignment Tool'!$K$17:$K$2050,"")</f>
        <v>4</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 t="shared" si="2"/>
        <v>911.8</v>
      </c>
      <c r="O5" s="180">
        <f t="shared" si="3"/>
        <v>0</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9</v>
      </c>
      <c r="F11" s="181">
        <f>E11*D11</f>
        <v>2224.62</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8</v>
      </c>
      <c r="F12" s="181">
        <f t="shared" ref="F12:F58" si="5">E12*D12</f>
        <v>1721.2</v>
      </c>
      <c r="Q12" s="21"/>
      <c r="R12" s="21"/>
      <c r="Y12" s="1">
        <v>72</v>
      </c>
      <c r="AA12" s="1">
        <f t="shared" si="4"/>
        <v>132</v>
      </c>
      <c r="AC12" s="1">
        <v>900</v>
      </c>
    </row>
    <row r="13" spans="1:29" x14ac:dyDescent="0.25">
      <c r="A13" s="181">
        <v>100083493</v>
      </c>
      <c r="B13" s="181"/>
      <c r="C13" s="181" t="s">
        <v>505</v>
      </c>
      <c r="D13" s="1">
        <v>183.1</v>
      </c>
      <c r="E13" s="162">
        <f>'Construction Exempt Material'!B19</f>
        <v>38</v>
      </c>
      <c r="F13" s="181">
        <f t="shared" si="5"/>
        <v>6957.8</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2</v>
      </c>
      <c r="F17" s="180">
        <f t="shared" si="5"/>
        <v>533.54</v>
      </c>
      <c r="Q17" s="21"/>
      <c r="Y17" s="1">
        <v>132</v>
      </c>
      <c r="AA17" s="1">
        <f t="shared" si="4"/>
        <v>192</v>
      </c>
    </row>
    <row r="18" spans="1:27" x14ac:dyDescent="0.25">
      <c r="A18" s="180">
        <v>100083594</v>
      </c>
      <c r="B18" s="180"/>
      <c r="C18" s="180" t="s">
        <v>510</v>
      </c>
      <c r="D18" s="1">
        <v>233.96</v>
      </c>
      <c r="E18" s="162">
        <f>'Construction Exempt Material'!B24</f>
        <v>8</v>
      </c>
      <c r="F18" s="180">
        <f t="shared" si="5"/>
        <v>1871.68</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31</v>
      </c>
      <c r="F20" s="180">
        <f t="shared" si="5"/>
        <v>6195.6600000000008</v>
      </c>
      <c r="AA20" s="1">
        <f t="shared" si="4"/>
        <v>228</v>
      </c>
    </row>
    <row r="21" spans="1:27" x14ac:dyDescent="0.25">
      <c r="A21" s="180">
        <v>200008456</v>
      </c>
      <c r="B21" s="180"/>
      <c r="C21" s="180" t="s">
        <v>513</v>
      </c>
      <c r="D21" s="1">
        <v>201.13</v>
      </c>
      <c r="E21" s="162">
        <f>'Construction Exempt Material'!B27</f>
        <v>2</v>
      </c>
      <c r="F21" s="180">
        <f t="shared" si="5"/>
        <v>402.26</v>
      </c>
      <c r="AA21" s="1">
        <f t="shared" si="4"/>
        <v>240</v>
      </c>
    </row>
    <row r="22" spans="1:27" x14ac:dyDescent="0.25">
      <c r="A22" s="180">
        <v>100089396</v>
      </c>
      <c r="B22" s="180"/>
      <c r="C22" s="180" t="s">
        <v>514</v>
      </c>
      <c r="D22" s="1">
        <v>266.77</v>
      </c>
      <c r="E22" s="162">
        <f>'Construction Exempt Material'!B28</f>
        <v>0</v>
      </c>
      <c r="F22" s="180">
        <f t="shared" si="5"/>
        <v>0</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7</v>
      </c>
      <c r="F43" s="181">
        <f t="shared" si="5"/>
        <v>1732.08</v>
      </c>
    </row>
    <row r="44" spans="1:6" x14ac:dyDescent="0.25">
      <c r="A44" s="181">
        <v>100088380</v>
      </c>
      <c r="B44" s="181"/>
      <c r="C44" s="181" t="s">
        <v>536</v>
      </c>
      <c r="D44" s="1">
        <v>494.87</v>
      </c>
      <c r="E44" s="162">
        <f>'Construction Exempt Material'!B50</f>
        <v>0</v>
      </c>
      <c r="F44" s="181">
        <f t="shared" si="5"/>
        <v>0</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0</v>
      </c>
      <c r="F47" s="180">
        <f t="shared" si="5"/>
        <v>0</v>
      </c>
    </row>
    <row r="48" spans="1:6" x14ac:dyDescent="0.25">
      <c r="A48" s="180">
        <v>100089547</v>
      </c>
      <c r="B48" s="180"/>
      <c r="C48" s="180" t="s">
        <v>540</v>
      </c>
      <c r="D48" s="1">
        <v>533.53</v>
      </c>
      <c r="E48" s="162">
        <f>'Construction Exempt Material'!B54</f>
        <v>0</v>
      </c>
      <c r="F48" s="180">
        <f t="shared" si="5"/>
        <v>0</v>
      </c>
    </row>
    <row r="49" spans="1:10" x14ac:dyDescent="0.25">
      <c r="A49" s="180">
        <v>200002565</v>
      </c>
      <c r="B49" s="180"/>
      <c r="C49" s="180" t="s">
        <v>541</v>
      </c>
      <c r="D49" s="1">
        <v>804.41</v>
      </c>
      <c r="E49" s="162">
        <f>'Construction Exempt Material'!B55</f>
        <v>0</v>
      </c>
      <c r="F49" s="180">
        <f t="shared" si="5"/>
        <v>0</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17</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14</v>
      </c>
      <c r="F62" s="180">
        <f t="shared" si="6"/>
        <v>2015.1599999999999</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4</v>
      </c>
      <c r="F63" s="180">
        <f t="shared" si="6"/>
        <v>1975.08</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0</v>
      </c>
      <c r="F66" s="180">
        <f t="shared" si="6"/>
        <v>0</v>
      </c>
      <c r="G66" s="1">
        <f>SUM(I5,I124:I135,J61)</f>
        <v>0</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7</v>
      </c>
      <c r="F69" s="126">
        <f>E69*D69</f>
        <v>158.62</v>
      </c>
    </row>
    <row r="70" spans="1:16" x14ac:dyDescent="0.25">
      <c r="A70" s="1">
        <v>100069989</v>
      </c>
      <c r="B70" s="1" t="s">
        <v>565</v>
      </c>
      <c r="C70" s="1" t="s">
        <v>566</v>
      </c>
      <c r="D70" s="1">
        <v>0.65</v>
      </c>
      <c r="E70" s="1">
        <f>'Construction Exempt Material'!B69</f>
        <v>870</v>
      </c>
      <c r="F70" s="126">
        <f>E70*D70</f>
        <v>565.5</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8" t="s">
        <v>571</v>
      </c>
      <c r="D76" s="338">
        <v>1.08</v>
      </c>
    </row>
    <row r="77" spans="1:16" x14ac:dyDescent="0.25">
      <c r="A77" s="1">
        <v>100001338</v>
      </c>
      <c r="B77" s="124" t="s">
        <v>572</v>
      </c>
      <c r="C77" s="338"/>
      <c r="D77" s="338"/>
    </row>
    <row r="78" spans="1:16" x14ac:dyDescent="0.25">
      <c r="A78" s="1">
        <v>100001308</v>
      </c>
      <c r="B78" s="124" t="s">
        <v>573</v>
      </c>
      <c r="C78" s="338" t="s">
        <v>574</v>
      </c>
      <c r="D78" s="338">
        <v>1.62</v>
      </c>
    </row>
    <row r="79" spans="1:16" x14ac:dyDescent="0.25">
      <c r="A79" s="1">
        <v>100001310</v>
      </c>
      <c r="B79" s="124" t="s">
        <v>575</v>
      </c>
      <c r="C79" s="338"/>
      <c r="D79" s="338"/>
    </row>
    <row r="80" spans="1:16" x14ac:dyDescent="0.25">
      <c r="A80" s="1">
        <v>100001338</v>
      </c>
      <c r="B80" s="124"/>
      <c r="C80" s="338"/>
      <c r="D80" s="338"/>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1" sqref="B11"/>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c r="D2" s="341" t="s">
        <v>681</v>
      </c>
      <c r="E2" s="342"/>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71</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16</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4</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14</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4</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9</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8</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38</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8</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31</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2</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7</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0</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870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7</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3" t="s">
        <v>697</v>
      </c>
      <c r="C73" s="344"/>
      <c r="D73" s="345"/>
      <c r="E73" s="339" t="s">
        <v>698</v>
      </c>
      <c r="F73" s="340"/>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2.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2024-05-15T19:18:37Z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