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6A68930D-AA89-4CBD-B2FD-0D9D67CAA14E}" xr6:coauthVersionLast="47" xr6:coauthVersionMax="47" xr10:uidLastSave="{00000000-0000-0000-0000-000000000000}"/>
  <bookViews>
    <workbookView xWindow="-120" yWindow="-120" windowWidth="29040" windowHeight="15840" tabRatio="769" firstSheet="3"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623" i="29" l="1"/>
  <c r="I500" i="29"/>
  <c r="AA1963" i="29"/>
  <c r="AA1551" i="29"/>
  <c r="AB514" i="29"/>
  <c r="AA515" i="29" s="1"/>
  <c r="Z1588" i="29"/>
  <c r="AA1143" i="29"/>
  <c r="AA1801" i="29"/>
  <c r="AA1961" i="29"/>
  <c r="AA1148" i="29"/>
  <c r="AA1188" i="29"/>
  <c r="Z1593" i="29"/>
  <c r="Z1546" i="29"/>
  <c r="Z1963" i="29"/>
  <c r="Z899" i="29"/>
  <c r="Z360" i="29"/>
  <c r="AA78" i="29"/>
  <c r="AA609" i="29"/>
  <c r="AA810" i="29"/>
  <c r="AA1270" i="29"/>
  <c r="L1484" i="29"/>
  <c r="AA1554" i="29"/>
  <c r="AA1636" i="29"/>
  <c r="Z1874" i="29"/>
  <c r="Z940" i="29"/>
  <c r="Z982" i="29"/>
  <c r="AA1271" i="29"/>
  <c r="AA1312" i="29"/>
  <c r="AA1389" i="29"/>
  <c r="AA1517" i="29"/>
  <c r="W1588" i="29"/>
  <c r="AA1591" i="29" s="1"/>
  <c r="AA1761" i="29"/>
  <c r="Z1962" i="29"/>
  <c r="AA697" i="29"/>
  <c r="Z858" i="29"/>
  <c r="Z1597" i="29"/>
  <c r="AA1925" i="29"/>
  <c r="AA163" i="29"/>
  <c r="AA897" i="29"/>
  <c r="AA1837" i="29"/>
  <c r="AA1845" i="29"/>
  <c r="AA981" i="29"/>
  <c r="Z1055" i="29"/>
  <c r="Z1384" i="29"/>
  <c r="Z1800" i="29"/>
  <c r="AK471" i="29"/>
  <c r="I459" i="29"/>
  <c r="AA164" i="29"/>
  <c r="M137" i="29" a="1"/>
  <c r="M137"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381" i="29"/>
  <c r="Z400" i="29"/>
  <c r="AA446" i="29"/>
  <c r="I172" i="29"/>
  <c r="AA160"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B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B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L623" i="29"/>
  <c r="T625" i="29"/>
  <c r="W643" i="29"/>
  <c r="AA646" i="29" s="1"/>
  <c r="Z645" i="29"/>
  <c r="AC657" i="29"/>
  <c r="M628" i="29"/>
  <c r="AA639" i="29"/>
  <c r="Z649" i="29"/>
  <c r="J629" i="29"/>
  <c r="Z654" i="29"/>
  <c r="W653" i="29"/>
  <c r="AA656" i="29" s="1"/>
  <c r="AA597" i="29"/>
  <c r="AB597" i="29"/>
  <c r="W604" i="29"/>
  <c r="AA607" i="29" s="1"/>
  <c r="Z609"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Z237" i="29"/>
  <c r="Z242" i="29"/>
  <c r="M218" i="29"/>
  <c r="Z239" i="29"/>
  <c r="J219" i="29"/>
  <c r="AA227" i="29"/>
  <c r="N215" i="29"/>
  <c r="M219" i="29" a="1"/>
  <c r="M219" i="29" s="1"/>
  <c r="O215" i="29"/>
  <c r="AC247"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131" i="29" l="1"/>
  <c r="AB1827" i="29"/>
  <c r="AA148" i="29"/>
  <c r="L49" i="29"/>
  <c r="AB1089" i="29"/>
  <c r="AA147" i="29"/>
  <c r="AA146" i="29"/>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828" i="29" l="1"/>
  <c r="AA1828"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B1829" i="29" l="1"/>
  <c r="AA1829" i="29"/>
  <c r="AA1419" i="29"/>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A1830" i="29" l="1"/>
  <c r="AB1830" i="29"/>
  <c r="AB1420" i="29"/>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W3" i="34" l="1"/>
  <c r="BV3" i="34" s="1"/>
  <c r="BV2" i="34" s="1"/>
  <c r="BW5" i="34"/>
  <c r="GL2" i="34"/>
  <c r="L1567" i="29"/>
  <c r="HF2" i="34"/>
  <c r="L1731" i="29"/>
  <c r="HZ2" i="34"/>
  <c r="L1895" i="29"/>
  <c r="GB2" i="34"/>
  <c r="L1485" i="29"/>
  <c r="GV2" i="34"/>
  <c r="L1649" i="29"/>
  <c r="HP2" i="34"/>
  <c r="L1813" i="29"/>
  <c r="IJ2" i="34"/>
  <c r="L1977" i="29"/>
  <c r="GQ2" i="34"/>
  <c r="L1608" i="29"/>
  <c r="HK2" i="34"/>
  <c r="L1772" i="29"/>
  <c r="IE2" i="34"/>
  <c r="L1936" i="29"/>
  <c r="GG2" i="34"/>
  <c r="L1526" i="29"/>
  <c r="HA2" i="34"/>
  <c r="L1690" i="29"/>
  <c r="HU2" i="34"/>
  <c r="L1854" i="29"/>
  <c r="BH3" i="34"/>
  <c r="BG3" i="34" s="1"/>
  <c r="BG2" i="34" s="1"/>
  <c r="BH5" i="34"/>
  <c r="AX3" i="34"/>
  <c r="AS3" i="34"/>
  <c r="FC3" i="34"/>
  <c r="FC2" i="34" s="1"/>
  <c r="EN3" i="34"/>
  <c r="L1157" i="29" s="1"/>
  <c r="DY3" i="34"/>
  <c r="L1034" i="29" s="1"/>
  <c r="DT3" i="34"/>
  <c r="DT2" i="34" s="1"/>
  <c r="DE3" i="34"/>
  <c r="L870" i="29" s="1"/>
  <c r="CZ3" i="34"/>
  <c r="CZ2" i="34" s="1"/>
  <c r="CU3" i="34"/>
  <c r="L788" i="29" s="1"/>
  <c r="CP3" i="34"/>
  <c r="CP2" i="34" s="1"/>
  <c r="CK3" i="34"/>
  <c r="CK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C5" i="34"/>
  <c r="BM5" i="34"/>
  <c r="BL3" i="34" s="1"/>
  <c r="AS5" i="34"/>
  <c r="Y5" i="34"/>
  <c r="AI3" i="34"/>
  <c r="AD3" i="34"/>
  <c r="T5" i="34"/>
  <c r="Y3" i="34"/>
  <c r="AN3" i="34"/>
  <c r="AM3" i="34" s="1"/>
  <c r="AD5" i="34"/>
  <c r="T3" i="34"/>
  <c r="O3" i="34"/>
  <c r="J3" i="34"/>
  <c r="I3" i="34" s="1"/>
  <c r="IP3" i="34"/>
  <c r="IO3" i="34" s="1"/>
  <c r="E12" i="29"/>
  <c r="E7" i="29"/>
  <c r="E9" i="34"/>
  <c r="E7" i="34"/>
  <c r="E6" i="34" s="1"/>
  <c r="IO2" i="34" l="1"/>
  <c r="L2018" i="29"/>
  <c r="AW3" i="34"/>
  <c r="L378" i="29" s="1"/>
  <c r="AR3" i="34"/>
  <c r="AR2" i="34"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337" i="29" l="1"/>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AM1682" i="29"/>
  <c r="AE1659" i="29"/>
  <c r="AE1671" i="29"/>
  <c r="AE1720" i="29"/>
  <c r="AE1748" i="29"/>
  <c r="AE1755" i="29"/>
  <c r="AE1758" i="29"/>
  <c r="AA1764" i="29"/>
  <c r="AP1805" i="29"/>
  <c r="AD1846" i="29"/>
  <c r="AE1831" i="29"/>
  <c r="AE1835" i="29"/>
  <c r="AE1875" i="29"/>
  <c r="AE1881" i="29"/>
  <c r="AA1887" i="29"/>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940" i="29" l="1"/>
  <c r="E2022" i="29"/>
  <c r="J1858"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461" i="29" l="1"/>
  <c r="V215" i="29"/>
  <c r="V133" i="29"/>
  <c r="Q133" i="29"/>
  <c r="V297" i="29"/>
  <c r="V379" i="29"/>
  <c r="Q256"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366" i="29"/>
  <c r="J1571" i="29"/>
  <c r="J1407"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V254" i="29" s="1"/>
  <c r="AS255" i="29"/>
  <c r="AV255" i="29" s="1"/>
  <c r="AS253" i="29"/>
  <c r="AV253" i="29" s="1"/>
  <c r="AS581" i="29"/>
  <c r="AX581" i="29" s="1"/>
  <c r="AS583" i="29"/>
  <c r="AX583" i="29" s="1"/>
  <c r="AS582" i="29"/>
  <c r="AX582" i="29" s="1"/>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J115" i="29" s="1"/>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459" i="29"/>
  <c r="AW459" i="29"/>
  <c r="AU132" i="29"/>
  <c r="AV132" i="29"/>
  <c r="AU458" i="29"/>
  <c r="AW458" i="29"/>
  <c r="AU460" i="29"/>
  <c r="AW460"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<sst xmlns="http://schemas.openxmlformats.org/spreadsheetml/2006/main" count="7842" uniqueCount="776">
  <si>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</si>
  <si>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</si>
  <si>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</si>
  <si>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</si>
  <si>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</si>
  <si>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</si>
  <si>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</si>
  <si>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</si>
  <si>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</si>
  <si>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</si>
  <si>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</si>
  <si>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</si>
  <si>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</si>
  <si>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</si>
  <si>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</si>
  <si>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</si>
  <si>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</si>
  <si>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</si>
  <si>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</si>
  <si>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</si>
  <si>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</si>
  <si>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</si>
  <si>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</si>
  <si>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</si>
  <si>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</si>
  <si>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</si>
  <si>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</si>
  <si>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</si>
  <si>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</si>
  <si>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</si>
  <si>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</si>
  <si>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</si>
  <si>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</si>
  <si>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</si>
  <si>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</si>
  <si>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</si>
  <si>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</si>
  <si>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</si>
  <si>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</si>
  <si>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</si>
  <si>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</si>
  <si>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</si>
  <si>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</si>
  <si>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</si>
  <si>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</si>
  <si>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</si>
  <si>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</si>
  <si>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</si>
  <si>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</si>
  <si>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</si>
  <si>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</si>
  <si>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</si>
  <si>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</si>
  <si>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</si>
  <si>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</si>
  <si>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</si>
  <si>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</si>
  <si>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</si>
  <si>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</si>
  <si>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</si>
  <si>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</si>
  <si>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</si>
  <si>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</si>
  <si>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</si>
  <si>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</si>
  <si>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</si>
  <si>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</si>
  <si>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</si>
  <si>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</si>
  <si>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</si>
  <si>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</si>
  <si>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</si>
  <si>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</si>
  <si>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</si>
  <si>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</si>
  <si>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</si>
  <si>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</si>
  <si>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</si>
  <si>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</si>
  <si>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</si>
  <si>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</si>
  <si>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</si>
  <si>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</si>
  <si>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</si>
  <si>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</si>
  <si>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</si>
  <si>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</si>
  <si>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</si>
  <si>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</si>
  <si>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</si>
  <si>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</si>
  <si>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</si>
  <si>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</si>
  <si>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</si>
  <si>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</si>
  <si>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</si>
  <si>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</si>
  <si>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</si>
  <si>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</si>
  <si>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</si>
  <si>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</si>
  <si>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</si>
  <si>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</si>
  <si>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</si>
  <si>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</si>
  <si>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</si>
  <si>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</si>
  <si>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</si>
  <si>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</si>
  <si>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</si>
  <si>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</si>
  <si>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</si>
  <si>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</si>
  <si>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</si>
  <si>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</si>
  <si>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</si>
  <si>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</si>
  <si>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</si>
  <si>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</si>
  <si>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</si>
  <si>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</si>
  <si>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</si>
  <si>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</si>
  <si>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</si>
  <si>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</si>
  <si>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</si>
  <si>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</si>
  <si>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</si>
  <si>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</si>
  <si>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</si>
  <si>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</si>
  <si>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</si>
  <si>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</si>
  <si>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</si>
  <si>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</si>
  <si>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</si>
  <si>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</si>
  <si>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</si>
  <si>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</si>
  <si>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</si>
  <si>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</si>
  <si>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</si>
  <si>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</si>
  <si>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</si>
  <si>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</si>
  <si>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</si>
  <si>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</si>
  <si>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</si>
  <si>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</si>
  <si>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</si>
  <si>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</si>
  <si>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</si>
  <si>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</si>
  <si>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</si>
  <si>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</si>
  <si>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</si>
  <si>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</si>
  <si>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</si>
  <si>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</si>
  <si>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</si>
  <si>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</si>
  <si>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</si>
  <si>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</si>
  <si>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</si>
  <si>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</si>
  <si>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</si>
  <si>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</si>
  <si>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</si>
  <si>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</si>
  <si>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</si>
  <si>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</si>
  <si>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</si>
  <si>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</si>
  <si>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</si>
  <si>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</si>
  <si>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</si>
  <si>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</si>
  <si>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</si>
  <si>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</si>
  <si>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</si>
  <si>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</si>
  <si>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</si>
  <si>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</si>
  <si>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</si>
  <si>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</si>
  <si>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</si>
  <si>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</si>
  <si>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</si>
  <si>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</si>
  <si>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</si>
  <si>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</si>
  <si>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</si>
  <si>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</si>
  <si>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</si>
  <si>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</si>
  <si>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</si>
  <si>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</si>
  <si>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</si>
  <si>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</si>
  <si>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</si>
  <si>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</si>
  <si>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</si>
  <si>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</si>
  <si>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</si>
  <si>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</si>
  <si>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</si>
  <si>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</si>
  <si>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</si>
  <si>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</si>
  <si>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</si>
  <si>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</si>
  <si>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</si>
  <si>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</si>
  <si>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</si>
  <si>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</si>
  <si>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</si>
  <si>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</si>
  <si>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</si>
  <si>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</si>
  <si>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</si>
  <si>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</si>
  <si>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</si>
  <si>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</si>
  <si>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</si>
  <si>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</si>
  <si>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</si>
  <si>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</si>
  <si>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</si>
  <si>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</si>
  <si>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</si>
  <si>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</si>
  <si>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</si>
  <si>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</si>
  <si>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</si>
  <si>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</si>
  <si>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</si>
  <si>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</si>
  <si>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</si>
  <si>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</si>
  <si>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</si>
  <si>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</si>
  <si>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</si>
  <si>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</si>
  <si>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</si>
  <si>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</si>
  <si>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</si>
  <si>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</si>
  <si>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</si>
  <si>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</si>
  <si>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</si>
  <si>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</si>
  <si>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</si>
  <si>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</si>
  <si>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</si>
  <si>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</si>
  <si>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</si>
  <si>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</si>
  <si>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</si>
  <si>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</si>
  <si>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</si>
  <si>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</si>
  <si>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</si>
  <si>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</si>
  <si>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</si>
  <si>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</si>
  <si>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</si>
  <si>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</si>
  <si>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</si>
  <si>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</si>
  <si>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</si>
  <si>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</si>
  <si>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</si>
  <si>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</si>
  <si>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</si>
  <si>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</si>
  <si>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</si>
  <si>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</si>
  <si>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</si>
  <si>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</si>
  <si>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</si>
  <si>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</si>
  <si>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</si>
  <si>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</si>
  <si>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</si>
  <si>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</si>
  <si>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</si>
  <si>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</si>
  <si>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</si>
  <si>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</si>
  <si>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</si>
  <si>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</si>
  <si>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</si>
  <si>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</si>
  <si>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</si>
  <si>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</si>
  <si>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</si>
  <si>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</si>
  <si>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</si>
  <si>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</si>
  <si>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</si>
  <si>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</si>
  <si>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</si>
  <si>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</si>
  <si>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</si>
  <si>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</si>
  <si>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</si>
  <si>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</si>
  <si>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</si>
  <si>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</si>
  <si>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</si>
  <si>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</si>
  <si>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</si>
  <si>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</si>
  <si>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</si>
  <si>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</si>
  <si>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</si>
  <si>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</si>
  <si>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</si>
  <si>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</si>
  <si>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</si>
  <si>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</si>
  <si>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</si>
  <si>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</si>
  <si>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</si>
  <si>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</si>
  <si>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</si>
  <si>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</si>
  <si>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</si>
  <si>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</si>
  <si>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</si>
  <si>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</si>
  <si>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</si>
  <si>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</si>
  <si>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</si>
  <si>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</si>
  <si>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</si>
  <si>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</si>
  <si>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</si>
  <si>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</si>
  <si>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</si>
  <si>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</si>
  <si>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</si>
  <si>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</si>
  <si>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</si>
  <si>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</si>
  <si>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</si>
  <si>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</si>
  <si>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</si>
  <si>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</si>
  <si>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</si>
  <si>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</si>
  <si>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</si>
  <si>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</si>
  <si>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</si>
  <si>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</si>
  <si>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</si>
  <si>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</si>
  <si>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</si>
  <si>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</si>
  <si>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</si>
  <si>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</si>
  <si>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</si>
  <si>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</si>
  <si>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</si>
  <si>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</si>
  <si>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</si>
  <si>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</si>
  <si>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</si>
  <si>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</si>
  <si>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</si>
  <si>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</si>
  <si>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</si>
  <si>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</si>
  <si>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</si>
  <si>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</si>
  <si>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</si>
  <si>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</si>
  <si>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</si>
  <si>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</si>
  <si>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</si>
  <si>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</si>
  <si>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</si>
  <si>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</si>
  <si>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</si>
  <si>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</si>
  <si>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</si>
  <si>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</si>
  <si>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</si>
  <si>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</si>
  <si>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</si>
  <si>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</si>
  <si>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</si>
  <si>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</si>
  <si>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</si>
  <si>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</si>
  <si>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</si>
  <si>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</si>
  <si>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</si>
  <si>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</si>
  <si>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</si>
  <si>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</si>
  <si>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</si>
  <si>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</si>
  <si>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</si>
  <si>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</si>
  <si>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</si>
  <si>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</si>
  <si>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</si>
  <si>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</si>
  <si>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</si>
  <si>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</si>
  <si>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</si>
  <si>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</si>
  <si>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</si>
  <si>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</si>
  <si>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</si>
  <si>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</si>
  <si>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</si>
  <si>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</si>
  <si>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</si>
  <si>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</si>
  <si>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</si>
  <si>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</si>
  <si>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</si>
  <si>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</si>
  <si>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</si>
  <si>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</si>
  <si>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</si>
  <si>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</si>
  <si>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</si>
  <si>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</si>
  <si>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</si>
  <si>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</si>
  <si>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</si>
  <si>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</si>
  <si>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</si>
  <si>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</si>
  <si>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</si>
  <si>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</si>
  <si>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</si>
  <si>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</si>
  <si>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</si>
  <si>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</si>
  <si>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</si>
  <si>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</si>
  <si>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</si>
  <si>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</si>
  <si>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</si>
  <si>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</si>
  <si>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</si>
  <si>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</si>
  <si>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</si>
  <si>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</si>
  <si>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</si>
  <si>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</si>
  <si>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</si>
  <si>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</si>
  <si>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</si>
  <si>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</si>
  <si>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</si>
  <si>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</si>
  <si>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</si>
  <si>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</si>
  <si>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</si>
  <si>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</si>
  <si>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</si>
  <si>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</si>
  <si>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</si>
  <si>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</si>
  <si>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</si>
  <si>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</si>
  <si>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</si>
  <si>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</si>
  <si>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</si>
  <si>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</si>
  <si>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</si>
  <si>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</si>
  <si>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</si>
  <si>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</si>
  <si>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</si>
  <si>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</si>
  <si>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</si>
  <si>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</si>
  <si>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</si>
  <si>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</si>
  <si>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</si>
  <si>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</si>
  <si>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</si>
  <si>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</si>
  <si>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</si>
  <si>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</si>
  <si>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</si>
  <si>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</si>
  <si>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</si>
  <si>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</si>
  <si>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</si>
  <si>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</si>
  <si>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</si>
  <si>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</si>
  <si>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</si>
  <si>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</si>
  <si>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</si>
  <si>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</si>
  <si>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</si>
  <si>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</si>
  <si>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</si>
  <si>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</si>
  <si>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</si>
  <si>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</si>
  <si>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</si>
  <si>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</si>
  <si>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</si>
  <si>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</si>
  <si>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</si>
  <si>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</si>
  <si>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</si>
  <si>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</si>
  <si>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</si>
  <si>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</si>
  <si>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</si>
  <si>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</si>
  <si>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</si>
  <si>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</si>
  <si>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</si>
  <si>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</si>
  <si>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</si>
  <si>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</si>
  <si>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</si>
  <si>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</si>
  <si>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</si>
  <si>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</si>
  <si>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</si>
  <si>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</si>
  <si>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</si>
  <si>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</si>
  <si>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</si>
  <si>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</si>
  <si>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</si>
  <si>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</si>
  <si>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</si>
  <si>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</si>
  <si>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</si>
  <si>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</si>
  <si>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</si>
  <si>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</si>
  <si>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</si>
  <si>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</si>
  <si>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</si>
  <si>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</si>
  <si>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</si>
  <si>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</si>
  <si>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</si>
  <si>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</si>
  <si>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</si>
  <si>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</si>
  <si>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</si>
  <si>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</si>
  <si>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</si>
  <si>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</si>
  <si>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</si>
  <si>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</si>
  <si>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</si>
  <si>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</si>
  <si>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</si>
  <si>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</si>
  <si>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</si>
  <si>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</si>
  <si>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</si>
  <si>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</si>
  <si>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</si>
  <si>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</si>
  <si>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</si>
  <si>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</si>
  <si>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</si>
  <si>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</si>
  <si>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</si>
  <si>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</si>
  <si>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</si>
  <si>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</si>
  <si>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</si>
  <si>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</si>
  <si>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</si>
  <si>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</si>
  <si>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</si>
  <si>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</si>
  <si>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</si>
  <si>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</si>
  <si>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</si>
  <si>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</si>
  <si>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</si>
  <si>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</si>
  <si>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</si>
  <si>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</si>
  <si>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</si>
  <si>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</si>
  <si>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</si>
  <si>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</si>
  <si>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</si>
  <si>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</si>
  <si>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</si>
  <si>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</si>
  <si>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</si>
  <si>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</si>
  <si>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</si>
  <si>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</si>
  <si>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</si>
  <si>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</si>
  <si>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</si>
  <si>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</si>
  <si>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</si>
  <si>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</si>
  <si>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</si>
  <si>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</si>
  <si>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</si>
  <si>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</si>
  <si>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</si>
  <si>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</si>
  <si>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</si>
  <si>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</si>
  <si>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</si>
  <si>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</si>
  <si>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</si>
  <si>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</si>
  <si>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</si>
  <si>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</si>
  <si>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</si>
  <si>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</si>
  <si>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</si>
  <si>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</si>
  <si>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</si>
  <si>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</si>
  <si>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</si>
  <si>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</si>
  <si>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</si>
  <si>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</si>
  <si>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</si>
  <si>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</si>
  <si>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</si>
  <si>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</si>
  <si>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</si>
  <si>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</si>
  <si>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</si>
  <si>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</si>
  <si>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</si>
  <si>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</si>
  <si>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</si>
  <si>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</si>
  <si>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</si>
  <si>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</si>
  <si>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</si>
  <si>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</si>
  <si>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</si>
  <si>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</si>
  <si>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</si>
  <si>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</si>
  <si>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</si>
  <si>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</si>
  <si>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</si>
  <si>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</si>
  <si>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</si>
  <si>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</si>
  <si>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</si>
  <si>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</si>
  <si>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</si>
  <si>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</si>
  <si>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</si>
  <si>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</si>
  <si>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</si>
  <si>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</si>
  <si>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</si>
  <si>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</si>
  <si>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</si>
  <si>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</si>
  <si>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</si>
  <si>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</si>
  <si>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</si>
  <si>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</si>
  <si>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</si>
  <si>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</si>
  <si>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</si>
  <si>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</si>
  <si>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</si>
  <si>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</si>
  <si>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</si>
  <si>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</si>
  <si>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</si>
  <si>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</si>
  <si>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</si>
  <si>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</si>
  <si>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</si>
  <si>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</si>
  <si>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</si>
  <si>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</si>
  <si>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</si>
  <si>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</si>
  <si>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</si>
  <si>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</si>
  <si>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</si>
  <si>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</si>
  <si>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</si>
  <si>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</si>
  <si>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</si>
  <si>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</si>
  <si>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</si>
  <si>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</si>
  <si>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</si>
  <si>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</si>
  <si>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</si>
  <si>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</si>
  <si>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</si>
  <si>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</si>
  <si>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</si>
  <si>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</si>
  <si>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</si>
  <si>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</si>
  <si>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</si>
  <si>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</si>
  <si>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</si>
  <si>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</si>
  <si>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</si>
  <si>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</si>
  <si>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</si>
  <si>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</si>
  <si>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</si>
  <si>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</si>
  <si>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</si>
  <si>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</si>
  <si>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</si>
  <si>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</si>
  <si>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</si>
  <si>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</si>
  <si>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431 Atlanta St</t>
  </si>
  <si>
    <t>1104PC</t>
  </si>
  <si>
    <t>PON1104PC</t>
  </si>
  <si>
    <t>F 430-1 RICHMOND ST</t>
  </si>
  <si>
    <t>OPP 420-1 RICHMOND ST</t>
  </si>
  <si>
    <t>R 712-1 CAROLINA AVE</t>
  </si>
  <si>
    <t>R 421-1 ORLEANS ST</t>
  </si>
  <si>
    <t>R 712-1 LOUISIANA AVE</t>
  </si>
  <si>
    <t>R 725-1 CAROLINA AVE</t>
  </si>
  <si>
    <t>F 420-1 ST AUGUSTINE ST</t>
  </si>
  <si>
    <t>R 929-1 ST AUGUSTINE ST</t>
  </si>
  <si>
    <t>R 813-1 CAROLINA AVE</t>
  </si>
  <si>
    <t>R 809-1 CAROLINA AVE</t>
  </si>
  <si>
    <t>F 520-1 ST AUGUSTINE ST</t>
  </si>
  <si>
    <t>F 830-1 LOUISIANA AVE</t>
  </si>
  <si>
    <t>F 812-1 LOUISIANA AVE</t>
  </si>
  <si>
    <t>OPP 421-1 ATLANTA ST</t>
  </si>
  <si>
    <t>R 413-1 MISSISSIPPI AVE</t>
  </si>
  <si>
    <t>S 403-1 MISSISSIPPI AVE</t>
  </si>
  <si>
    <t>R 722-1 CAROLINA AVE</t>
  </si>
  <si>
    <t>R 802-1 CAROLINA AVE</t>
  </si>
  <si>
    <t>R 820-1 CAROLINA AVE</t>
  </si>
  <si>
    <t>R 721-1 CAROLINA AVE</t>
  </si>
  <si>
    <t>R 701-1 LOUISIANA AVE</t>
  </si>
  <si>
    <t>BGLSLAMA</t>
  </si>
  <si>
    <t>FBT</t>
  </si>
  <si>
    <t>F 911-1 MISSISSIPPI AVE</t>
  </si>
  <si>
    <t>A02RHW0</t>
  </si>
  <si>
    <t>F 428-1 LOUISIANA AVE</t>
  </si>
  <si>
    <t>F 410-1 LOUISIANA AVE</t>
  </si>
  <si>
    <t>F 328-1 LOUISIANA AVE</t>
  </si>
  <si>
    <t>F 321-2 MISSISSIPPI AVE</t>
  </si>
  <si>
    <t>F 315-2 MISSISSIPPI AVE</t>
  </si>
  <si>
    <t>OPP 431-2 ATLANTA ST</t>
  </si>
  <si>
    <t>F 420-1 RICHMOND ST</t>
  </si>
  <si>
    <t>F 805-1 MISSISSIPPI AVE</t>
  </si>
  <si>
    <t>R 911-1 ST AUGUSTINE ST</t>
  </si>
  <si>
    <t>S 902-2 CAROLINA AVE</t>
  </si>
  <si>
    <t>F 902-1 VIRGINIA AVE</t>
  </si>
  <si>
    <t>F 606-1 CAROLINA AVE</t>
  </si>
  <si>
    <t>F 623-1 CAROLINA AVE</t>
  </si>
  <si>
    <t>F 912-2 VIRGINIA AVE</t>
  </si>
  <si>
    <t>FBT ACTIVATION</t>
  </si>
  <si>
    <t>FUTURE LOOP</t>
  </si>
  <si>
    <t>F 621-1 CAROLINA 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</si>
</sst>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1" dataDxfId="1619" headerRowBorderDxfId="1620" tableBorderDxfId="1618" totalsRowBorderDxfId="1617">
  <autoFilter ref="A1:AP499" xr:uid="{00000000-0009-0000-0100-000003000000}"/>
  <tableColumns count="42">
    <tableColumn id="1" xr3:uid="{00000000-0010-0000-0000-000001000000}" name="DWG#" dataDxfId="1616"/>
    <tableColumn id="61" xr3:uid="{00000000-0010-0000-0000-00003D000000}" name="10x15 HH" dataDxfId="1615"/>
    <tableColumn id="9" xr3:uid="{00000000-0010-0000-0000-000009000000}" name="IDUCT 1" dataDxfId="1614"/>
    <tableColumn id="10" xr3:uid="{00000000-0010-0000-0000-00000A000000}" name="IDUCT 2" dataDxfId="1613"/>
    <tableColumn id="11" xr3:uid="{00000000-0010-0000-0000-00000B000000}" name="IDUCT 3" dataDxfId="1612"/>
    <tableColumn id="12" xr3:uid="{00000000-0010-0000-0000-00000C000000}" name="IDUCT 4" dataDxfId="1611"/>
    <tableColumn id="13" xr3:uid="{00000000-0010-0000-0000-00000D000000}" name="IDUCT 5" dataDxfId="1610"/>
    <tableColumn id="14" xr3:uid="{00000000-0010-0000-0000-00000E000000}" name="IDUCT 6" dataDxfId="1609"/>
    <tableColumn id="15" xr3:uid="{00000000-0010-0000-0000-00000F000000}" name="IDUCT 7" dataDxfId="1608"/>
    <tableColumn id="16" xr3:uid="{00000000-0010-0000-0000-000010000000}" name="IDUCT 8" dataDxfId="1607"/>
    <tableColumn id="17" xr3:uid="{00000000-0010-0000-0000-000011000000}" name="IDUCT 9" dataDxfId="1606"/>
    <tableColumn id="18" xr3:uid="{00000000-0010-0000-0000-000012000000}" name="IDUCT 10" dataDxfId="1605"/>
    <tableColumn id="19" xr3:uid="{00000000-0010-0000-0000-000013000000}" name="IDUCT 11" dataDxfId="1604"/>
    <tableColumn id="20" xr3:uid="{00000000-0010-0000-0000-000014000000}" name="IDUCT 12" dataDxfId="1603"/>
    <tableColumn id="21" xr3:uid="{00000000-0010-0000-0000-000015000000}" name="IDUCT 13" dataDxfId="1602"/>
    <tableColumn id="22" xr3:uid="{00000000-0010-0000-0000-000016000000}" name="IDUCT 14" dataDxfId="1601"/>
    <tableColumn id="23" xr3:uid="{00000000-0010-0000-0000-000017000000}" name="IDUCT 15" dataDxfId="1600"/>
    <tableColumn id="24" xr3:uid="{00000000-0010-0000-0000-000018000000}" name="IDUCT 16" dataDxfId="1599"/>
    <tableColumn id="25" xr3:uid="{00000000-0010-0000-0000-000019000000}" name="IDUCT 17" dataDxfId="1598"/>
    <tableColumn id="26" xr3:uid="{00000000-0010-0000-0000-00001A000000}" name="IDUCT 18" dataDxfId="1597"/>
    <tableColumn id="27" xr3:uid="{00000000-0010-0000-0000-00001B000000}" name="IDUCT 19" dataDxfId="1596"/>
    <tableColumn id="28" xr3:uid="{00000000-0010-0000-0000-00001C000000}" name="IDUCT 20" dataDxfId="1595"/>
    <tableColumn id="29" xr3:uid="{00000000-0010-0000-0000-00001D000000}" name="Pullback IDUCT 1" dataDxfId="1594"/>
    <tableColumn id="30" xr3:uid="{00000000-0010-0000-0000-00001E000000}" name="Pullback IDUCT 2" dataDxfId="1593"/>
    <tableColumn id="31" xr3:uid="{00000000-0010-0000-0000-00001F000000}" name="Pullback IDUCT 3" dataDxfId="1592"/>
    <tableColumn id="32" xr3:uid="{00000000-0010-0000-0000-000020000000}" name="Pullback IDUCT 4" dataDxfId="1591"/>
    <tableColumn id="33" xr3:uid="{00000000-0010-0000-0000-000021000000}" name="Pullback IDUCT 5" dataDxfId="1590"/>
    <tableColumn id="34" xr3:uid="{00000000-0010-0000-0000-000022000000}" name="Pullback IDUCT 6" dataDxfId="1589"/>
    <tableColumn id="35" xr3:uid="{00000000-0010-0000-0000-000023000000}" name="Pullback IDUCT 7" dataDxfId="1588"/>
    <tableColumn id="36" xr3:uid="{00000000-0010-0000-0000-000024000000}" name="Pullback IDUCT 8" dataDxfId="1587"/>
    <tableColumn id="37" xr3:uid="{00000000-0010-0000-0000-000025000000}" name="Pullback IDUCT 9" dataDxfId="1586"/>
    <tableColumn id="38" xr3:uid="{00000000-0010-0000-0000-000026000000}" name="Pullback IDUCT 10" dataDxfId="1585"/>
    <tableColumn id="49" xr3:uid="{00000000-0010-0000-0000-000031000000}" name="ROD Duct 1" dataDxfId="1584"/>
    <tableColumn id="50" xr3:uid="{00000000-0010-0000-0000-000032000000}" name="ROD Duct 2" dataDxfId="1583"/>
    <tableColumn id="51" xr3:uid="{00000000-0010-0000-0000-000033000000}" name="ROD Duct 3" dataDxfId="1582"/>
    <tableColumn id="52" xr3:uid="{00000000-0010-0000-0000-000034000000}" name="ROD Duct 4" dataDxfId="1581"/>
    <tableColumn id="53" xr3:uid="{00000000-0010-0000-0000-000035000000}" name="ROD Duct 5" dataDxfId="1580"/>
    <tableColumn id="54" xr3:uid="{00000000-0010-0000-0000-000036000000}" name="ROD Duct 6" dataDxfId="1579"/>
    <tableColumn id="55" xr3:uid="{00000000-0010-0000-0000-000037000000}" name="ROD Duct 7" dataDxfId="1578"/>
    <tableColumn id="56" xr3:uid="{00000000-0010-0000-0000-000038000000}" name="ROD Duct 8" dataDxfId="1577"/>
    <tableColumn id="57" xr3:uid="{00000000-0010-0000-0000-000039000000}" name="ROD Duct 9" dataDxfId="1576"/>
    <tableColumn id="58" xr3:uid="{00000000-0010-0000-0000-00003A000000}" name="ROD Duct 10" dataDxfId="1575"/>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M10" sqref="M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ColWidth="9.140625" defaultRowHeight="15" x14ac:dyDescent="0.25"/>
  <cols>
    <col min="1" max="2" width="35.7109375" customWidth="1"/>
    <col min="3" max="5" width="15.7109375" customWidth="1"/>
  </cols>
  <sheetData>
    <row r="1" spans="1:11" x14ac:dyDescent="0.25">
      <c r="A1" s="118" t="str">
        <f>VLOOKUP(H1,$I$1:$J$1000,2)</f>
        <v>OPP 431-2 ATLANTA ST</v>
      </c>
      <c r="B1" s="118"/>
      <c r="C1" s="118"/>
      <c r="D1" s="118"/>
      <c r="E1" s="118"/>
      <c r="G1" t="str">
        <f>IF('Assignment Tool'!C1="","",IF('Assignment Tool'!C1="FST",'Assignment Tool'!D1,""))</f>
        <v/>
      </c>
      <c r="H1">
        <v>1</v>
      </c>
      <c r="I1">
        <v>1</v>
      </c>
      <c r="J1" t="str">
        <f t="array" ref="J1">IFERROR(INDEX($G$2:$G$2050,_xlfn.AGGREGATE(15,6,(ROW($G$2:$G$2050)-ROW($G$2)+1)/($G$2:$G$2050&lt;&gt;""),ROWS(J$1:J1))),"")</f>
        <v>OPP 431-2 ATLANTA ST</v>
      </c>
      <c r="K1">
        <f>IF(J1="","",INDEX('Assignment Tool'!E17:E2050,MATCH(FA_DATA!J1,'Assignment Tool'!D17:D2050,0)))</f>
        <v>12</v>
      </c>
    </row>
    <row r="2" spans="1:11" x14ac:dyDescent="0.25">
      <c r="A2" s="118" t="str">
        <f t="shared" ref="A2:A65" si="0">VLOOKUP(H2,$I$1:$J$1000,2)</f>
        <v>OPP 431-2 ATLANTA ST</v>
      </c>
      <c r="G2" t="str">
        <f>IF('Assignment Tool'!C2="","",IF('Assignment Tool'!C2="FST",'Assignment Tool'!D2,""))</f>
        <v/>
      </c>
      <c r="H2">
        <v>2</v>
      </c>
      <c r="I2">
        <f>IFERROR((I1+K1),"")</f>
        <v>13</v>
      </c>
      <c r="J2" t="str">
        <f t="array" ref="J2">IFERROR(INDEX($G$2:$G$2050,_xlfn.AGGREGATE(15,6,(ROW($G$2:$G$2050)-ROW($G$2)+1)/($G$2:$G$2050&lt;&gt;""),ROWS(J$1:J2))),"")</f>
        <v>OPP 420-1 RICHMOND ST</v>
      </c>
      <c r="K2">
        <f>IF(J2="","",INDEX('Assignment Tool'!E18:E2051,MATCH(FA_DATA!J2,'Assignment Tool'!D18:D2051,0)))</f>
        <v>4</v>
      </c>
    </row>
    <row r="3" spans="1:11" x14ac:dyDescent="0.25">
      <c r="A3" s="118" t="str">
        <f t="shared" si="0"/>
        <v>OPP 431-2 ATLANTA ST</v>
      </c>
      <c r="G3" t="str">
        <f>IF('Assignment Tool'!C3="","",IF('Assignment Tool'!C3="FST",'Assignment Tool'!D3,""))</f>
        <v/>
      </c>
      <c r="H3">
        <v>3</v>
      </c>
      <c r="I3">
        <f t="shared" ref="I3:I66" si="1">IFERROR((I2+K2),"")</f>
        <v>17</v>
      </c>
      <c r="J3" t="str">
        <f t="array" ref="J3">IFERROR(INDEX($G$2:$G$2050,_xlfn.AGGREGATE(15,6,(ROW($G$2:$G$2050)-ROW($G$2)+1)/($G$2:$G$2050&lt;&gt;""),ROWS(J$1:J3))),"")</f>
        <v>F 420-1 RICHMOND ST</v>
      </c>
      <c r="K3">
        <f>IF(J3="","",INDEX('Assignment Tool'!E19:E2052,MATCH(FA_DATA!J3,'Assignment Tool'!D19:D2052,0)))</f>
        <v>2</v>
      </c>
    </row>
    <row r="4" spans="1:11" x14ac:dyDescent="0.25">
      <c r="A4" s="118" t="str">
        <f t="shared" si="0"/>
        <v>OPP 431-2 ATLANTA ST</v>
      </c>
      <c r="G4" t="str">
        <f>IF('Assignment Tool'!C4="","",IF('Assignment Tool'!C4="FST",'Assignment Tool'!D4,""))</f>
        <v/>
      </c>
      <c r="H4">
        <v>4</v>
      </c>
      <c r="I4">
        <f t="shared" si="1"/>
        <v>19</v>
      </c>
      <c r="J4" t="str">
        <f t="array" ref="J4">IFERROR(INDEX($G$2:$G$2050,_xlfn.AGGREGATE(15,6,(ROW($G$2:$G$2050)-ROW($G$2)+1)/($G$2:$G$2050&lt;&gt;""),ROWS(J$1:J4))),"")</f>
        <v>F 430-1 RICHMOND ST</v>
      </c>
      <c r="K4">
        <f>IF(J4="","",INDEX('Assignment Tool'!E20:E2053,MATCH(FA_DATA!J4,'Assignment Tool'!D20:D2053,0)))</f>
        <v>2</v>
      </c>
    </row>
    <row r="5" spans="1:11" x14ac:dyDescent="0.25">
      <c r="A5" s="118" t="str">
        <f t="shared" si="0"/>
        <v>OPP 431-2 ATLANTA ST</v>
      </c>
      <c r="G5" t="str">
        <f>IF('Assignment Tool'!C5="","",IF('Assignment Tool'!C5="FST",'Assignment Tool'!D5,""))</f>
        <v/>
      </c>
      <c r="H5">
        <v>5</v>
      </c>
      <c r="I5">
        <f t="shared" si="1"/>
        <v>21</v>
      </c>
      <c r="J5" t="str">
        <f t="array" ref="J5">IFERROR(INDEX($G$2:$G$2050,_xlfn.AGGREGATE(15,6,(ROW($G$2:$G$2050)-ROW($G$2)+1)/($G$2:$G$2050&lt;&gt;""),ROWS(J$1:J5))),"")</f>
        <v>R 712-1 CAROLINA AVE</v>
      </c>
      <c r="K5">
        <f>IF(J5="","",INDEX('Assignment Tool'!E21:E2054,MATCH(FA_DATA!J5,'Assignment Tool'!D21:D2054,0)))</f>
        <v>4</v>
      </c>
    </row>
    <row r="6" spans="1:11" x14ac:dyDescent="0.25">
      <c r="A6" s="118" t="str">
        <f t="shared" si="0"/>
        <v>OPP 431-2 ATLANTA ST</v>
      </c>
      <c r="G6" t="str">
        <f>IF('Assignment Tool'!C6="","",IF('Assignment Tool'!C6="FST",'Assignment Tool'!D6,""))</f>
        <v/>
      </c>
      <c r="H6">
        <v>6</v>
      </c>
      <c r="I6">
        <f t="shared" si="1"/>
        <v>25</v>
      </c>
      <c r="J6" t="str">
        <f t="array" ref="J6">IFERROR(INDEX($G$2:$G$2050,_xlfn.AGGREGATE(15,6,(ROW($G$2:$G$2050)-ROW($G$2)+1)/($G$2:$G$2050&lt;&gt;""),ROWS(J$1:J6))),"")</f>
        <v>R 722-1 CAROLINA AVE</v>
      </c>
      <c r="K6">
        <f>IF(J6="","",INDEX('Assignment Tool'!E22:E2055,MATCH(FA_DATA!J6,'Assignment Tool'!D22:D2055,0)))</f>
        <v>4</v>
      </c>
    </row>
    <row r="7" spans="1:11" x14ac:dyDescent="0.25">
      <c r="A7" s="118" t="str">
        <f t="shared" si="0"/>
        <v>OPP 431-2 ATLANTA ST</v>
      </c>
      <c r="G7" t="str">
        <f>IF('Assignment Tool'!C7="","",IF('Assignment Tool'!C7="FST",'Assignment Tool'!D7,""))</f>
        <v/>
      </c>
      <c r="H7">
        <v>7</v>
      </c>
      <c r="I7">
        <f t="shared" si="1"/>
        <v>29</v>
      </c>
      <c r="J7" t="str">
        <f t="array" ref="J7">IFERROR(INDEX($G$2:$G$2050,_xlfn.AGGREGATE(15,6,(ROW($G$2:$G$2050)-ROW($G$2)+1)/($G$2:$G$2050&lt;&gt;""),ROWS(J$1:J7))),"")</f>
        <v>R 802-1 CAROLINA AVE</v>
      </c>
      <c r="K7">
        <f>IF(J7="","",INDEX('Assignment Tool'!E23:E2056,MATCH(FA_DATA!J7,'Assignment Tool'!D23:D2056,0)))</f>
        <v>4</v>
      </c>
    </row>
    <row r="8" spans="1:11" x14ac:dyDescent="0.25">
      <c r="A8" s="118" t="str">
        <f t="shared" si="0"/>
        <v>OPP 431-2 ATLANTA ST</v>
      </c>
      <c r="G8" t="str">
        <f>IF('Assignment Tool'!C8="","",IF('Assignment Tool'!C8="FST",'Assignment Tool'!D8,""))</f>
        <v/>
      </c>
      <c r="H8">
        <v>8</v>
      </c>
      <c r="I8">
        <f t="shared" si="1"/>
        <v>33</v>
      </c>
      <c r="J8" t="str">
        <f t="array" ref="J8">IFERROR(INDEX($G$2:$G$2050,_xlfn.AGGREGATE(15,6,(ROW($G$2:$G$2050)-ROW($G$2)+1)/($G$2:$G$2050&lt;&gt;""),ROWS(J$1:J8))),"")</f>
        <v>R 820-1 CAROLINA AVE</v>
      </c>
      <c r="K8">
        <f>IF(J8="","",INDEX('Assignment Tool'!E24:E2057,MATCH(FA_DATA!J8,'Assignment Tool'!D24:D2057,0)))</f>
        <v>4</v>
      </c>
    </row>
    <row r="9" spans="1:11" x14ac:dyDescent="0.25">
      <c r="A9" s="118" t="str">
        <f t="shared" si="0"/>
        <v>OPP 431-2 ATLANTA ST</v>
      </c>
      <c r="G9" t="str">
        <f>IF('Assignment Tool'!C9="","",IF('Assignment Tool'!C9="FST",'Assignment Tool'!D9,""))</f>
        <v/>
      </c>
      <c r="H9">
        <v>9</v>
      </c>
      <c r="I9">
        <f t="shared" si="1"/>
        <v>37</v>
      </c>
      <c r="J9" t="str">
        <f t="array" ref="J9">IFERROR(INDEX($G$2:$G$2050,_xlfn.AGGREGATE(15,6,(ROW($G$2:$G$2050)-ROW($G$2)+1)/($G$2:$G$2050&lt;&gt;""),ROWS(J$1:J9))),"")</f>
        <v>S 902-2 CAROLINA AVE</v>
      </c>
      <c r="K9">
        <f>IF(J9="","",INDEX('Assignment Tool'!E25:E2058,MATCH(FA_DATA!J9,'Assignment Tool'!D25:D2058,0)))</f>
        <v>12</v>
      </c>
    </row>
    <row r="10" spans="1:11" x14ac:dyDescent="0.25">
      <c r="A10" s="118" t="str">
        <f t="shared" si="0"/>
        <v>OPP 431-2 ATLANTA ST</v>
      </c>
      <c r="G10" t="str">
        <f>IF('Assignment Tool'!C10="","",IF('Assignment Tool'!C10="FST",'Assignment Tool'!D10,""))</f>
        <v/>
      </c>
      <c r="H10">
        <v>10</v>
      </c>
      <c r="I10">
        <f t="shared" si="1"/>
        <v>49</v>
      </c>
      <c r="J10" t="str">
        <f t="array" ref="J10">IFERROR(INDEX($G$2:$G$2050,_xlfn.AGGREGATE(15,6,(ROW($G$2:$G$2050)-ROW($G$2)+1)/($G$2:$G$2050&lt;&gt;""),ROWS(J$1:J10))),"")</f>
        <v>R 421-1 ORLEANS ST</v>
      </c>
      <c r="K10">
        <f>IF(J10="","",INDEX('Assignment Tool'!E26:E2059,MATCH(FA_DATA!J10,'Assignment Tool'!D26:D2059,0)))</f>
        <v>12</v>
      </c>
    </row>
    <row r="11" spans="1:11" x14ac:dyDescent="0.25">
      <c r="A11" s="118" t="str">
        <f t="shared" si="0"/>
        <v>OPP 431-2 ATLANTA ST</v>
      </c>
      <c r="G11" t="str">
        <f>IF('Assignment Tool'!C11="","",IF('Assignment Tool'!C11="FST",'Assignment Tool'!D11,""))</f>
        <v/>
      </c>
      <c r="H11">
        <v>11</v>
      </c>
      <c r="I11">
        <f t="shared" si="1"/>
        <v>61</v>
      </c>
      <c r="J11" t="str">
        <f t="array" ref="J11">IFERROR(INDEX($G$2:$G$2050,_xlfn.AGGREGATE(15,6,(ROW($G$2:$G$2050)-ROW($G$2)+1)/($G$2:$G$2050&lt;&gt;""),ROWS(J$1:J11))),"")</f>
        <v>R 721-1 CAROLINA AVE</v>
      </c>
      <c r="K11">
        <f>IF(J11="","",INDEX('Assignment Tool'!E27:E2060,MATCH(FA_DATA!J11,'Assignment Tool'!D27:D2060,0)))</f>
        <v>4</v>
      </c>
    </row>
    <row r="12" spans="1:11" x14ac:dyDescent="0.25">
      <c r="A12" s="118" t="str">
        <f t="shared" si="0"/>
        <v>OPP 431-2 ATLANTA ST</v>
      </c>
      <c r="G12" t="str">
        <f>IF('Assignment Tool'!C12="","",IF('Assignment Tool'!C12="FST",'Assignment Tool'!D12,""))</f>
        <v/>
      </c>
      <c r="H12">
        <v>12</v>
      </c>
      <c r="I12">
        <f t="shared" si="1"/>
        <v>65</v>
      </c>
      <c r="J12" t="str">
        <f t="array" ref="J12">IFERROR(INDEX($G$2:$G$2050,_xlfn.AGGREGATE(15,6,(ROW($G$2:$G$2050)-ROW($G$2)+1)/($G$2:$G$2050&lt;&gt;""),ROWS(J$1:J12))),"")</f>
        <v>R 725-1 CAROLINA AVE</v>
      </c>
      <c r="K12">
        <f>IF(J12="","",INDEX('Assignment Tool'!E28:E2061,MATCH(FA_DATA!J12,'Assignment Tool'!D28:D2061,0)))</f>
        <v>8</v>
      </c>
    </row>
    <row r="13" spans="1:11" x14ac:dyDescent="0.25">
      <c r="A13" s="118" t="str">
        <f t="shared" si="0"/>
        <v>OPP 420-1 RICHMOND ST</v>
      </c>
      <c r="G13" t="str">
        <f>IF('Assignment Tool'!C13="","",IF('Assignment Tool'!C13="FST",'Assignment Tool'!D13,""))</f>
        <v/>
      </c>
      <c r="H13">
        <v>13</v>
      </c>
      <c r="I13">
        <f t="shared" si="1"/>
        <v>73</v>
      </c>
      <c r="J13" t="str">
        <f t="array" ref="J13">IFERROR(INDEX($G$2:$G$2050,_xlfn.AGGREGATE(15,6,(ROW($G$2:$G$2050)-ROW($G$2)+1)/($G$2:$G$2050&lt;&gt;""),ROWS(J$1:J13))),"")</f>
        <v>F 420-1 ST AUGUSTINE ST</v>
      </c>
      <c r="K13">
        <f>IF(J13="","",INDEX('Assignment Tool'!E29:E2062,MATCH(FA_DATA!J13,'Assignment Tool'!D29:D2062,0)))</f>
        <v>4</v>
      </c>
    </row>
    <row r="14" spans="1:11" x14ac:dyDescent="0.25">
      <c r="A14" s="118" t="str">
        <f t="shared" si="0"/>
        <v>OPP 420-1 RICHMOND ST</v>
      </c>
      <c r="G14" t="str">
        <f>IF('Assignment Tool'!C14="","",IF('Assignment Tool'!C14="FST",'Assignment Tool'!D14,""))</f>
        <v/>
      </c>
      <c r="H14">
        <v>14</v>
      </c>
      <c r="I14">
        <f t="shared" si="1"/>
        <v>77</v>
      </c>
      <c r="J14" t="str">
        <f t="array" ref="J14">IFERROR(INDEX($G$2:$G$2050,_xlfn.AGGREGATE(15,6,(ROW($G$2:$G$2050)-ROW($G$2)+1)/($G$2:$G$2050&lt;&gt;""),ROWS(J$1:J14))),"")</f>
        <v>F 911-1 MISSISSIPPI AVE</v>
      </c>
      <c r="K14">
        <f>IF(J14="","",INDEX('Assignment Tool'!E30:E2063,MATCH(FA_DATA!J14,'Assignment Tool'!D30:D2063,0)))</f>
        <v>4</v>
      </c>
    </row>
    <row r="15" spans="1:11" x14ac:dyDescent="0.25">
      <c r="A15" s="118" t="str">
        <f t="shared" si="0"/>
        <v>OPP 420-1 RICHMOND ST</v>
      </c>
      <c r="G15" t="str">
        <f>IF('Assignment Tool'!C15="","",IF('Assignment Tool'!C15="FST",'Assignment Tool'!D15,""))</f>
        <v/>
      </c>
      <c r="H15">
        <v>15</v>
      </c>
      <c r="I15">
        <f t="shared" si="1"/>
        <v>81</v>
      </c>
      <c r="J15" t="str">
        <f t="array" ref="J15">IFERROR(INDEX($G$2:$G$2050,_xlfn.AGGREGATE(15,6,(ROW($G$2:$G$2050)-ROW($G$2)+1)/($G$2:$G$2050&lt;&gt;""),ROWS(J$1:J15))),"")</f>
        <v>F 805-1 MISSISSIPPI AVE</v>
      </c>
      <c r="K15">
        <f>IF(J15="","",INDEX('Assignment Tool'!E31:E2064,MATCH(FA_DATA!J15,'Assignment Tool'!D31:D2064,0)))</f>
        <v>4</v>
      </c>
    </row>
    <row r="16" spans="1:11" x14ac:dyDescent="0.25">
      <c r="A16" s="118" t="str">
        <f t="shared" si="0"/>
        <v>OPP 420-1 RICHMOND ST</v>
      </c>
      <c r="G16" t="str">
        <f>IF('Assignment Tool'!C16="","",IF('Assignment Tool'!C16="FST",'Assignment Tool'!D16,""))</f>
        <v/>
      </c>
      <c r="H16">
        <v>16</v>
      </c>
      <c r="I16">
        <f t="shared" si="1"/>
        <v>85</v>
      </c>
      <c r="J16" t="str">
        <f t="array" ref="J16">IFERROR(INDEX($G$2:$G$2050,_xlfn.AGGREGATE(15,6,(ROW($G$2:$G$2050)-ROW($G$2)+1)/($G$2:$G$2050&lt;&gt;""),ROWS(J$1:J16))),"")</f>
        <v>F 520-1 ST AUGUSTINE ST</v>
      </c>
      <c r="K16">
        <f>IF(J16="","",INDEX('Assignment Tool'!E32:E2065,MATCH(FA_DATA!J16,'Assignment Tool'!D32:D2065,0)))</f>
        <v>4</v>
      </c>
    </row>
    <row r="17" spans="1:11" x14ac:dyDescent="0.25">
      <c r="A17" s="118" t="str">
        <f t="shared" si="0"/>
        <v>F 420-1 RICHMOND ST</v>
      </c>
      <c r="G17" t="str">
        <f>IF('Assignment Tool'!C17="","",IF('Assignment Tool'!C17="FST",'Assignment Tool'!D17,""))</f>
        <v>OPP 431-2 ATLANTA ST</v>
      </c>
      <c r="H17">
        <v>17</v>
      </c>
      <c r="I17">
        <f t="shared" si="1"/>
        <v>89</v>
      </c>
      <c r="J17" t="str">
        <f t="array" ref="J17">IFERROR(INDEX($G$2:$G$2050,_xlfn.AGGREGATE(15,6,(ROW($G$2:$G$2050)-ROW($G$2)+1)/($G$2:$G$2050&lt;&gt;""),ROWS(J$1:J17))),"")</f>
        <v>R 911-1 ST AUGUSTINE ST</v>
      </c>
      <c r="K17">
        <f>IF(J17="","",INDEX('Assignment Tool'!E33:E2066,MATCH(FA_DATA!J17,'Assignment Tool'!D33:D2066,0)))</f>
        <v>4</v>
      </c>
    </row>
    <row r="18" spans="1:11" x14ac:dyDescent="0.25">
      <c r="A18" s="118" t="str">
        <f t="shared" si="0"/>
        <v>F 420-1 RICHMOND ST</v>
      </c>
      <c r="G18" t="str">
        <f>IF('Assignment Tool'!C18="","",IF('Assignment Tool'!C18="FST",'Assignment Tool'!D18,""))</f>
        <v/>
      </c>
      <c r="H18">
        <v>18</v>
      </c>
      <c r="I18">
        <f t="shared" si="1"/>
        <v>93</v>
      </c>
      <c r="J18" t="str">
        <f t="array" ref="J18">IFERROR(INDEX($G$2:$G$2050,_xlfn.AGGREGATE(15,6,(ROW($G$2:$G$2050)-ROW($G$2)+1)/($G$2:$G$2050&lt;&gt;""),ROWS(J$1:J18))),"")</f>
        <v>R 929-1 ST AUGUSTINE ST</v>
      </c>
      <c r="K18">
        <f>IF(J18="","",INDEX('Assignment Tool'!E34:E2067,MATCH(FA_DATA!J18,'Assignment Tool'!D34:D2067,0)))</f>
        <v>4</v>
      </c>
    </row>
    <row r="19" spans="1:11" x14ac:dyDescent="0.25">
      <c r="A19" s="118" t="str">
        <f t="shared" si="0"/>
        <v>F 430-1 RICHMOND ST</v>
      </c>
      <c r="G19" t="str">
        <f>IF('Assignment Tool'!C19="","",IF('Assignment Tool'!C19="FST",'Assignment Tool'!D19,""))</f>
        <v/>
      </c>
      <c r="H19">
        <v>19</v>
      </c>
      <c r="I19">
        <f t="shared" si="1"/>
        <v>97</v>
      </c>
      <c r="J19" t="str">
        <f t="array" ref="J19">IFERROR(INDEX($G$2:$G$2050,_xlfn.AGGREGATE(15,6,(ROW($G$2:$G$2050)-ROW($G$2)+1)/($G$2:$G$2050&lt;&gt;""),ROWS(J$1:J19))),"")</f>
        <v>R 813-1 CAROLINA AVE</v>
      </c>
      <c r="K19">
        <f>IF(J19="","",INDEX('Assignment Tool'!E35:E2068,MATCH(FA_DATA!J19,'Assignment Tool'!D35:D2068,0)))</f>
        <v>4</v>
      </c>
    </row>
    <row r="20" spans="1:11" x14ac:dyDescent="0.25">
      <c r="A20" s="118" t="str">
        <f t="shared" si="0"/>
        <v>F 430-1 RICHMOND ST</v>
      </c>
      <c r="G20" t="str">
        <f>IF('Assignment Tool'!C20="","",IF('Assignment Tool'!C20="FST",'Assignment Tool'!D20,""))</f>
        <v/>
      </c>
      <c r="H20">
        <v>20</v>
      </c>
      <c r="I20">
        <f t="shared" si="1"/>
        <v>101</v>
      </c>
      <c r="J20" t="str">
        <f t="array" ref="J20">IFERROR(INDEX($G$2:$G$2050,_xlfn.AGGREGATE(15,6,(ROW($G$2:$G$2050)-ROW($G$2)+1)/($G$2:$G$2050&lt;&gt;""),ROWS(J$1:J20))),"")</f>
        <v>R 809-1 CAROLINA AVE</v>
      </c>
      <c r="K20">
        <f>IF(J20="","",INDEX('Assignment Tool'!E36:E2069,MATCH(FA_DATA!J20,'Assignment Tool'!D36:D2069,0)))</f>
        <v>8</v>
      </c>
    </row>
    <row r="21" spans="1:11" x14ac:dyDescent="0.25">
      <c r="A21" s="118" t="str">
        <f t="shared" si="0"/>
        <v>R 712-1 CAROLINA AVE</v>
      </c>
      <c r="G21" t="str">
        <f>IF('Assignment Tool'!C21="","",IF('Assignment Tool'!C21="FST",'Assignment Tool'!D21,""))</f>
        <v/>
      </c>
      <c r="H21">
        <v>21</v>
      </c>
      <c r="I21">
        <f t="shared" si="1"/>
        <v>109</v>
      </c>
      <c r="J21" t="str">
        <f t="array" ref="J21">IFERROR(INDEX($G$2:$G$2050,_xlfn.AGGREGATE(15,6,(ROW($G$2:$G$2050)-ROW($G$2)+1)/($G$2:$G$2050&lt;&gt;""),ROWS(J$1:J21))),"")</f>
        <v>F 830-1 LOUISIANA AVE</v>
      </c>
      <c r="K21">
        <f>IF(J21="","",INDEX('Assignment Tool'!E37:E2070,MATCH(FA_DATA!J21,'Assignment Tool'!D37:D2070,0)))</f>
        <v>12</v>
      </c>
    </row>
    <row r="22" spans="1:11" x14ac:dyDescent="0.25">
      <c r="A22" s="118" t="str">
        <f t="shared" si="0"/>
        <v>R 712-1 CAROLINA AVE</v>
      </c>
      <c r="G22" t="str">
        <f>IF('Assignment Tool'!C22="","",IF('Assignment Tool'!C22="FST",'Assignment Tool'!D22,""))</f>
        <v/>
      </c>
      <c r="H22">
        <v>22</v>
      </c>
      <c r="I22">
        <f t="shared" si="1"/>
        <v>121</v>
      </c>
      <c r="J22" t="str">
        <f t="array" ref="J22">IFERROR(INDEX($G$2:$G$2050,_xlfn.AGGREGATE(15,6,(ROW($G$2:$G$2050)-ROW($G$2)+1)/($G$2:$G$2050&lt;&gt;""),ROWS(J$1:J22))),"")</f>
        <v>F 812-1 LOUISIANA AVE</v>
      </c>
      <c r="K22">
        <f>IF(J22="","",INDEX('Assignment Tool'!E38:E2071,MATCH(FA_DATA!J22,'Assignment Tool'!D38:D2071,0)))</f>
        <v>12</v>
      </c>
    </row>
    <row r="23" spans="1:11" x14ac:dyDescent="0.25">
      <c r="A23" s="118" t="str">
        <f t="shared" si="0"/>
        <v>R 712-1 CAROLINA AVE</v>
      </c>
      <c r="G23" t="str">
        <f>IF('Assignment Tool'!C23="","",IF('Assignment Tool'!C23="FST",'Assignment Tool'!D23,""))</f>
        <v/>
      </c>
      <c r="H23">
        <v>23</v>
      </c>
      <c r="I23">
        <f t="shared" si="1"/>
        <v>133</v>
      </c>
      <c r="J23" t="str">
        <f t="array" ref="J23">IFERROR(INDEX($G$2:$G$2050,_xlfn.AGGREGATE(15,6,(ROW($G$2:$G$2050)-ROW($G$2)+1)/($G$2:$G$2050&lt;&gt;""),ROWS(J$1:J23))),"")</f>
        <v>R 712-1 LOUISIANA AVE</v>
      </c>
      <c r="K23">
        <f>IF(J23="","",INDEX('Assignment Tool'!E39:E2072,MATCH(FA_DATA!J23,'Assignment Tool'!D39:D2072,0)))</f>
        <v>8</v>
      </c>
    </row>
    <row r="24" spans="1:11" x14ac:dyDescent="0.25">
      <c r="A24" s="118" t="str">
        <f t="shared" si="0"/>
        <v>R 712-1 CAROLINA AVE</v>
      </c>
      <c r="G24" t="str">
        <f>IF('Assignment Tool'!C24="","",IF('Assignment Tool'!C24="FST",'Assignment Tool'!D24,""))</f>
        <v/>
      </c>
      <c r="H24">
        <v>24</v>
      </c>
      <c r="I24">
        <f t="shared" si="1"/>
        <v>141</v>
      </c>
      <c r="J24" t="str">
        <f t="array" ref="J24">IFERROR(INDEX($G$2:$G$2050,_xlfn.AGGREGATE(15,6,(ROW($G$2:$G$2050)-ROW($G$2)+1)/($G$2:$G$2050&lt;&gt;""),ROWS(J$1:J24))),"")</f>
        <v>R 701-1 LOUISIANA AVE</v>
      </c>
      <c r="K24">
        <f>IF(J24="","",INDEX('Assignment Tool'!E40:E2073,MATCH(FA_DATA!J24,'Assignment Tool'!D40:D2073,0)))</f>
        <v>4</v>
      </c>
    </row>
    <row r="25" spans="1:11" x14ac:dyDescent="0.25">
      <c r="A25" s="118" t="str">
        <f t="shared" si="0"/>
        <v>R 722-1 CAROLINA AVE</v>
      </c>
      <c r="G25" t="str">
        <f>IF('Assignment Tool'!C25="","",IF('Assignment Tool'!C25="FST",'Assignment Tool'!D25,""))</f>
        <v/>
      </c>
      <c r="H25">
        <v>25</v>
      </c>
      <c r="I25">
        <f t="shared" si="1"/>
        <v>145</v>
      </c>
      <c r="J25" t="str">
        <f t="array" ref="J25">IFERROR(INDEX($G$2:$G$2050,_xlfn.AGGREGATE(15,6,(ROW($G$2:$G$2050)-ROW($G$2)+1)/($G$2:$G$2050&lt;&gt;""),ROWS(J$1:J25))),"")</f>
        <v>OPP 421-1 ATLANTA ST</v>
      </c>
      <c r="K25">
        <f>IF(J25="","",INDEX('Assignment Tool'!E41:E2074,MATCH(FA_DATA!J25,'Assignment Tool'!D41:D2074,0)))</f>
        <v>4</v>
      </c>
    </row>
    <row r="26" spans="1:11" x14ac:dyDescent="0.25">
      <c r="A26" s="118" t="str">
        <f t="shared" si="0"/>
        <v>R 722-1 CAROLINA AVE</v>
      </c>
      <c r="G26" t="str">
        <f>IF('Assignment Tool'!C26="","",IF('Assignment Tool'!C26="FST",'Assignment Tool'!D26,""))</f>
        <v/>
      </c>
      <c r="H26">
        <v>26</v>
      </c>
      <c r="I26">
        <f t="shared" si="1"/>
        <v>149</v>
      </c>
      <c r="J26" t="str">
        <f t="array" ref="J26">IFERROR(INDEX($G$2:$G$2050,_xlfn.AGGREGATE(15,6,(ROW($G$2:$G$2050)-ROW($G$2)+1)/($G$2:$G$2050&lt;&gt;""),ROWS(J$1:J26))),"")</f>
        <v>R 413-1 MISSISSIPPI AVE</v>
      </c>
      <c r="K26">
        <f>IF(J26="","",INDEX('Assignment Tool'!E42:E2075,MATCH(FA_DATA!J26,'Assignment Tool'!D42:D2075,0)))</f>
        <v>8</v>
      </c>
    </row>
    <row r="27" spans="1:11" x14ac:dyDescent="0.25">
      <c r="A27" s="118" t="str">
        <f t="shared" si="0"/>
        <v>R 722-1 CAROLINA AVE</v>
      </c>
      <c r="G27" t="str">
        <f>IF('Assignment Tool'!C27="","",IF('Assignment Tool'!C27="FST",'Assignment Tool'!D27,""))</f>
        <v/>
      </c>
      <c r="H27">
        <v>27</v>
      </c>
      <c r="I27">
        <f t="shared" si="1"/>
        <v>157</v>
      </c>
      <c r="J27" t="str">
        <f t="array" ref="J27">IFERROR(INDEX($G$2:$G$2050,_xlfn.AGGREGATE(15,6,(ROW($G$2:$G$2050)-ROW($G$2)+1)/($G$2:$G$2050&lt;&gt;""),ROWS(J$1:J27))),"")</f>
        <v>S 403-1 MISSISSIPPI AVE</v>
      </c>
      <c r="K27">
        <f>IF(J27="","",INDEX('Assignment Tool'!E43:E2076,MATCH(FA_DATA!J27,'Assignment Tool'!D43:D2076,0)))</f>
        <v>8</v>
      </c>
    </row>
    <row r="28" spans="1:11" x14ac:dyDescent="0.25">
      <c r="A28" s="118" t="str">
        <f t="shared" si="0"/>
        <v>R 722-1 CAROLINA AVE</v>
      </c>
      <c r="G28" t="str">
        <f>IF('Assignment Tool'!C28="","",IF('Assignment Tool'!C28="FST",'Assignment Tool'!D28,""))</f>
        <v/>
      </c>
      <c r="H28">
        <v>28</v>
      </c>
      <c r="I28">
        <f t="shared" si="1"/>
        <v>165</v>
      </c>
      <c r="J28" t="str">
        <f t="array" ref="J28">IFERROR(INDEX($G$2:$G$2050,_xlfn.AGGREGATE(15,6,(ROW($G$2:$G$2050)-ROW($G$2)+1)/($G$2:$G$2050&lt;&gt;""),ROWS(J$1:J28))),"")</f>
        <v>F 321-2 MISSISSIPPI AVE</v>
      </c>
      <c r="K28">
        <f>IF(J28="","",INDEX('Assignment Tool'!E44:E2077,MATCH(FA_DATA!J28,'Assignment Tool'!D44:D2077,0)))</f>
        <v>2</v>
      </c>
    </row>
    <row r="29" spans="1:11" x14ac:dyDescent="0.25">
      <c r="A29" s="118" t="str">
        <f t="shared" si="0"/>
        <v>R 802-1 CAROLINA AVE</v>
      </c>
      <c r="G29" t="str">
        <f>IF('Assignment Tool'!C29="","",IF('Assignment Tool'!C29="FST",'Assignment Tool'!D29,""))</f>
        <v/>
      </c>
      <c r="H29">
        <v>29</v>
      </c>
      <c r="I29">
        <f t="shared" si="1"/>
        <v>167</v>
      </c>
      <c r="J29" t="str">
        <f t="array" ref="J29">IFERROR(INDEX($G$2:$G$2050,_xlfn.AGGREGATE(15,6,(ROW($G$2:$G$2050)-ROW($G$2)+1)/($G$2:$G$2050&lt;&gt;""),ROWS(J$1:J29))),"")</f>
        <v>F 315-2 MISSISSIPPI AVE</v>
      </c>
      <c r="K29">
        <f>IF(J29="","",INDEX('Assignment Tool'!E45:E2078,MATCH(FA_DATA!J29,'Assignment Tool'!D45:D2078,0)))</f>
        <v>2</v>
      </c>
    </row>
    <row r="30" spans="1:11" x14ac:dyDescent="0.25">
      <c r="A30" s="118" t="str">
        <f t="shared" si="0"/>
        <v>R 802-1 CAROLINA AVE</v>
      </c>
      <c r="G30" t="str">
        <f>IF('Assignment Tool'!C30="","",IF('Assignment Tool'!C30="FST",'Assignment Tool'!D30,""))</f>
        <v/>
      </c>
      <c r="H30">
        <v>30</v>
      </c>
      <c r="I30">
        <f t="shared" si="1"/>
        <v>169</v>
      </c>
      <c r="J30" t="str">
        <f t="array" ref="J30">IFERROR(INDEX($G$2:$G$2050,_xlfn.AGGREGATE(15,6,(ROW($G$2:$G$2050)-ROW($G$2)+1)/($G$2:$G$2050&lt;&gt;""),ROWS(J$1:J30))),"")</f>
        <v>F 428-1 LOUISIANA AVE</v>
      </c>
      <c r="K30">
        <f>IF(J30="","",INDEX('Assignment Tool'!E46:E2079,MATCH(FA_DATA!J30,'Assignment Tool'!D46:D2079,0)))</f>
        <v>4</v>
      </c>
    </row>
    <row r="31" spans="1:11" x14ac:dyDescent="0.25">
      <c r="A31" s="118" t="str">
        <f t="shared" si="0"/>
        <v>R 802-1 CAROLINA AVE</v>
      </c>
      <c r="G31" t="str">
        <f>IF('Assignment Tool'!C31="","",IF('Assignment Tool'!C31="FST",'Assignment Tool'!D31,""))</f>
        <v/>
      </c>
      <c r="H31">
        <v>31</v>
      </c>
      <c r="I31">
        <f t="shared" si="1"/>
        <v>173</v>
      </c>
      <c r="J31" t="str">
        <f t="array" ref="J31">IFERROR(INDEX($G$2:$G$2050,_xlfn.AGGREGATE(15,6,(ROW($G$2:$G$2050)-ROW($G$2)+1)/($G$2:$G$2050&lt;&gt;""),ROWS(J$1:J31))),"")</f>
        <v>F 410-1 LOUISIANA AVE</v>
      </c>
      <c r="K31">
        <f>IF(J31="","",INDEX('Assignment Tool'!E47:E2080,MATCH(FA_DATA!J31,'Assignment Tool'!D47:D2080,0)))</f>
        <v>4</v>
      </c>
    </row>
    <row r="32" spans="1:11" x14ac:dyDescent="0.25">
      <c r="A32" s="118" t="str">
        <f t="shared" si="0"/>
        <v>R 802-1 CAROLINA AVE</v>
      </c>
      <c r="G32" t="str">
        <f>IF('Assignment Tool'!C32="","",IF('Assignment Tool'!C32="FST",'Assignment Tool'!D32,""))</f>
        <v/>
      </c>
      <c r="H32">
        <v>32</v>
      </c>
      <c r="I32">
        <f t="shared" si="1"/>
        <v>177</v>
      </c>
      <c r="J32" t="str">
        <f t="array" ref="J32">IFERROR(INDEX($G$2:$G$2050,_xlfn.AGGREGATE(15,6,(ROW($G$2:$G$2050)-ROW($G$2)+1)/($G$2:$G$2050&lt;&gt;""),ROWS(J$1:J32))),"")</f>
        <v>F 328-1 LOUISIANA AVE</v>
      </c>
      <c r="K32">
        <f>IF(J32="","",INDEX('Assignment Tool'!E48:E2081,MATCH(FA_DATA!J32,'Assignment Tool'!D48:D2081,0)))</f>
        <v>4</v>
      </c>
    </row>
    <row r="33" spans="1:11" x14ac:dyDescent="0.25">
      <c r="A33" s="118" t="str">
        <f t="shared" si="0"/>
        <v>R 820-1 CAROLINA AVE</v>
      </c>
      <c r="G33" t="str">
        <f>IF('Assignment Tool'!C33="","",IF('Assignment Tool'!C33="FST",'Assignment Tool'!D33,""))</f>
        <v/>
      </c>
      <c r="H33">
        <v>33</v>
      </c>
      <c r="I33">
        <f t="shared" si="1"/>
        <v>181</v>
      </c>
      <c r="J33" t="str">
        <f t="array" ref="J33">IFERROR(INDEX($G$2:$G$2050,_xlfn.AGGREGATE(15,6,(ROW($G$2:$G$2050)-ROW($G$2)+1)/($G$2:$G$2050&lt;&gt;""),ROWS(J$1:J33))),"")</f>
        <v>F 902-1 VIRGINIA AVE</v>
      </c>
      <c r="K33">
        <f>IF(J33="","",INDEX('Assignment Tool'!E49:E2082,MATCH(FA_DATA!J33,'Assignment Tool'!D49:D2082,0)))</f>
        <v>4</v>
      </c>
    </row>
    <row r="34" spans="1:11" x14ac:dyDescent="0.25">
      <c r="A34" s="118" t="str">
        <f t="shared" si="0"/>
        <v>R 820-1 CAROLINA AVE</v>
      </c>
      <c r="G34" t="str">
        <f>IF('Assignment Tool'!C34="","",IF('Assignment Tool'!C34="FST",'Assignment Tool'!D34,""))</f>
        <v/>
      </c>
      <c r="H34">
        <v>34</v>
      </c>
      <c r="I34">
        <f t="shared" si="1"/>
        <v>185</v>
      </c>
      <c r="J34" t="str">
        <f t="array" ref="J34">IFERROR(INDEX($G$2:$G$2050,_xlfn.AGGREGATE(15,6,(ROW($G$2:$G$2050)-ROW($G$2)+1)/($G$2:$G$2050&lt;&gt;""),ROWS(J$1:J34))),"")</f>
        <v>F 912-2 VIRGINIA AVE</v>
      </c>
      <c r="K34">
        <f>IF(J34="","",INDEX('Assignment Tool'!E50:E2083,MATCH(FA_DATA!J34,'Assignment Tool'!D50:D2083,0)))</f>
        <v>8</v>
      </c>
    </row>
    <row r="35" spans="1:11" x14ac:dyDescent="0.25">
      <c r="A35" s="118" t="str">
        <f t="shared" si="0"/>
        <v>R 820-1 CAROLINA AVE</v>
      </c>
      <c r="G35" t="str">
        <f>IF('Assignment Tool'!C35="","",IF('Assignment Tool'!C35="FST",'Assignment Tool'!D35,""))</f>
        <v/>
      </c>
      <c r="H35">
        <v>35</v>
      </c>
      <c r="I35">
        <f t="shared" si="1"/>
        <v>193</v>
      </c>
      <c r="J35" t="str">
        <f t="array" ref="J35">IFERROR(INDEX($G$2:$G$2050,_xlfn.AGGREGATE(15,6,(ROW($G$2:$G$2050)-ROW($G$2)+1)/($G$2:$G$2050&lt;&gt;""),ROWS(J$1:J35))),"")</f>
        <v>F 606-1 CAROLINA AVE</v>
      </c>
      <c r="K35">
        <f>IF(J35="","",INDEX('Assignment Tool'!E51:E2084,MATCH(FA_DATA!J35,'Assignment Tool'!D51:D2084,0)))</f>
        <v>4</v>
      </c>
    </row>
    <row r="36" spans="1:11" x14ac:dyDescent="0.25">
      <c r="A36" s="118" t="str">
        <f t="shared" si="0"/>
        <v>R 820-1 CAROLINA AVE</v>
      </c>
      <c r="G36" t="str">
        <f>IF('Assignment Tool'!C36="","",IF('Assignment Tool'!C36="FST",'Assignment Tool'!D36,""))</f>
        <v/>
      </c>
      <c r="H36">
        <v>36</v>
      </c>
      <c r="I36">
        <f t="shared" si="1"/>
        <v>197</v>
      </c>
      <c r="J36" t="str">
        <f t="array" ref="J36">IFERROR(INDEX($G$2:$G$2050,_xlfn.AGGREGATE(15,6,(ROW($G$2:$G$2050)-ROW($G$2)+1)/($G$2:$G$2050&lt;&gt;""),ROWS(J$1:J36))),"")</f>
        <v>F 621-1 CAROLINA AVE</v>
      </c>
      <c r="K36">
        <f>IF(J36="","",INDEX('Assignment Tool'!E52:E2085,MATCH(FA_DATA!J36,'Assignment Tool'!D52:D2085,0)))</f>
        <v>4</v>
      </c>
    </row>
    <row r="37" spans="1:11" x14ac:dyDescent="0.25">
      <c r="A37" s="118" t="str">
        <f t="shared" si="0"/>
        <v>S 902-2 CAROLINA AVE</v>
      </c>
      <c r="G37" t="str">
        <f>IF('Assignment Tool'!C37="","",IF('Assignment Tool'!C37="FST",'Assignment Tool'!D37,""))</f>
        <v/>
      </c>
      <c r="H37">
        <v>37</v>
      </c>
      <c r="I37">
        <f t="shared" si="1"/>
        <v>201</v>
      </c>
      <c r="J37" t="str">
        <f t="array" ref="J37">IFERROR(INDEX($G$2:$G$2050,_xlfn.AGGREGATE(15,6,(ROW($G$2:$G$2050)-ROW($G$2)+1)/($G$2:$G$2050&lt;&gt;""),ROWS(J$1:J37))),"")</f>
        <v>F 623-1 CAROLINA AVE</v>
      </c>
      <c r="K37">
        <f>IF(J37="","",INDEX('Assignment Tool'!E53:E2086,MATCH(FA_DATA!J37,'Assignment Tool'!D53:D2086,0)))</f>
        <v>4</v>
      </c>
    </row>
    <row r="38" spans="1:11" x14ac:dyDescent="0.25">
      <c r="A38" s="118" t="str">
        <f t="shared" si="0"/>
        <v>S 902-2 CAROLINA AVE</v>
      </c>
      <c r="G38" t="str">
        <f>IF('Assignment Tool'!C38="","",IF('Assignment Tool'!C38="FST",'Assignment Tool'!D38,""))</f>
        <v/>
      </c>
      <c r="H38">
        <v>38</v>
      </c>
      <c r="I38">
        <f t="shared" si="1"/>
        <v>205</v>
      </c>
      <c r="J38" t="str">
        <f t="array" ref="J38">IFERROR(INDEX($G$2:$G$2050,_xlfn.AGGREGATE(15,6,(ROW($G$2:$G$2050)-ROW($G$2)+1)/($G$2:$G$2050&lt;&gt;""),ROWS(J$1:J38))),"")</f>
        <v/>
      </c>
      <c r="K38" t="str">
        <f>IF(J38="","",INDEX('Assignment Tool'!E54:E2087,MATCH(FA_DATA!J38,'Assignment Tool'!D54:D2087,0)))</f>
        <v/>
      </c>
    </row>
    <row r="39" spans="1:11" x14ac:dyDescent="0.25">
      <c r="A39" s="118" t="str">
        <f t="shared" si="0"/>
        <v>S 902-2 CAROLINA AVE</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S 902-2 CAROLINA AVE</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S 902-2 CAROLINA AVE</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S 902-2 CAROLINA AVE</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S 902-2 CAROLINA AVE</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S 902-2 CAROLINA AVE</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S 902-2 CAROLINA AVE</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S 902-2 CAROLINA AVE</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S 902-2 CAROLINA AVE</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S 902-2 CAROLINA AVE</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R 421-1 ORLEANS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R 421-1 ORLEANS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R 421-1 ORLEANS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R 421-1 ORLEANS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R 421-1 ORLEANS ST</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R 421-1 ORLEANS ST</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R 421-1 ORLEANS ST</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R 421-1 ORLEANS ST</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R 421-1 ORLEANS ST</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R 421-1 ORLEANS ST</v>
      </c>
      <c r="G58" t="str">
        <f>IF('Assignment Tool'!C58="","",IF('Assignment Tool'!C58="FST",'Assignment Tool'!D58,""))</f>
        <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R 421-1 ORLEANS ST</v>
      </c>
      <c r="G59" t="str">
        <f>IF('Assignment Tool'!C59="","",IF('Assignment Tool'!C59="FST",'Assignment Tool'!D59,""))</f>
        <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R 421-1 ORLEANS ST</v>
      </c>
      <c r="G60" t="str">
        <f>IF('Assignment Tool'!C60="","",IF('Assignment Tool'!C60="FST",'Assignment Tool'!D60,""))</f>
        <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R 721-1 CAROLINA AVE</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R 721-1 CAROLINA AVE</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R 721-1 CAROLINA AVE</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R 721-1 CAROLINA AVE</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R 725-1 CAROLINA AVE</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R 725-1 CAROLINA AVE</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R 725-1 CAROLINA AVE</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R 725-1 CAROLINA AVE</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R 725-1 CAROLINA AVE</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R 725-1 CAROLINA AVE</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R 725-1 CAROLINA AVE</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R 725-1 CAROLINA AVE</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420-1 ST AUGUSTINE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420-1 ST AUGUSTINE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420-1 ST AUGUSTINE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420-1 ST AUGUSTINE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911-1 MISSISSIPPI AVE</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911-1 MISSISSIPPI AVE</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911-1 MISSISSIPPI AVE</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911-1 MISSISSIPPI AVE</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805-1 MISSISSIPPI AVE</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805-1 MISSISSIPPI AVE</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805-1 MISSISSIPPI AVE</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805-1 MISSISSIPPI AVE</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520-1 ST AUGUSTINE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520-1 ST AUGUSTINE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520-1 ST AUGUSTINE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520-1 ST AUGUSTINE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R 911-1 ST AUGUSTINE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R 911-1 ST AUGUSTINE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R 911-1 ST AUGUSTINE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R 911-1 ST AUGUSTINE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R 929-1 ST AUGUSTINE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R 929-1 ST AUGUSTINE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R 929-1 ST AUGUSTINE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R 929-1 ST AUGUSTINE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R 813-1 CAROLINA AVE</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R 813-1 CAROLINA AVE</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R 813-1 CAROLINA AVE</v>
      </c>
      <c r="G99" t="str">
        <f>IF('Assignment Tool'!C99="","",IF('Assignment Tool'!C99="FST",'Assignment Tool'!D99,""))</f>
        <v>OPP 420-1 RICHMOND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R 813-1 CAROLINA AVE</v>
      </c>
      <c r="G100" t="str">
        <f>IF('Assignment Tool'!C100="","",IF('Assignment Tool'!C100="FST",'Assignment Tool'!D100,""))</f>
        <v>F 420-1 RICHMOND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R 809-1 CAROLINA AVE</v>
      </c>
      <c r="G101" t="str">
        <f>IF('Assignment Tool'!C101="","",IF('Assignment Tool'!C101="FST",'Assignment Tool'!D101,""))</f>
        <v>F 430-1 RICHMOND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R 809-1 CAROLINA AVE</v>
      </c>
      <c r="G102" t="str">
        <f>IF('Assignment Tool'!C102="","",IF('Assignment Tool'!C102="FST",'Assignment Tool'!D102,""))</f>
        <v>R 712-1 CAROLINA AVE</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R 809-1 CAROLINA AVE</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R 809-1 CAROLINA AVE</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R 809-1 CAROLINA AVE</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R 809-1 CAROLINA AVE</v>
      </c>
      <c r="G106" t="str">
        <f>IF('Assignment Tool'!C106="","",IF('Assignment Tool'!C106="FST",'Assignment Tool'!D106,""))</f>
        <v>R 722-1 CAROLINA AVE</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R 809-1 CAROLINA AVE</v>
      </c>
      <c r="G107" t="str">
        <f>IF('Assignment Tool'!C107="","",IF('Assignment Tool'!C107="FST",'Assignment Tool'!D107,""))</f>
        <v>R 802-1 CAROLINA AVE</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R 809-1 CAROLINA AVE</v>
      </c>
      <c r="G108" t="str">
        <f>IF('Assignment Tool'!C108="","",IF('Assignment Tool'!C108="FST",'Assignment Tool'!D108,""))</f>
        <v>R 820-1 CAROLINA AVE</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830-1 LOUISIANA AVE</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830-1 LOUISIANA AVE</v>
      </c>
      <c r="G110" t="str">
        <f>IF('Assignment Tool'!C110="","",IF('Assignment Tool'!C110="FST",'Assignment Tool'!D110,""))</f>
        <v>S 902-2 CAROLINA AVE</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830-1 LOUISIANA AVE</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830-1 LOUISIANA AVE</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830-1 LOUISIANA AVE</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830-1 LOUISIANA AVE</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830-1 LOUISIANA AVE</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830-1 LOUISIANA AVE</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830-1 LOUISIANA AVE</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830-1 LOUISIANA AVE</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830-1 LOUISIANA AVE</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830-1 LOUISIANA AVE</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812-1 LOUISIANA AVE</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812-1 LOUISIANA AVE</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812-1 LOUISIANA AVE</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812-1 LOUISIANA AVE</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812-1 LOUISIANA AVE</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812-1 LOUISIANA AVE</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812-1 LOUISIANA AVE</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812-1 LOUISIANA AVE</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812-1 LOUISIANA AVE</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812-1 LOUISIANA AVE</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812-1 LOUISIANA AVE</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812-1 LOUISIANA AVE</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712-1 LOUISIANA AVE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712-1 LOUISIANA AVE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712-1 LOUISIANA AVE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712-1 LOUISIANA AVE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712-1 LOUISIANA AVE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712-1 LOUISIANA AVE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712-1 LOUISIANA AVE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712-1 LOUISIANA AVE</v>
      </c>
      <c r="G140" t="str">
        <f>IF('Assignment Tool'!C140="","",IF('Assignment Tool'!C140="FST",'Assignment Tool'!D140,""))</f>
        <v>R 421-1 ORLEANS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701-1 LOUISIANA AVE</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701-1 LOUISIANA AVE</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701-1 LOUISIANA AVE</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701-1 LOUISIANA AVE</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OPP 421-1 ATLANTA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OPP 421-1 ATLANTA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OPP 421-1 ATLANTA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OPP 421-1 ATLANTA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413-1 MISSISSIPPI AVE</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413-1 MISSISSIPPI AVE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413-1 MISSISSIPPI AVE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413-1 MISSISSIPPI AVE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413-1 MISSISSIPPI AVE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413-1 MISSISSIPPI AVE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413-1 MISSISSIPPI AVE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413-1 MISSISSIPPI AVE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S 403-1 MISSISSIPPI AVE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S 403-1 MISSISSIPPI AVE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S 403-1 MISSISSIPPI AVE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S 403-1 MISSISSIPPI AVE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S 403-1 MISSISSIPPI AVE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S 403-1 MISSISSIPPI AVE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S 403-1 MISSISSIPPI AVE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S 403-1 MISSISSIPPI AVE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321-2 MISSISSIPPI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321-2 MISSISSIPPI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315-2 MISSISSIPPI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315-2 MISSISSIPPI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428-1 LOUISIANA AVE</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428-1 LOUISIANA AVE</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428-1 LOUISIANA AVE</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428-1 LOUISIANA AVE</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410-1 LOUISIANA AVE</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410-1 LOUISIANA AVE</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410-1 LOUISIANA AVE</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410-1 LOUISIANA AVE</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328-1 LOUISIANA AVE</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328-1 LOUISIANA AVE</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328-1 LOUISIANA AVE</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328-1 LOUISIANA AVE</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902-1 VIRGINIA AVE</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902-1 VIRGINIA AVE</v>
      </c>
      <c r="G182" t="str">
        <f>IF('Assignment Tool'!C182="","",IF('Assignment Tool'!C182="FST",'Assignment Tool'!D182,""))</f>
        <v>R 721-1 CAROLINA AVE</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902-1 VIRGINIA AVE</v>
      </c>
      <c r="G183" t="str">
        <f>IF('Assignment Tool'!C183="","",IF('Assignment Tool'!C183="FST",'Assignment Tool'!D183,""))</f>
        <v>R 725-1 CAROLINA AVE</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902-1 VIRGINIA AVE</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912-2 VIRGINIA AVE</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912-2 VIRGINIA AVE</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912-2 VIRGINIA AVE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912-2 VIRGINIA AVE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912-2 VIRGINIA AVE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912-2 VIRGINIA AVE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912-2 VIRGINIA AVE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912-2 VIRGINIA AVE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606-1 CAROLINA AVE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606-1 CAROLINA AVE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606-1 CAROLINA AVE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606-1 CAROLINA AVE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621-1 CAROLINA AVE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621-1 CAROLINA AVE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621-1 CAROLINA AVE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621-1 CAROLINA AVE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623-1 CAROLINA AVE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623-1 CAROLINA AVE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623-1 CAROLINA AVE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623-1 CAROLINA AVE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F 420-1 ST AUGUSTINE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F 911-1 MISSISSIPPI AVE</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F 805-1 MISSISSIPPI AVE</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F 520-1 ST AUGUSTINE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R 911-1 ST AUGUSTINE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R 929-1 ST AUGUSTINE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R 813-1 CAROLINA AVE</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R 809-1 CAROLINA AVE</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F 830-1 LOUISIANA AVE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F 812-1 LOUISIANA AVE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R 712-1 LOUISIANA AVE</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R 701-1 LOUISIANA AVE</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OPP 421-1 ATLANTA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R 413-1 MISSISSIPPI AVE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S 403-1 MISSISSIPPI AVE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F 321-2 MISSISSIPPI AVE</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F 315-2 MISSISSIPPI AVE</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428-1 LOUISIANA AVE</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410-1 LOUISIANA AVE</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328-1 LOUISIANA AVE</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902-1 VIRGINIA AVE</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912-2 VIRGINIA AVE</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606-1 CAROLINA AVE</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621-1 CAROLINA AVE</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623-1 CAROLINA AVE</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ColWidth="9.140625"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L18" sqref="L18"/>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v>1</v>
      </c>
      <c r="C10" s="4">
        <v>166</v>
      </c>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v>1</v>
      </c>
      <c r="C11" s="4">
        <v>329</v>
      </c>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v>1</v>
      </c>
      <c r="C16" s="4">
        <v>64</v>
      </c>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559</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547</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3</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24</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6</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5</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115" zoomScaleNormal="115" workbookViewId="0">
      <pane ySplit="8" topLeftCell="A12" activePane="bottomLeft" state="frozen"/>
      <selection pane="bottomLeft" activeCell="M16" sqref="M16:N27"/>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327</v>
      </c>
      <c r="F2" s="273" t="s">
        <v>173</v>
      </c>
      <c r="G2" s="273"/>
      <c r="H2" s="273"/>
      <c r="I2" s="14">
        <f>IF(I3="","",IF(AND(I5="Y",I6="N"),I3,IF(I3&lt;1000,I3+10,I3+20)))</f>
        <v>1270</v>
      </c>
      <c r="K2" s="273" t="s">
        <v>173</v>
      </c>
      <c r="L2" s="273"/>
      <c r="M2" s="273"/>
      <c r="N2" s="14">
        <f>IF(N3="","",IF(AND(N5="Y",N6="N"),N3,IF(N3&lt;1000,N3+10,N3+20)))</f>
        <v>1707</v>
      </c>
      <c r="P2" s="273" t="s">
        <v>173</v>
      </c>
      <c r="Q2" s="273"/>
      <c r="R2" s="273"/>
      <c r="S2" s="14">
        <f>IF(S3="","",IF(AND(S5="Y",S6="N"),S3,IF(S3&lt;1000,S3+10,S3+20)))</f>
        <v>265</v>
      </c>
      <c r="U2" s="273" t="s">
        <v>173</v>
      </c>
      <c r="V2" s="273"/>
      <c r="W2" s="273"/>
      <c r="X2" s="14">
        <f>IF(X3="","",IF(AND(X5="Y",X6="N"),X3,IF(X3&lt;1000,X3+10,X3+20)))</f>
        <v>541</v>
      </c>
      <c r="Z2" s="273" t="s">
        <v>173</v>
      </c>
      <c r="AA2" s="273"/>
      <c r="AB2" s="273"/>
      <c r="AC2" s="14">
        <f>IF(AC3="","",IF(AND(AC5="Y",AC6="N"),AC3,IF(AC3&lt;1000,AC3+10,AC3+20)))</f>
        <v>697</v>
      </c>
      <c r="AE2" s="273" t="s">
        <v>173</v>
      </c>
      <c r="AF2" s="273"/>
      <c r="AG2" s="273"/>
      <c r="AH2" s="14">
        <f>IF(AH3="","",IF(AND(AH5="Y",AH6="N"),AH3,IF(AH3&lt;1000,AH3+10,AH3+20)))</f>
        <v>366</v>
      </c>
      <c r="AJ2" s="273" t="s">
        <v>173</v>
      </c>
      <c r="AK2" s="273"/>
      <c r="AL2" s="273"/>
      <c r="AM2" s="14">
        <f>IF(AM3="","",IF(AND(AM5="Y",AM6="N"),AM3,IF(AM3&lt;1000,AM3+10,AM3+20)))</f>
        <v>835</v>
      </c>
      <c r="AO2" s="273" t="s">
        <v>173</v>
      </c>
      <c r="AP2" s="273"/>
      <c r="AQ2" s="273"/>
      <c r="AR2" s="14">
        <f>IF(AR3="","",IF(AND(AR5="Y",AR6="N"),AR3,IF(AR3&lt;1000,AR3+10,AR3+20)))</f>
        <v>221</v>
      </c>
      <c r="AT2" s="273" t="s">
        <v>173</v>
      </c>
      <c r="AU2" s="273"/>
      <c r="AV2" s="273"/>
      <c r="AW2" s="14">
        <f>IF(AW3="","",IF(AND(AW5="Y",AW6="N"),AW3,IF(AW3&lt;1000,AW3+10,AW3+20)))</f>
        <v>1050</v>
      </c>
      <c r="AY2" s="273" t="s">
        <v>173</v>
      </c>
      <c r="AZ2" s="273"/>
      <c r="BA2" s="273"/>
      <c r="BB2" s="14">
        <f>IF(BB3="","",IF(AND(BB5="Y",BB6="N"),BB3,IF(BB3&lt;1000,BB3+10,BB3+20)))</f>
        <v>670</v>
      </c>
      <c r="BD2" s="273" t="s">
        <v>173</v>
      </c>
      <c r="BE2" s="273"/>
      <c r="BF2" s="273"/>
      <c r="BG2" s="14">
        <f>IF(BG3="","",IF(AND(BG5="Y",BG6="N"),BG3,IF(BG3&lt;1000,BG3+10,BG3+20)))</f>
        <v>805</v>
      </c>
      <c r="BI2" s="273" t="s">
        <v>173</v>
      </c>
      <c r="BJ2" s="273"/>
      <c r="BK2" s="273"/>
      <c r="BL2" s="14">
        <f>IF(BL3="","",IF(AND(BL5="Y",BL6="N"),BL3,IF(BL3&lt;1000,BL3+10,BL3+20)))</f>
        <v>204</v>
      </c>
      <c r="BN2" s="273" t="s">
        <v>173</v>
      </c>
      <c r="BO2" s="273"/>
      <c r="BP2" s="273"/>
      <c r="BQ2" s="14">
        <f>IF(BQ3="","",IF(AND(BQ5="Y",BQ6="N"),BQ3,IF(BQ3&lt;1000,BQ3+10,BQ3+20)))</f>
        <v>130</v>
      </c>
      <c r="BS2" s="273" t="s">
        <v>173</v>
      </c>
      <c r="BT2" s="273"/>
      <c r="BU2" s="273"/>
      <c r="BV2" s="14">
        <f>IF(BV3="","",IF(AND(BV5="Y",BV6="N"),BV3,IF(BV3&lt;1000,BV3+10,BV3+20)))</f>
        <v>245</v>
      </c>
      <c r="BX2" s="273" t="s">
        <v>173</v>
      </c>
      <c r="BY2" s="273"/>
      <c r="BZ2" s="273"/>
      <c r="CA2" s="14">
        <f>IF(CA3="","",IF(AND(CA5="Y",CA6="N"),CA3,IF(CA3&lt;1000,CA3+10,CA3+20)))</f>
        <v>415</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317</v>
      </c>
      <c r="E3" s="16">
        <f>IF(E9="","",SUM(E9:E208,B9:B208,D9:D208))</f>
        <v>317</v>
      </c>
      <c r="F3" s="273" t="s">
        <v>174</v>
      </c>
      <c r="G3" s="273"/>
      <c r="H3" s="273"/>
      <c r="I3" s="15">
        <f>IF(J3="","",SUM(J3,J5,J6))</f>
        <v>1250</v>
      </c>
      <c r="J3" s="16">
        <f>IF(J9="","",SUM(J9:J208,G9:G208,I9:I208))</f>
        <v>1250</v>
      </c>
      <c r="K3" s="273" t="s">
        <v>174</v>
      </c>
      <c r="L3" s="273"/>
      <c r="M3" s="273"/>
      <c r="N3" s="15">
        <f>IF(O3="","",SUM(O3,O5,O6))</f>
        <v>1687</v>
      </c>
      <c r="O3" s="16">
        <f>IF(O9="","",SUM(O9:O208,L9:L208,N9:N208))</f>
        <v>1662</v>
      </c>
      <c r="P3" s="273" t="s">
        <v>174</v>
      </c>
      <c r="Q3" s="273"/>
      <c r="R3" s="273"/>
      <c r="S3" s="15">
        <f>IF(T3="","",SUM(T3,T5,T6))</f>
        <v>265</v>
      </c>
      <c r="T3" s="16">
        <f>IF(T9="","",SUM(T9:T208,Q9:Q208,S9:S208))</f>
        <v>235</v>
      </c>
      <c r="U3" s="273" t="s">
        <v>174</v>
      </c>
      <c r="V3" s="273"/>
      <c r="W3" s="273"/>
      <c r="X3" s="15">
        <f>IF(Y3="","",SUM(Y3,Y5,Y6))</f>
        <v>541</v>
      </c>
      <c r="Y3" s="16">
        <f>IF(Y9="","",SUM(Y9:Y208,V9:V208,X9:X208))</f>
        <v>511</v>
      </c>
      <c r="Z3" s="273" t="s">
        <v>174</v>
      </c>
      <c r="AA3" s="273"/>
      <c r="AB3" s="273"/>
      <c r="AC3" s="15">
        <f>IF(AD3="","",SUM(AD3,AD5,AD6))</f>
        <v>697</v>
      </c>
      <c r="AD3" s="16">
        <f>IF(AD9="","",SUM(AD9:AD208,AA9:AA208,AC9:AC208))</f>
        <v>647</v>
      </c>
      <c r="AE3" s="273" t="s">
        <v>174</v>
      </c>
      <c r="AF3" s="273"/>
      <c r="AG3" s="273"/>
      <c r="AH3" s="15">
        <f>IF(AI3="","",SUM(AI3,AI5,AI6))</f>
        <v>366</v>
      </c>
      <c r="AI3" s="16">
        <f>IF(AI9="","",SUM(AI9:AI208,AF9:AF208,AH9:AH208))</f>
        <v>336</v>
      </c>
      <c r="AJ3" s="273" t="s">
        <v>174</v>
      </c>
      <c r="AK3" s="273"/>
      <c r="AL3" s="273"/>
      <c r="AM3" s="15">
        <f>IF(AN3="","",SUM(AN3,AN5,AN6))</f>
        <v>835</v>
      </c>
      <c r="AN3" s="16">
        <f>IF(AN9="","",SUM(AN9:AN208,AK9:AK208,AM9:AM208))</f>
        <v>785</v>
      </c>
      <c r="AO3" s="273" t="s">
        <v>174</v>
      </c>
      <c r="AP3" s="273"/>
      <c r="AQ3" s="273"/>
      <c r="AR3" s="15">
        <f>IF(AS3="","",SUM(AS3,AS5,AS6))</f>
        <v>221</v>
      </c>
      <c r="AS3" s="16">
        <f>IF(AS9="","",SUM(AS9:AS208,AP9:AP208,AR9:AR208))</f>
        <v>191</v>
      </c>
      <c r="AT3" s="273" t="s">
        <v>174</v>
      </c>
      <c r="AU3" s="273"/>
      <c r="AV3" s="273"/>
      <c r="AW3" s="15">
        <f>IF(AX3="","",SUM(AX3,AX5,AX6))</f>
        <v>1030</v>
      </c>
      <c r="AX3" s="16">
        <f>IF(AX9="","",SUM(AX9:AX208,AU9:AU208,AW9:AW208))</f>
        <v>1005</v>
      </c>
      <c r="AY3" s="273" t="s">
        <v>174</v>
      </c>
      <c r="AZ3" s="273"/>
      <c r="BA3" s="273"/>
      <c r="BB3" s="15">
        <f>IF(BC3="","",SUM(BC3,BC5,BC6))</f>
        <v>660</v>
      </c>
      <c r="BC3" s="16">
        <f>IF(BC9="","",SUM(BC9:BC208,AZ9:AZ208,BB9:BB208))</f>
        <v>660</v>
      </c>
      <c r="BD3" s="273" t="s">
        <v>174</v>
      </c>
      <c r="BE3" s="273"/>
      <c r="BF3" s="273"/>
      <c r="BG3" s="15">
        <f>IF(BH3="","",SUM(BH3,BH5,BH6))</f>
        <v>795</v>
      </c>
      <c r="BH3" s="16">
        <f>IF(BH9="","",SUM(BH9:BH208,BE9:BE208,BG9:BG208))</f>
        <v>770</v>
      </c>
      <c r="BI3" s="273" t="s">
        <v>174</v>
      </c>
      <c r="BJ3" s="273"/>
      <c r="BK3" s="273"/>
      <c r="BL3" s="15">
        <f>IF(BM3="","",SUM(BM3,BM5,BM6))</f>
        <v>194</v>
      </c>
      <c r="BM3" s="16">
        <f>IF(BM9="","",SUM(BM9:BM208,BJ9:BJ208,BL9:BL208))</f>
        <v>194</v>
      </c>
      <c r="BN3" s="273" t="s">
        <v>174</v>
      </c>
      <c r="BO3" s="273"/>
      <c r="BP3" s="273"/>
      <c r="BQ3" s="15">
        <f>IF(BR3="","",SUM(BR3,BR5,BR6))</f>
        <v>120</v>
      </c>
      <c r="BR3" s="16">
        <f>IF(BR9="","",SUM(BR9:BR208,BO9:BO208,BQ9:BQ208))</f>
        <v>120</v>
      </c>
      <c r="BS3" s="273" t="s">
        <v>174</v>
      </c>
      <c r="BT3" s="273"/>
      <c r="BU3" s="273"/>
      <c r="BV3" s="15">
        <f>IF(BW3="","",SUM(BW3,BW5,BW6))</f>
        <v>245</v>
      </c>
      <c r="BW3" s="16">
        <f>IF(BW9="","",SUM(BW9:BW208,BT9:BT208,BV9:BV208))</f>
        <v>195</v>
      </c>
      <c r="BX3" s="273" t="s">
        <v>174</v>
      </c>
      <c r="BY3" s="273"/>
      <c r="BZ3" s="273"/>
      <c r="CA3" s="15">
        <f>IF(CB3="","",SUM(CB3,CB5,CB6))</f>
        <v>405</v>
      </c>
      <c r="CB3" s="16">
        <f>IF(CB9="","",SUM(CB9:CB208,BY9:BY208,CA9:CA208))</f>
        <v>380</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178</v>
      </c>
      <c r="F4" s="274" t="s">
        <v>175</v>
      </c>
      <c r="G4" s="275"/>
      <c r="H4" s="276"/>
      <c r="I4" s="117" t="s">
        <v>178</v>
      </c>
      <c r="K4" s="274" t="s">
        <v>175</v>
      </c>
      <c r="L4" s="275"/>
      <c r="M4" s="276"/>
      <c r="N4" s="117" t="s">
        <v>179</v>
      </c>
      <c r="P4" s="274" t="s">
        <v>175</v>
      </c>
      <c r="Q4" s="275"/>
      <c r="R4" s="276"/>
      <c r="S4" s="117" t="s">
        <v>179</v>
      </c>
      <c r="U4" s="274" t="s">
        <v>175</v>
      </c>
      <c r="V4" s="275"/>
      <c r="W4" s="276"/>
      <c r="X4" s="117" t="s">
        <v>179</v>
      </c>
      <c r="Z4" s="274" t="s">
        <v>175</v>
      </c>
      <c r="AA4" s="275"/>
      <c r="AB4" s="276"/>
      <c r="AC4" s="117" t="s">
        <v>179</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178</v>
      </c>
      <c r="BN4" s="274" t="s">
        <v>175</v>
      </c>
      <c r="BO4" s="275"/>
      <c r="BP4" s="276"/>
      <c r="BQ4" s="117" t="s">
        <v>178</v>
      </c>
      <c r="BS4" s="274" t="s">
        <v>175</v>
      </c>
      <c r="BT4" s="275"/>
      <c r="BU4" s="276"/>
      <c r="BV4" s="117" t="s">
        <v>179</v>
      </c>
      <c r="BX4" s="274" t="s">
        <v>175</v>
      </c>
      <c r="BY4" s="275"/>
      <c r="BZ4" s="276"/>
      <c r="CA4" s="117" t="s">
        <v>179</v>
      </c>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15</v>
      </c>
      <c r="U5" s="274" t="s">
        <v>176</v>
      </c>
      <c r="V5" s="275"/>
      <c r="W5" s="276"/>
      <c r="X5" s="117" t="s">
        <v>179</v>
      </c>
      <c r="Y5" s="16">
        <f>IF(X4="N","0",IF(X5="Y",Y7/2,"0"))</f>
        <v>15</v>
      </c>
      <c r="Z5" s="274" t="s">
        <v>176</v>
      </c>
      <c r="AA5" s="275"/>
      <c r="AB5" s="276"/>
      <c r="AC5" s="117" t="s">
        <v>179</v>
      </c>
      <c r="AD5" s="16">
        <f>IF(AC4="N","0",IF(AC5="Y",AD7/2,"0"))</f>
        <v>25</v>
      </c>
      <c r="AE5" s="274" t="s">
        <v>176</v>
      </c>
      <c r="AF5" s="275"/>
      <c r="AG5" s="276"/>
      <c r="AH5" s="117" t="s">
        <v>179</v>
      </c>
      <c r="AI5" s="16">
        <f>IF(AH4="N","0",IF(AH5="Y",AI7/2,"0"))</f>
        <v>15</v>
      </c>
      <c r="AJ5" s="274" t="s">
        <v>176</v>
      </c>
      <c r="AK5" s="275"/>
      <c r="AL5" s="276"/>
      <c r="AM5" s="117" t="s">
        <v>179</v>
      </c>
      <c r="AN5" s="16">
        <f>IF(AM4="N","0",IF(AM5="Y",AN7/2,"0"))</f>
        <v>25</v>
      </c>
      <c r="AO5" s="274" t="s">
        <v>176</v>
      </c>
      <c r="AP5" s="275"/>
      <c r="AQ5" s="276"/>
      <c r="AR5" s="117" t="s">
        <v>179</v>
      </c>
      <c r="AS5" s="16">
        <f>IF(AR4="N","0",IF(AR5="Y",AS7/2,"0"))</f>
        <v>15</v>
      </c>
      <c r="AT5" s="274" t="s">
        <v>176</v>
      </c>
      <c r="AU5" s="275"/>
      <c r="AV5" s="276"/>
      <c r="AW5" s="117" t="s">
        <v>178</v>
      </c>
      <c r="AX5" s="16" t="str">
        <f>IF(AW4="N","0",IF(AW5="Y",AX7/2,"0"))</f>
        <v>0</v>
      </c>
      <c r="AY5" s="274" t="s">
        <v>176</v>
      </c>
      <c r="AZ5" s="275"/>
      <c r="BA5" s="276"/>
      <c r="BB5" s="117" t="s">
        <v>178</v>
      </c>
      <c r="BC5" s="16" t="str">
        <f>IF(BB4="N","0",IF(BB5="Y",BC7/2,"0"))</f>
        <v>0</v>
      </c>
      <c r="BD5" s="274" t="s">
        <v>176</v>
      </c>
      <c r="BE5" s="275"/>
      <c r="BF5" s="276"/>
      <c r="BG5" s="117" t="s">
        <v>179</v>
      </c>
      <c r="BH5" s="16">
        <f>IF(BG4="N","0",IF(BG5="Y",BH7/2,"0"))</f>
        <v>25</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117" t="s">
        <v>179</v>
      </c>
      <c r="BW5" s="16">
        <f>IF(BV4="N","0",IF(BV5="Y",BW7/2,"0"))</f>
        <v>25</v>
      </c>
      <c r="BX5" s="274" t="s">
        <v>176</v>
      </c>
      <c r="BY5" s="275"/>
      <c r="BZ5" s="276"/>
      <c r="CA5" s="117" t="s">
        <v>178</v>
      </c>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179</v>
      </c>
      <c r="J6" s="16" t="str">
        <f>IF(I4="N","0",IF(I6="N",J7/2,"0"))</f>
        <v>0</v>
      </c>
      <c r="K6" s="274" t="s">
        <v>177</v>
      </c>
      <c r="L6" s="275"/>
      <c r="M6" s="276"/>
      <c r="N6" s="117" t="s">
        <v>178</v>
      </c>
      <c r="O6" s="16">
        <f>IF(N4="N","0",IF(N6="N",O7/2,"0"))</f>
        <v>25</v>
      </c>
      <c r="P6" s="274" t="s">
        <v>177</v>
      </c>
      <c r="Q6" s="275"/>
      <c r="R6" s="276"/>
      <c r="S6" s="117" t="s">
        <v>178</v>
      </c>
      <c r="T6" s="16">
        <f>IF(S4="N","0",IF(S6="N",T7/2,"0"))</f>
        <v>15</v>
      </c>
      <c r="U6" s="274" t="s">
        <v>177</v>
      </c>
      <c r="V6" s="275"/>
      <c r="W6" s="276"/>
      <c r="X6" s="117" t="s">
        <v>178</v>
      </c>
      <c r="Y6" s="16">
        <f>IF(X4="N","0",IF(X6="N",Y7/2,"0"))</f>
        <v>15</v>
      </c>
      <c r="Z6" s="274" t="s">
        <v>177</v>
      </c>
      <c r="AA6" s="275"/>
      <c r="AB6" s="276"/>
      <c r="AC6" s="117" t="s">
        <v>178</v>
      </c>
      <c r="AD6" s="16">
        <f>IF(AC4="N","0",IF(AC6="N",AD7/2,"0"))</f>
        <v>25</v>
      </c>
      <c r="AE6" s="274" t="s">
        <v>177</v>
      </c>
      <c r="AF6" s="275"/>
      <c r="AG6" s="276"/>
      <c r="AH6" s="117" t="s">
        <v>178</v>
      </c>
      <c r="AI6" s="16">
        <f>IF(AH4="N","0",IF(AH6="N",AI7/2,"0"))</f>
        <v>15</v>
      </c>
      <c r="AJ6" s="274" t="s">
        <v>177</v>
      </c>
      <c r="AK6" s="275"/>
      <c r="AL6" s="276"/>
      <c r="AM6" s="117" t="s">
        <v>178</v>
      </c>
      <c r="AN6" s="16">
        <f>IF(AM4="N","0",IF(AM6="N",AN7/2,"0"))</f>
        <v>25</v>
      </c>
      <c r="AO6" s="274" t="s">
        <v>177</v>
      </c>
      <c r="AP6" s="275"/>
      <c r="AQ6" s="276"/>
      <c r="AR6" s="117" t="s">
        <v>178</v>
      </c>
      <c r="AS6" s="16">
        <f>IF(AR4="N","0",IF(AR6="N",AS7/2,"0"))</f>
        <v>15</v>
      </c>
      <c r="AT6" s="274" t="s">
        <v>177</v>
      </c>
      <c r="AU6" s="275"/>
      <c r="AV6" s="276"/>
      <c r="AW6" s="117" t="s">
        <v>178</v>
      </c>
      <c r="AX6" s="16">
        <f>IF(AW4="N","0",IF(AW6="N",AX7/2,"0"))</f>
        <v>25</v>
      </c>
      <c r="AY6" s="274" t="s">
        <v>177</v>
      </c>
      <c r="AZ6" s="275"/>
      <c r="BA6" s="276"/>
      <c r="BB6" s="117" t="s">
        <v>179</v>
      </c>
      <c r="BC6" s="16" t="str">
        <f>IF(BB4="N","0",IF(BB6="N",BC7/2,"0"))</f>
        <v>0</v>
      </c>
      <c r="BD6" s="274" t="s">
        <v>177</v>
      </c>
      <c r="BE6" s="275"/>
      <c r="BF6" s="276"/>
      <c r="BG6" s="117" t="s">
        <v>179</v>
      </c>
      <c r="BH6" s="16" t="str">
        <f>IF(BG4="N","0",IF(BG6="N",BH7/2,"0"))</f>
        <v>0</v>
      </c>
      <c r="BI6" s="274" t="s">
        <v>177</v>
      </c>
      <c r="BJ6" s="275"/>
      <c r="BK6" s="276"/>
      <c r="BL6" s="117" t="s">
        <v>179</v>
      </c>
      <c r="BM6" s="16" t="str">
        <f>IF(BL4="N","0",IF(BL6="N",BM7/2,"0"))</f>
        <v>0</v>
      </c>
      <c r="BN6" s="274" t="s">
        <v>177</v>
      </c>
      <c r="BO6" s="275"/>
      <c r="BP6" s="276"/>
      <c r="BQ6" s="117" t="s">
        <v>179</v>
      </c>
      <c r="BR6" s="16" t="str">
        <f>IF(BQ4="N","0",IF(BQ6="N",BR7/2,"0"))</f>
        <v>0</v>
      </c>
      <c r="BS6" s="274" t="s">
        <v>177</v>
      </c>
      <c r="BT6" s="275"/>
      <c r="BU6" s="276"/>
      <c r="BV6" s="117" t="s">
        <v>178</v>
      </c>
      <c r="BW6" s="16">
        <f>IF(BV4="N","0",IF(BV6="N",BW7/2,"0"))</f>
        <v>25</v>
      </c>
      <c r="BX6" s="274" t="s">
        <v>177</v>
      </c>
      <c r="BY6" s="275"/>
      <c r="BZ6" s="276"/>
      <c r="CA6" s="117" t="s">
        <v>178</v>
      </c>
      <c r="CB6" s="16">
        <f>IF(CA4="N","0",IF(CA6="N",CB7/2,"0"))</f>
        <v>25</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c r="J7" s="16">
        <f>IF(OR(I7="RPX",I7="SS"),30,IF(OR(I7="RPX-T",I7="EUC"),50,0))</f>
        <v>0</v>
      </c>
      <c r="K7" s="274" t="s">
        <v>180</v>
      </c>
      <c r="L7" s="275"/>
      <c r="M7" s="276"/>
      <c r="N7" s="117" t="s">
        <v>492</v>
      </c>
      <c r="O7" s="16">
        <f>IF(OR(N7="RPX",N7="SS"),30,IF(OR(N7="RPX-T",N7="EUC"),50,0))</f>
        <v>50</v>
      </c>
      <c r="P7" s="274" t="s">
        <v>180</v>
      </c>
      <c r="Q7" s="275"/>
      <c r="R7" s="276"/>
      <c r="S7" s="117" t="s">
        <v>487</v>
      </c>
      <c r="T7" s="16">
        <f>IF(OR(S7="RPX",S7="SS"),30,IF(OR(S7="RPX-T",S7="EUC"),50,0))</f>
        <v>30</v>
      </c>
      <c r="U7" s="274" t="s">
        <v>180</v>
      </c>
      <c r="V7" s="275"/>
      <c r="W7" s="276"/>
      <c r="X7" s="117" t="s">
        <v>487</v>
      </c>
      <c r="Y7" s="16">
        <f>IF(OR(X7="RPX",X7="SS"),30,IF(OR(X7="RPX-T",X7="EUC"),50,0))</f>
        <v>30</v>
      </c>
      <c r="Z7" s="274" t="s">
        <v>180</v>
      </c>
      <c r="AA7" s="275"/>
      <c r="AB7" s="276"/>
      <c r="AC7" s="117" t="s">
        <v>492</v>
      </c>
      <c r="AD7" s="16">
        <f>IF(OR(AC7="RPX",AC7="SS"),30,IF(OR(AC7="RPX-T",AC7="EUC"),50,0))</f>
        <v>50</v>
      </c>
      <c r="AE7" s="274" t="s">
        <v>180</v>
      </c>
      <c r="AF7" s="275"/>
      <c r="AG7" s="276"/>
      <c r="AH7" s="117" t="s">
        <v>487</v>
      </c>
      <c r="AI7" s="16">
        <f>IF(OR(AH7="RPX",AH7="SS"),30,IF(OR(AH7="RPX-T",AH7="EUC"),50,0))</f>
        <v>30</v>
      </c>
      <c r="AJ7" s="274" t="s">
        <v>180</v>
      </c>
      <c r="AK7" s="275"/>
      <c r="AL7" s="276"/>
      <c r="AM7" s="117" t="s">
        <v>492</v>
      </c>
      <c r="AN7" s="16">
        <f>IF(OR(AM7="RPX",AM7="SS"),30,IF(OR(AM7="RPX-T",AM7="EUC"),50,0))</f>
        <v>50</v>
      </c>
      <c r="AO7" s="274" t="s">
        <v>180</v>
      </c>
      <c r="AP7" s="275"/>
      <c r="AQ7" s="276"/>
      <c r="AR7" s="117" t="s">
        <v>487</v>
      </c>
      <c r="AS7" s="16">
        <f>IF(OR(AR7="RPX",AR7="SS"),30,IF(OR(AR7="RPX-T",AR7="EUC"),50,0))</f>
        <v>30</v>
      </c>
      <c r="AT7" s="274" t="s">
        <v>180</v>
      </c>
      <c r="AU7" s="275"/>
      <c r="AV7" s="276"/>
      <c r="AW7" s="117" t="s">
        <v>492</v>
      </c>
      <c r="AX7" s="16">
        <f>IF(OR(AW7="RPX",AW7="SS"),30,IF(OR(AW7="RPX-T",AW7="EUC"),50,0))</f>
        <v>50</v>
      </c>
      <c r="AY7" s="274" t="s">
        <v>180</v>
      </c>
      <c r="AZ7" s="275"/>
      <c r="BA7" s="276"/>
      <c r="BB7" s="117" t="s">
        <v>492</v>
      </c>
      <c r="BC7" s="16">
        <f>IF(OR(BB7="RPX",BB7="SS"),30,IF(OR(BB7="RPX-T",BB7="EUC"),50,0))</f>
        <v>50</v>
      </c>
      <c r="BD7" s="274" t="s">
        <v>180</v>
      </c>
      <c r="BE7" s="275"/>
      <c r="BF7" s="276"/>
      <c r="BG7" s="117" t="s">
        <v>492</v>
      </c>
      <c r="BH7" s="16">
        <f>IF(OR(BG7="RPX",BG7="SS"),30,IF(OR(BG7="RPX-T",BG7="EUC"),50,0))</f>
        <v>50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t="s">
        <v>492</v>
      </c>
      <c r="BW7" s="16">
        <f>IF(OR(BV7="RPX",BV7="SS"),30,IF(OR(BV7="RPX-T",BV7="EUC"),50,0))</f>
        <v>50</v>
      </c>
      <c r="BX7" s="274" t="s">
        <v>180</v>
      </c>
      <c r="BY7" s="275"/>
      <c r="BZ7" s="276"/>
      <c r="CA7" s="117" t="s">
        <v>492</v>
      </c>
      <c r="CB7" s="16">
        <f>IF(OR(CA7="RPX",CA7="SS"),30,IF(OR(CA7="RPX-T",CA7="EUC"),50,0))</f>
        <v>50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c r="Q9" s="90"/>
      <c r="R9" s="90">
        <v>0</v>
      </c>
      <c r="S9" s="90"/>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c r="AU9" s="90"/>
      <c r="AV9" s="90">
        <v>0</v>
      </c>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v>50</v>
      </c>
      <c r="H10" s="90"/>
      <c r="I10" s="116"/>
      <c r="J10" s="16">
        <f>IF(F10="",H10,F10)</f>
        <v>0</v>
      </c>
      <c r="K10" s="90"/>
      <c r="L10" s="90">
        <v>50</v>
      </c>
      <c r="M10" s="90"/>
      <c r="N10" s="116"/>
      <c r="O10" s="16">
        <f>IF(K10="",M10,K10)</f>
        <v>0</v>
      </c>
      <c r="P10" s="90"/>
      <c r="Q10" s="90"/>
      <c r="R10" s="90"/>
      <c r="S10" s="90">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c r="AM10" s="116">
        <v>50</v>
      </c>
      <c r="AN10" s="16">
        <f>IF(AJ10="",AL10,AJ10)</f>
        <v>0</v>
      </c>
      <c r="AO10" s="90"/>
      <c r="AP10" s="90"/>
      <c r="AQ10" s="90"/>
      <c r="AR10" s="116">
        <v>50</v>
      </c>
      <c r="AS10" s="16">
        <f>IF(AO10="",AQ10,AO10)</f>
        <v>0</v>
      </c>
      <c r="AT10" s="90"/>
      <c r="AU10" s="90"/>
      <c r="AV10" s="90"/>
      <c r="AW10" s="116">
        <v>50</v>
      </c>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5</v>
      </c>
      <c r="B11" s="90"/>
      <c r="C11" s="116"/>
      <c r="D11" s="116"/>
      <c r="E11" s="16">
        <f t="shared" ref="E11:E74" si="1">IF(A11="",C11,A11)</f>
        <v>5</v>
      </c>
      <c r="F11" s="90"/>
      <c r="G11" s="90">
        <v>23</v>
      </c>
      <c r="H11" s="90"/>
      <c r="I11" s="116"/>
      <c r="J11" s="16">
        <f t="shared" ref="J11:J74" si="2">IF(F11="",H11,F11)</f>
        <v>0</v>
      </c>
      <c r="K11" s="90">
        <v>2</v>
      </c>
      <c r="L11" s="90"/>
      <c r="M11" s="90"/>
      <c r="N11" s="116"/>
      <c r="O11" s="16">
        <f t="shared" ref="O11:O74" si="3">IF(K11="",M11,K11)</f>
        <v>2</v>
      </c>
      <c r="P11" s="90"/>
      <c r="Q11" s="90"/>
      <c r="R11" s="90">
        <v>185</v>
      </c>
      <c r="S11" s="90"/>
      <c r="T11" s="16">
        <f t="shared" ref="T11:T74" si="4">IF(P11="",R11,P11)</f>
        <v>185</v>
      </c>
      <c r="U11" s="90"/>
      <c r="V11" s="90"/>
      <c r="W11" s="90">
        <v>103</v>
      </c>
      <c r="X11" s="116"/>
      <c r="Y11" s="16">
        <f t="shared" ref="Y11:Y74" si="5">IF(U11="",W11,U11)</f>
        <v>103</v>
      </c>
      <c r="Z11" s="90"/>
      <c r="AA11" s="90"/>
      <c r="AB11" s="90"/>
      <c r="AC11" s="116">
        <v>20</v>
      </c>
      <c r="AD11" s="16">
        <f t="shared" ref="AD11:AD74" si="6">IF(Z11="",AB11,Z11)</f>
        <v>0</v>
      </c>
      <c r="AE11" s="90"/>
      <c r="AF11" s="90"/>
      <c r="AG11" s="90">
        <v>116</v>
      </c>
      <c r="AH11" s="116"/>
      <c r="AI11" s="16">
        <f t="shared" ref="AI11:AI74" si="7">IF(AE11="",AG11,AE11)</f>
        <v>116</v>
      </c>
      <c r="AJ11" s="90"/>
      <c r="AK11" s="90"/>
      <c r="AL11" s="116">
        <v>130</v>
      </c>
      <c r="AM11" s="116"/>
      <c r="AN11" s="16">
        <f t="shared" ref="AN11:AN74" si="8">IF(AJ11="",AL11,AJ11)</f>
        <v>130</v>
      </c>
      <c r="AO11" s="90"/>
      <c r="AP11" s="90"/>
      <c r="AQ11" s="90">
        <v>41</v>
      </c>
      <c r="AR11" s="116"/>
      <c r="AS11" s="16">
        <f t="shared" ref="AS11:AS74" si="9">IF(AO11="",AQ11,AO11)</f>
        <v>41</v>
      </c>
      <c r="AT11" s="90"/>
      <c r="AU11" s="90"/>
      <c r="AV11" s="90">
        <v>160</v>
      </c>
      <c r="AW11" s="116"/>
      <c r="AX11" s="16">
        <f t="shared" ref="AX11:AX74" si="10">IF(AT11="",AV11,AT11)</f>
        <v>160</v>
      </c>
      <c r="AY11" s="90">
        <v>160</v>
      </c>
      <c r="AZ11" s="90"/>
      <c r="BA11" s="90"/>
      <c r="BB11" s="116"/>
      <c r="BC11" s="16">
        <f t="shared" ref="BC11:BC74" si="11">IF(AY11="",BA11,AY11)</f>
        <v>160</v>
      </c>
      <c r="BD11" s="90">
        <v>200</v>
      </c>
      <c r="BE11" s="90"/>
      <c r="BF11" s="90"/>
      <c r="BG11" s="116"/>
      <c r="BH11" s="16">
        <f t="shared" ref="BH11:BH74" si="12">IF(BD11="",BF11,BD11)</f>
        <v>200</v>
      </c>
      <c r="BI11" s="90">
        <v>94</v>
      </c>
      <c r="BJ11" s="90"/>
      <c r="BK11" s="90"/>
      <c r="BL11" s="116"/>
      <c r="BM11" s="16">
        <f t="shared" ref="BM11:BM74" si="13">IF(BI11="",BK11,BI11)</f>
        <v>94</v>
      </c>
      <c r="BN11" s="90">
        <v>20</v>
      </c>
      <c r="BO11" s="90"/>
      <c r="BP11" s="90"/>
      <c r="BQ11" s="116"/>
      <c r="BR11" s="16">
        <f t="shared" ref="BR11:BR74" si="14">IF(BN11="",BP11,BN11)</f>
        <v>20</v>
      </c>
      <c r="BS11" s="90">
        <v>75</v>
      </c>
      <c r="BT11" s="90"/>
      <c r="BU11" s="90"/>
      <c r="BV11" s="116"/>
      <c r="BW11" s="16">
        <f t="shared" ref="BW11:BW74" si="15">IF(BS11="",BU11,BS11)</f>
        <v>75</v>
      </c>
      <c r="BX11" s="90">
        <v>44</v>
      </c>
      <c r="BY11" s="90"/>
      <c r="BZ11" s="90"/>
      <c r="CA11" s="116"/>
      <c r="CB11" s="16">
        <f t="shared" ref="CB11:CB74" si="16">IF(BX11="",BZ11,BX11)</f>
        <v>44</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v>1127</v>
      </c>
      <c r="G12" s="90"/>
      <c r="H12" s="90"/>
      <c r="I12" s="116"/>
      <c r="J12" s="16">
        <f t="shared" si="2"/>
        <v>1127</v>
      </c>
      <c r="K12" s="90">
        <v>42</v>
      </c>
      <c r="L12" s="90"/>
      <c r="M12" s="90"/>
      <c r="N12" s="116"/>
      <c r="O12" s="16">
        <f t="shared" si="3"/>
        <v>42</v>
      </c>
      <c r="P12" s="90"/>
      <c r="Q12" s="90"/>
      <c r="R12" s="90"/>
      <c r="S12" s="90"/>
      <c r="T12" s="16">
        <f t="shared" si="4"/>
        <v>0</v>
      </c>
      <c r="U12" s="90"/>
      <c r="V12" s="90"/>
      <c r="W12" s="90">
        <v>123</v>
      </c>
      <c r="X12" s="116"/>
      <c r="Y12" s="16">
        <f t="shared" si="5"/>
        <v>123</v>
      </c>
      <c r="Z12" s="90">
        <v>347</v>
      </c>
      <c r="AA12" s="90"/>
      <c r="AB12" s="90"/>
      <c r="AC12" s="116"/>
      <c r="AD12" s="16">
        <f t="shared" si="6"/>
        <v>347</v>
      </c>
      <c r="AE12" s="90"/>
      <c r="AF12" s="90"/>
      <c r="AG12" s="90">
        <v>96</v>
      </c>
      <c r="AH12" s="116"/>
      <c r="AI12" s="16">
        <f t="shared" si="7"/>
        <v>96</v>
      </c>
      <c r="AJ12" s="90"/>
      <c r="AK12" s="90"/>
      <c r="AL12" s="116">
        <v>160</v>
      </c>
      <c r="AM12" s="116"/>
      <c r="AN12" s="16">
        <f t="shared" si="8"/>
        <v>160</v>
      </c>
      <c r="AO12" s="90"/>
      <c r="AP12" s="90"/>
      <c r="AQ12" s="90">
        <v>100</v>
      </c>
      <c r="AR12" s="116"/>
      <c r="AS12" s="16">
        <f t="shared" si="9"/>
        <v>100</v>
      </c>
      <c r="AT12" s="90"/>
      <c r="AU12" s="90"/>
      <c r="AV12" s="90">
        <v>124</v>
      </c>
      <c r="AW12" s="116"/>
      <c r="AX12" s="16">
        <f t="shared" si="10"/>
        <v>124</v>
      </c>
      <c r="AY12" s="90">
        <v>400</v>
      </c>
      <c r="AZ12" s="90"/>
      <c r="BA12" s="90"/>
      <c r="BB12" s="116"/>
      <c r="BC12" s="16">
        <f t="shared" si="11"/>
        <v>400</v>
      </c>
      <c r="BD12" s="90">
        <v>160</v>
      </c>
      <c r="BE12" s="90"/>
      <c r="BF12" s="90"/>
      <c r="BG12" s="116"/>
      <c r="BH12" s="16">
        <f t="shared" si="12"/>
        <v>160</v>
      </c>
      <c r="BI12" s="90"/>
      <c r="BJ12" s="90">
        <v>50</v>
      </c>
      <c r="BK12" s="90"/>
      <c r="BL12" s="116"/>
      <c r="BM12" s="16">
        <f t="shared" si="13"/>
        <v>0</v>
      </c>
      <c r="BN12" s="90"/>
      <c r="BO12" s="90">
        <v>50</v>
      </c>
      <c r="BP12" s="90"/>
      <c r="BQ12" s="116"/>
      <c r="BR12" s="16">
        <f t="shared" si="14"/>
        <v>0</v>
      </c>
      <c r="BS12" s="90">
        <v>70</v>
      </c>
      <c r="BT12" s="90"/>
      <c r="BU12" s="90"/>
      <c r="BV12" s="116"/>
      <c r="BW12" s="16">
        <f t="shared" si="15"/>
        <v>70</v>
      </c>
      <c r="BX12" s="90">
        <v>166</v>
      </c>
      <c r="BY12" s="90"/>
      <c r="BZ12" s="90"/>
      <c r="CA12" s="116"/>
      <c r="CB12" s="16">
        <f t="shared" si="16"/>
        <v>166</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v>20</v>
      </c>
      <c r="E13" s="16">
        <f t="shared" si="1"/>
        <v>0</v>
      </c>
      <c r="F13" s="90"/>
      <c r="G13" s="90">
        <v>50</v>
      </c>
      <c r="H13" s="90"/>
      <c r="I13" s="116"/>
      <c r="J13" s="16">
        <f t="shared" si="2"/>
        <v>0</v>
      </c>
      <c r="K13" s="90">
        <v>106</v>
      </c>
      <c r="L13" s="90"/>
      <c r="M13" s="90"/>
      <c r="N13" s="116"/>
      <c r="O13" s="16">
        <f t="shared" si="3"/>
        <v>106</v>
      </c>
      <c r="P13" s="90"/>
      <c r="Q13" s="90"/>
      <c r="R13" s="90"/>
      <c r="S13" s="116"/>
      <c r="T13" s="16">
        <f t="shared" si="4"/>
        <v>0</v>
      </c>
      <c r="U13" s="90"/>
      <c r="V13" s="90"/>
      <c r="W13" s="90">
        <v>115</v>
      </c>
      <c r="X13" s="116"/>
      <c r="Y13" s="16">
        <f t="shared" si="5"/>
        <v>115</v>
      </c>
      <c r="Z13" s="90">
        <v>230</v>
      </c>
      <c r="AA13" s="90"/>
      <c r="AB13" s="90"/>
      <c r="AC13" s="116"/>
      <c r="AD13" s="16">
        <f t="shared" si="6"/>
        <v>230</v>
      </c>
      <c r="AE13" s="90"/>
      <c r="AF13" s="90"/>
      <c r="AG13" s="90">
        <v>74</v>
      </c>
      <c r="AH13" s="116"/>
      <c r="AI13" s="16">
        <f t="shared" si="7"/>
        <v>74</v>
      </c>
      <c r="AJ13" s="90"/>
      <c r="AK13" s="90">
        <v>21</v>
      </c>
      <c r="AL13" s="90"/>
      <c r="AM13" s="116"/>
      <c r="AN13" s="16">
        <f t="shared" si="8"/>
        <v>0</v>
      </c>
      <c r="AO13" s="90"/>
      <c r="AP13" s="90"/>
      <c r="AQ13" s="90"/>
      <c r="AR13" s="116"/>
      <c r="AS13" s="16">
        <f t="shared" si="9"/>
        <v>0</v>
      </c>
      <c r="AT13" s="90"/>
      <c r="AU13" s="90"/>
      <c r="AV13" s="90">
        <v>108</v>
      </c>
      <c r="AW13" s="116"/>
      <c r="AX13" s="16">
        <f t="shared" si="10"/>
        <v>108</v>
      </c>
      <c r="AY13" s="90"/>
      <c r="AZ13" s="90">
        <v>50</v>
      </c>
      <c r="BA13" s="90"/>
      <c r="BB13" s="116"/>
      <c r="BC13" s="16">
        <f t="shared" si="11"/>
        <v>0</v>
      </c>
      <c r="BD13" s="90">
        <v>308</v>
      </c>
      <c r="BE13" s="90"/>
      <c r="BF13" s="90"/>
      <c r="BG13" s="116"/>
      <c r="BH13" s="16">
        <f t="shared" si="12"/>
        <v>308</v>
      </c>
      <c r="BI13" s="90"/>
      <c r="BJ13" s="90"/>
      <c r="BK13" s="90"/>
      <c r="BL13" s="116"/>
      <c r="BM13" s="16">
        <f t="shared" si="13"/>
        <v>0</v>
      </c>
      <c r="BN13" s="90"/>
      <c r="BO13" s="90"/>
      <c r="BP13" s="90"/>
      <c r="BQ13" s="116"/>
      <c r="BR13" s="16">
        <f t="shared" si="14"/>
        <v>0</v>
      </c>
      <c r="BS13" s="90"/>
      <c r="BT13" s="90"/>
      <c r="BU13" s="90"/>
      <c r="BV13" s="116"/>
      <c r="BW13" s="16">
        <f t="shared" si="15"/>
        <v>0</v>
      </c>
      <c r="BX13" s="90">
        <v>120</v>
      </c>
      <c r="BY13" s="90"/>
      <c r="BZ13" s="90"/>
      <c r="CA13" s="116"/>
      <c r="CB13" s="16">
        <f t="shared" si="16"/>
        <v>120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v>167</v>
      </c>
      <c r="D14" s="116"/>
      <c r="E14" s="16">
        <f t="shared" si="1"/>
        <v>167</v>
      </c>
      <c r="F14" s="90"/>
      <c r="G14" s="90"/>
      <c r="H14" s="90"/>
      <c r="I14" s="116"/>
      <c r="J14" s="16">
        <f t="shared" si="2"/>
        <v>0</v>
      </c>
      <c r="K14" s="90">
        <v>235</v>
      </c>
      <c r="L14" s="90"/>
      <c r="M14" s="90"/>
      <c r="N14" s="116"/>
      <c r="O14" s="16">
        <f t="shared" si="3"/>
        <v>235</v>
      </c>
      <c r="P14" s="90"/>
      <c r="Q14" s="90"/>
      <c r="R14" s="90"/>
      <c r="S14" s="116"/>
      <c r="T14" s="16">
        <f t="shared" si="4"/>
        <v>0</v>
      </c>
      <c r="U14" s="90"/>
      <c r="V14" s="90"/>
      <c r="W14" s="90">
        <v>38</v>
      </c>
      <c r="X14" s="116"/>
      <c r="Y14" s="16">
        <f t="shared" si="5"/>
        <v>38</v>
      </c>
      <c r="Z14" s="90"/>
      <c r="AA14" s="90"/>
      <c r="AB14" s="90"/>
      <c r="AC14" s="116"/>
      <c r="AD14" s="16">
        <f t="shared" si="6"/>
        <v>0</v>
      </c>
      <c r="AE14" s="90"/>
      <c r="AF14" s="90"/>
      <c r="AG14" s="90"/>
      <c r="AH14" s="116"/>
      <c r="AI14" s="16">
        <f t="shared" si="7"/>
        <v>0</v>
      </c>
      <c r="AJ14" s="90">
        <v>79</v>
      </c>
      <c r="AK14" s="90"/>
      <c r="AL14" s="90"/>
      <c r="AM14" s="116"/>
      <c r="AN14" s="16">
        <f t="shared" si="8"/>
        <v>79</v>
      </c>
      <c r="AO14" s="90"/>
      <c r="AP14" s="90"/>
      <c r="AQ14" s="90"/>
      <c r="AR14" s="116"/>
      <c r="AS14" s="16">
        <f t="shared" si="9"/>
        <v>0</v>
      </c>
      <c r="AT14" s="90"/>
      <c r="AU14" s="90"/>
      <c r="AV14" s="90">
        <v>66</v>
      </c>
      <c r="AW14" s="116"/>
      <c r="AX14" s="16">
        <f t="shared" si="10"/>
        <v>66</v>
      </c>
      <c r="AY14" s="90"/>
      <c r="AZ14" s="90"/>
      <c r="BA14" s="90"/>
      <c r="BB14" s="116"/>
      <c r="BC14" s="16">
        <f t="shared" si="11"/>
        <v>0</v>
      </c>
      <c r="BD14" s="90">
        <v>2</v>
      </c>
      <c r="BE14" s="90"/>
      <c r="BF14" s="90"/>
      <c r="BG14" s="116"/>
      <c r="BH14" s="16">
        <f t="shared" si="12"/>
        <v>2</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v>50</v>
      </c>
      <c r="E15" s="16">
        <f t="shared" si="1"/>
        <v>0</v>
      </c>
      <c r="F15" s="90"/>
      <c r="G15" s="90"/>
      <c r="H15" s="90"/>
      <c r="I15" s="116"/>
      <c r="J15" s="16">
        <f t="shared" si="2"/>
        <v>0</v>
      </c>
      <c r="K15" s="90"/>
      <c r="L15" s="90">
        <v>21</v>
      </c>
      <c r="M15" s="90"/>
      <c r="N15" s="116"/>
      <c r="O15" s="16">
        <f t="shared" si="3"/>
        <v>0</v>
      </c>
      <c r="P15" s="90"/>
      <c r="Q15" s="90"/>
      <c r="R15" s="90"/>
      <c r="S15" s="116"/>
      <c r="T15" s="16">
        <f t="shared" si="4"/>
        <v>0</v>
      </c>
      <c r="U15" s="90"/>
      <c r="V15" s="90"/>
      <c r="W15" s="90">
        <v>82</v>
      </c>
      <c r="X15" s="116"/>
      <c r="Y15" s="16">
        <f t="shared" si="5"/>
        <v>82</v>
      </c>
      <c r="Z15" s="90"/>
      <c r="AA15" s="90"/>
      <c r="AB15" s="90"/>
      <c r="AC15" s="116"/>
      <c r="AD15" s="16">
        <f t="shared" si="6"/>
        <v>0</v>
      </c>
      <c r="AE15" s="90"/>
      <c r="AF15" s="90"/>
      <c r="AG15" s="90"/>
      <c r="AH15" s="116"/>
      <c r="AI15" s="16">
        <f t="shared" si="7"/>
        <v>0</v>
      </c>
      <c r="AJ15" s="90">
        <v>130</v>
      </c>
      <c r="AK15" s="90"/>
      <c r="AL15" s="90"/>
      <c r="AM15" s="116"/>
      <c r="AN15" s="16">
        <f t="shared" si="8"/>
        <v>130</v>
      </c>
      <c r="AO15" s="90"/>
      <c r="AP15" s="90"/>
      <c r="AQ15" s="90"/>
      <c r="AR15" s="116"/>
      <c r="AS15" s="16">
        <f t="shared" si="9"/>
        <v>0</v>
      </c>
      <c r="AT15" s="90"/>
      <c r="AU15" s="90"/>
      <c r="AV15" s="90"/>
      <c r="AW15" s="116">
        <v>20</v>
      </c>
      <c r="AX15" s="16">
        <f t="shared" si="10"/>
        <v>0</v>
      </c>
      <c r="AY15" s="90"/>
      <c r="AZ15" s="90"/>
      <c r="BA15" s="90"/>
      <c r="BB15" s="116"/>
      <c r="BC15" s="16">
        <f t="shared" si="11"/>
        <v>0</v>
      </c>
      <c r="BD15" s="90"/>
      <c r="BE15" s="90">
        <v>50</v>
      </c>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c r="N16" s="116">
        <v>20</v>
      </c>
      <c r="O16" s="16">
        <f t="shared" si="3"/>
        <v>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v>215</v>
      </c>
      <c r="AK16" s="90"/>
      <c r="AL16" s="90"/>
      <c r="AM16" s="116"/>
      <c r="AN16" s="16">
        <f t="shared" si="8"/>
        <v>215</v>
      </c>
      <c r="AO16" s="90"/>
      <c r="AP16" s="90"/>
      <c r="AQ16" s="90"/>
      <c r="AR16" s="116"/>
      <c r="AS16" s="16">
        <f t="shared" si="9"/>
        <v>0</v>
      </c>
      <c r="AT16" s="90"/>
      <c r="AU16" s="90"/>
      <c r="AV16" s="90"/>
      <c r="AW16" s="116">
        <v>20</v>
      </c>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c r="N17" s="116">
        <v>20</v>
      </c>
      <c r="O17" s="16">
        <f t="shared" si="3"/>
        <v>0</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v>24</v>
      </c>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c r="N18" s="116">
        <v>20</v>
      </c>
      <c r="O18" s="16">
        <f t="shared" si="3"/>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v>273</v>
      </c>
      <c r="AU18" s="90"/>
      <c r="AV18" s="90"/>
      <c r="AW18" s="116"/>
      <c r="AX18" s="16">
        <f t="shared" si="10"/>
        <v>273</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c r="N19" s="116">
        <v>50</v>
      </c>
      <c r="O19" s="16">
        <f t="shared" si="3"/>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v>160</v>
      </c>
      <c r="AU19" s="90"/>
      <c r="AV19" s="90"/>
      <c r="AW19" s="116"/>
      <c r="AX19" s="16">
        <f t="shared" si="10"/>
        <v>160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v>110</v>
      </c>
      <c r="N20" s="116"/>
      <c r="O20" s="16">
        <f t="shared" si="3"/>
        <v>110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v>78</v>
      </c>
      <c r="N21" s="116"/>
      <c r="O21" s="16">
        <f t="shared" si="3"/>
        <v>78</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v>46</v>
      </c>
      <c r="N22" s="116"/>
      <c r="O22" s="16">
        <f t="shared" si="3"/>
        <v>46</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v>70</v>
      </c>
      <c r="N23" s="116"/>
      <c r="O23" s="16">
        <f t="shared" si="3"/>
        <v>70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v>86</v>
      </c>
      <c r="N24" s="116"/>
      <c r="O24" s="16">
        <f t="shared" si="3"/>
        <v>86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v>83</v>
      </c>
      <c r="N25" s="116"/>
      <c r="O25" s="16">
        <f t="shared" si="3"/>
        <v>83</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v>50</v>
      </c>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v>151</v>
      </c>
      <c r="N27" s="116"/>
      <c r="O27" s="16">
        <f t="shared" si="3"/>
        <v>151</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v>174</v>
      </c>
      <c r="N28" s="116"/>
      <c r="O28" s="16">
        <f t="shared" si="3"/>
        <v>174</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v>113</v>
      </c>
      <c r="N29" s="116"/>
      <c r="O29" s="16">
        <f t="shared" si="3"/>
        <v>113</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v>115</v>
      </c>
      <c r="N30" s="116"/>
      <c r="O30" s="16">
        <f t="shared" si="3"/>
        <v>115</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v>20</v>
      </c>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4" priority="194">
      <formula>IF(A25&gt;0,A25&lt;20)</formula>
    </cfRule>
  </conditionalFormatting>
  <conditionalFormatting sqref="F20:F208">
    <cfRule type="expression" dxfId="1573" priority="75">
      <formula>IF(F20&gt;0,F20&lt;20)</formula>
    </cfRule>
  </conditionalFormatting>
  <conditionalFormatting sqref="K22:K208">
    <cfRule type="expression" dxfId="1572" priority="74">
      <formula>IF(K22&gt;0,K22&lt;20)</formula>
    </cfRule>
  </conditionalFormatting>
  <conditionalFormatting sqref="P14:P208">
    <cfRule type="expression" dxfId="1571" priority="73">
      <formula>IF(P14&gt;0,P14&lt;20)</formula>
    </cfRule>
  </conditionalFormatting>
  <conditionalFormatting sqref="U22:U208">
    <cfRule type="expression" dxfId="1570" priority="72">
      <formula>IF(U22&gt;0,U22&lt;20)</formula>
    </cfRule>
  </conditionalFormatting>
  <conditionalFormatting sqref="Z17:Z208">
    <cfRule type="expression" dxfId="1569" priority="71">
      <formula>IF(Z17&gt;0,Z17&lt;20)</formula>
    </cfRule>
  </conditionalFormatting>
  <conditionalFormatting sqref="AE15:AE208">
    <cfRule type="expression" dxfId="1568" priority="70">
      <formula>IF(AE15&gt;0,AE15&lt;20)</formula>
    </cfRule>
  </conditionalFormatting>
  <conditionalFormatting sqref="AJ25:AJ208">
    <cfRule type="expression" dxfId="1567" priority="69">
      <formula>IF(AJ25&gt;0,AJ25&lt;20)</formula>
    </cfRule>
  </conditionalFormatting>
  <conditionalFormatting sqref="AO16:AO208">
    <cfRule type="expression" dxfId="1566" priority="68">
      <formula>IF(AO16&gt;0,AO16&lt;20)</formula>
    </cfRule>
  </conditionalFormatting>
  <conditionalFormatting sqref="AT14:AT208">
    <cfRule type="expression" dxfId="1565" priority="67">
      <formula>IF(AT14&gt;0,AT14&lt;20)</formula>
    </cfRule>
  </conditionalFormatting>
  <conditionalFormatting sqref="AY9:AY208">
    <cfRule type="expression" dxfId="1564" priority="66">
      <formula>IF(AY9&gt;0,AY9&lt;20)</formula>
    </cfRule>
  </conditionalFormatting>
  <conditionalFormatting sqref="BD9:BD208">
    <cfRule type="expression" dxfId="1563" priority="65">
      <formula>IF(BD9&gt;0,BD9&lt;20)</formula>
    </cfRule>
  </conditionalFormatting>
  <conditionalFormatting sqref="BI9:BI208">
    <cfRule type="expression" dxfId="1562" priority="64">
      <formula>IF(BI9&gt;0,BI9&lt;20)</formula>
    </cfRule>
  </conditionalFormatting>
  <conditionalFormatting sqref="BN9:BN208">
    <cfRule type="expression" dxfId="1561" priority="63">
      <formula>IF(BN9&gt;0,BN9&lt;20)</formula>
    </cfRule>
  </conditionalFormatting>
  <conditionalFormatting sqref="BS9:BS208">
    <cfRule type="expression" dxfId="1560" priority="62">
      <formula>IF(BS9&gt;0,BS9&lt;20)</formula>
    </cfRule>
  </conditionalFormatting>
  <conditionalFormatting sqref="BX9:BX10 BX14:BX208">
    <cfRule type="expression" dxfId="1559" priority="61">
      <formula>IF(BX9&gt;0,BX9&lt;20)</formula>
    </cfRule>
  </conditionalFormatting>
  <conditionalFormatting sqref="CC9:CC208">
    <cfRule type="expression" dxfId="1558" priority="60">
      <formula>IF(CC9&gt;0,CC9&lt;20)</formula>
    </cfRule>
  </conditionalFormatting>
  <conditionalFormatting sqref="CH9:CH208">
    <cfRule type="expression" dxfId="1557" priority="59">
      <formula>IF(CH9&gt;0,CH9&lt;20)</formula>
    </cfRule>
  </conditionalFormatting>
  <conditionalFormatting sqref="CM9:CM208">
    <cfRule type="expression" dxfId="1556" priority="58">
      <formula>IF(CM9&gt;0,CM9&lt;20)</formula>
    </cfRule>
  </conditionalFormatting>
  <conditionalFormatting sqref="CR9:CR208">
    <cfRule type="expression" dxfId="1555" priority="57">
      <formula>IF(CR9&gt;0,CR9&lt;20)</formula>
    </cfRule>
  </conditionalFormatting>
  <conditionalFormatting sqref="CW9:CW208">
    <cfRule type="expression" dxfId="1554" priority="56">
      <formula>IF(CW9&gt;0,CW9&lt;20)</formula>
    </cfRule>
  </conditionalFormatting>
  <conditionalFormatting sqref="DB9:DB208">
    <cfRule type="expression" dxfId="1553" priority="55">
      <formula>IF(DB9&gt;0,DB9&lt;20)</formula>
    </cfRule>
  </conditionalFormatting>
  <conditionalFormatting sqref="DG9:DG208">
    <cfRule type="expression" dxfId="1552" priority="54">
      <formula>IF(DG9&gt;0,DG9&lt;20)</formula>
    </cfRule>
  </conditionalFormatting>
  <conditionalFormatting sqref="DL9:DL208">
    <cfRule type="expression" dxfId="1551" priority="53">
      <formula>IF(DL9&gt;0,DL9&lt;20)</formula>
    </cfRule>
  </conditionalFormatting>
  <conditionalFormatting sqref="DQ9:DQ208">
    <cfRule type="expression" dxfId="1550" priority="52">
      <formula>IF(DQ9&gt;0,DQ9&lt;20)</formula>
    </cfRule>
  </conditionalFormatting>
  <conditionalFormatting sqref="DV9:DV208">
    <cfRule type="expression" dxfId="1549" priority="51">
      <formula>IF(DV9&gt;0,DV9&lt;20)</formula>
    </cfRule>
  </conditionalFormatting>
  <conditionalFormatting sqref="EA9:EA208">
    <cfRule type="expression" dxfId="1548" priority="50">
      <formula>IF(EA9&gt;0,EA9&lt;20)</formula>
    </cfRule>
  </conditionalFormatting>
  <conditionalFormatting sqref="EF9:EF208">
    <cfRule type="expression" dxfId="1547" priority="49">
      <formula>IF(EF9&gt;0,EF9&lt;20)</formula>
    </cfRule>
  </conditionalFormatting>
  <conditionalFormatting sqref="EK9:EK208">
    <cfRule type="expression" dxfId="1546" priority="48">
      <formula>IF(EK9&gt;0,EK9&lt;20)</formula>
    </cfRule>
  </conditionalFormatting>
  <conditionalFormatting sqref="EP9:EP208">
    <cfRule type="expression" dxfId="1545" priority="47">
      <formula>IF(EP9&gt;0,EP9&lt;20)</formula>
    </cfRule>
  </conditionalFormatting>
  <conditionalFormatting sqref="EU9:EU208">
    <cfRule type="expression" dxfId="1544" priority="46">
      <formula>IF(EU9&gt;0,EU9&lt;20)</formula>
    </cfRule>
  </conditionalFormatting>
  <conditionalFormatting sqref="EZ9:EZ208">
    <cfRule type="expression" dxfId="1543" priority="45">
      <formula>IF(EZ9&gt;0,EZ9&lt;20)</formula>
    </cfRule>
  </conditionalFormatting>
  <conditionalFormatting sqref="FE9:FE208">
    <cfRule type="expression" dxfId="1542" priority="44">
      <formula>IF(FE9&gt;0,FE9&lt;20)</formula>
    </cfRule>
  </conditionalFormatting>
  <conditionalFormatting sqref="IL9:IL208">
    <cfRule type="expression" dxfId="1541" priority="27">
      <formula>IF(IL9&gt;0,IL9&lt;20)</formula>
    </cfRule>
  </conditionalFormatting>
  <conditionalFormatting sqref="FJ9:FJ208">
    <cfRule type="expression" dxfId="1540" priority="43">
      <formula>IF(FJ9&gt;0,FJ9&lt;20)</formula>
    </cfRule>
  </conditionalFormatting>
  <conditionalFormatting sqref="FO9:FO208">
    <cfRule type="expression" dxfId="1539" priority="42">
      <formula>IF(FO9&gt;0,FO9&lt;20)</formula>
    </cfRule>
  </conditionalFormatting>
  <conditionalFormatting sqref="FT9:FT208">
    <cfRule type="expression" dxfId="1538" priority="41">
      <formula>IF(FT9&gt;0,FT9&lt;20)</formula>
    </cfRule>
  </conditionalFormatting>
  <conditionalFormatting sqref="FY9:FY208">
    <cfRule type="expression" dxfId="1537" priority="40">
      <formula>IF(FY9&gt;0,FY9&lt;20)</formula>
    </cfRule>
  </conditionalFormatting>
  <conditionalFormatting sqref="GD9:GD208">
    <cfRule type="expression" dxfId="1536" priority="39">
      <formula>IF(GD9&gt;0,GD9&lt;20)</formula>
    </cfRule>
  </conditionalFormatting>
  <conditionalFormatting sqref="GI9:GI208">
    <cfRule type="expression" dxfId="1535" priority="38">
      <formula>IF(GI9&gt;0,GI9&lt;20)</formula>
    </cfRule>
  </conditionalFormatting>
  <conditionalFormatting sqref="GN9:GN208">
    <cfRule type="expression" dxfId="1534" priority="37">
      <formula>IF(GN9&gt;0,GN9&lt;20)</formula>
    </cfRule>
  </conditionalFormatting>
  <conditionalFormatting sqref="GS9:GS208">
    <cfRule type="expression" dxfId="1533" priority="36">
      <formula>IF(GS9&gt;0,GS9&lt;20)</formula>
    </cfRule>
  </conditionalFormatting>
  <conditionalFormatting sqref="GX9:GX208">
    <cfRule type="expression" dxfId="1532" priority="35">
      <formula>IF(GX9&gt;0,GX9&lt;20)</formula>
    </cfRule>
  </conditionalFormatting>
  <conditionalFormatting sqref="HC9:HC208">
    <cfRule type="expression" dxfId="1531" priority="34">
      <formula>IF(HC9&gt;0,HC9&lt;20)</formula>
    </cfRule>
  </conditionalFormatting>
  <conditionalFormatting sqref="HH9:HH208">
    <cfRule type="expression" dxfId="1530" priority="33">
      <formula>IF(HH9&gt;0,HH9&lt;20)</formula>
    </cfRule>
  </conditionalFormatting>
  <conditionalFormatting sqref="HM9:HM208">
    <cfRule type="expression" dxfId="1529" priority="32">
      <formula>IF(HM9&gt;0,HM9&lt;20)</formula>
    </cfRule>
  </conditionalFormatting>
  <conditionalFormatting sqref="HR9:HR208">
    <cfRule type="expression" dxfId="1528" priority="31">
      <formula>IF(HR9&gt;0,HR9&lt;20)</formula>
    </cfRule>
  </conditionalFormatting>
  <conditionalFormatting sqref="HW9:HW208">
    <cfRule type="expression" dxfId="1527" priority="30">
      <formula>IF(HW9&gt;0,HW9&lt;20)</formula>
    </cfRule>
  </conditionalFormatting>
  <conditionalFormatting sqref="IB9:IB208">
    <cfRule type="expression" dxfId="1526" priority="29">
      <formula>IF(IB9&gt;0,IB9&lt;20)</formula>
    </cfRule>
  </conditionalFormatting>
  <conditionalFormatting sqref="IG9:IG208">
    <cfRule type="expression" dxfId="1525" priority="28">
      <formula>IF(IG9&gt;0,IG9&lt;20)</formula>
    </cfRule>
  </conditionalFormatting>
  <conditionalFormatting sqref="A19:A24">
    <cfRule type="expression" dxfId="1524" priority="25">
      <formula>IF(A19&gt;0,A19&lt;20)</formula>
    </cfRule>
  </conditionalFormatting>
  <conditionalFormatting sqref="F12:F19">
    <cfRule type="expression" dxfId="1523" priority="24">
      <formula>IF(F12&gt;0,F12&lt;20)</formula>
    </cfRule>
  </conditionalFormatting>
  <conditionalFormatting sqref="K14:K25">
    <cfRule type="expression" dxfId="1522" priority="23">
      <formula>IF(K14&gt;0,K14&lt;20)</formula>
    </cfRule>
  </conditionalFormatting>
  <conditionalFormatting sqref="P12:P13">
    <cfRule type="expression" dxfId="1521" priority="21">
      <formula>IF(P12&gt;0,P12&lt;20)</formula>
    </cfRule>
  </conditionalFormatting>
  <conditionalFormatting sqref="U10:U21">
    <cfRule type="expression" dxfId="1520" priority="20">
      <formula>IF(U10&gt;0,U10&lt;20)</formula>
    </cfRule>
  </conditionalFormatting>
  <conditionalFormatting sqref="AJ11:AJ24">
    <cfRule type="expression" dxfId="1519" priority="17">
      <formula>IF(AJ11&gt;0,AJ11&lt;20)</formula>
    </cfRule>
  </conditionalFormatting>
  <conditionalFormatting sqref="F9:F12">
    <cfRule type="expression" dxfId="1518" priority="16">
      <formula>IF(F9&gt;0,F9&lt;20)</formula>
    </cfRule>
  </conditionalFormatting>
  <conditionalFormatting sqref="K13:K17">
    <cfRule type="expression" dxfId="1517" priority="15">
      <formula>IF(K13&gt;0,K13&lt;20)</formula>
    </cfRule>
  </conditionalFormatting>
  <conditionalFormatting sqref="K9:K16">
    <cfRule type="expression" dxfId="1516" priority="14">
      <formula>IF(K9&gt;0,K9&lt;20)</formula>
    </cfRule>
  </conditionalFormatting>
  <conditionalFormatting sqref="P9:P11">
    <cfRule type="expression" dxfId="1515" priority="13">
      <formula>IF(P9&gt;0,P9&lt;20)</formula>
    </cfRule>
  </conditionalFormatting>
  <conditionalFormatting sqref="U9">
    <cfRule type="expression" dxfId="1514" priority="12">
      <formula>IF(U9&gt;0,U9&lt;20)</formula>
    </cfRule>
  </conditionalFormatting>
  <conditionalFormatting sqref="Z9:Z16">
    <cfRule type="expression" dxfId="1513" priority="11">
      <formula>IF(Z9&gt;0,Z9&lt;20)</formula>
    </cfRule>
  </conditionalFormatting>
  <conditionalFormatting sqref="AE13:AE14">
    <cfRule type="expression" dxfId="1512" priority="10">
      <formula>IF(AE13&gt;0,AE13&lt;20)</formula>
    </cfRule>
  </conditionalFormatting>
  <conditionalFormatting sqref="AE9:AE12">
    <cfRule type="expression" dxfId="1511" priority="9">
      <formula>IF(AE9&gt;0,AE9&lt;20)</formula>
    </cfRule>
  </conditionalFormatting>
  <conditionalFormatting sqref="AJ9:AJ11">
    <cfRule type="expression" dxfId="1510" priority="8">
      <formula>IF(AJ9&gt;0,AJ9&lt;20)</formula>
    </cfRule>
  </conditionalFormatting>
  <conditionalFormatting sqref="AO9:AO15">
    <cfRule type="expression" dxfId="1509" priority="7">
      <formula>IF(AO9&gt;0,AO9&lt;20)</formula>
    </cfRule>
  </conditionalFormatting>
  <conditionalFormatting sqref="AT9:AT13">
    <cfRule type="expression" dxfId="1508" priority="6">
      <formula>IF(AT9&gt;0,AT9&lt;20)</formula>
    </cfRule>
  </conditionalFormatting>
  <conditionalFormatting sqref="A9:A10">
    <cfRule type="expression" dxfId="1507" priority="5">
      <formula>AND(A$9&lt;&gt;"",A$9&lt;20)</formula>
    </cfRule>
  </conditionalFormatting>
  <conditionalFormatting sqref="A10:A18">
    <cfRule type="expression" dxfId="1506" priority="4">
      <formula>AND(A10&lt;&gt;"",A10&lt;20)</formula>
    </cfRule>
  </conditionalFormatting>
  <conditionalFormatting sqref="R12">
    <cfRule type="expression" dxfId="1505" priority="3">
      <formula>IF(R12&gt;0,R12&lt;20)</formula>
    </cfRule>
  </conditionalFormatting>
  <conditionalFormatting sqref="R9:R11">
    <cfRule type="expression" dxfId="1504" priority="2">
      <formula>IF(R9&gt;0,R9&lt;20)</formula>
    </cfRule>
  </conditionalFormatting>
  <conditionalFormatting sqref="BX11:BX13">
    <cfRule type="expression" dxfId="1503" priority="1">
      <formula>IF(BX11&gt;0,BX11&lt;20)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694" zoomScale="115" zoomScaleNormal="115" workbookViewId="0">
      <selection activeCell="D94" sqref="D94"/>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758</v>
      </c>
      <c r="D1" s="329"/>
      <c r="E1" s="88"/>
      <c r="F1" s="88"/>
      <c r="G1" s="89" t="s">
        <v>186</v>
      </c>
      <c r="H1" s="326" t="s">
        <v>732</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731</v>
      </c>
      <c r="D2" s="329"/>
      <c r="E2" s="88"/>
      <c r="F2" s="88"/>
      <c r="G2" s="89" t="s">
        <v>207</v>
      </c>
      <c r="H2" s="326" t="s">
        <v>733</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FA_IMPORT_A02RHW0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192</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24</v>
      </c>
      <c r="J7" s="301" t="s">
        <v>231</v>
      </c>
      <c r="K7" s="302"/>
      <c r="L7" s="34">
        <f>I11</f>
        <v>625</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309" t="s">
        <v>237</v>
      </c>
      <c r="H8" s="310"/>
      <c r="I8" s="35">
        <f>IF(E8=0,0,12-(MOD(I6,12)))</f>
        <v>12</v>
      </c>
      <c r="J8" s="301" t="s">
        <v>238</v>
      </c>
      <c r="K8" s="302"/>
      <c r="L8" s="39">
        <f>I12-I6</f>
        <v>624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277" t="s">
        <v>242</v>
      </c>
      <c r="H9" s="43" t="s">
        <v>243</v>
      </c>
      <c r="I9" s="35">
        <f>IF(E9&lt;&gt;0,1,0)</f>
        <v>1</v>
      </c>
      <c r="J9" s="309" t="s">
        <v>244</v>
      </c>
      <c r="K9" s="310"/>
      <c r="L9" s="44">
        <f>'Cable Calculator'!D3</f>
        <v>317</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625</v>
      </c>
      <c r="F10" s="88"/>
      <c r="G10" s="278"/>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1</v>
      </c>
      <c r="S10" s="35" t="str">
        <f>IF($E7="RPX-T",SUM(AL10,AK21,AM42,AO42,AQ42),"0")</f>
        <v>0</v>
      </c>
      <c r="T10" s="35" t="str">
        <f>IF($E7="RPX-T",SUM(AN42,AP42,AR42),"0")</f>
        <v>0</v>
      </c>
      <c r="U10" s="35">
        <f>IF($E7="EUC",SUM(AK10,AL21,AM42,AO42,AQ42),"0")</f>
        <v>1</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1</v>
      </c>
      <c r="AL10" s="109" t="str">
        <f>IF($E7="RPX-T",COUNTIFS($C17:$C41,"FST",$E17:$E41,"12"),"0")</f>
        <v>0</v>
      </c>
    </row>
    <row r="11" spans="1:53" ht="16.5" customHeight="1" thickTop="1" thickBot="1" x14ac:dyDescent="0.3">
      <c r="A11" s="88"/>
      <c r="B11" s="36" t="s">
        <v>249</v>
      </c>
      <c r="C11" s="30">
        <v>0</v>
      </c>
      <c r="D11" s="49" t="s">
        <v>250</v>
      </c>
      <c r="E11" s="50">
        <f>E8/12</f>
        <v>18</v>
      </c>
      <c r="F11" s="88"/>
      <c r="G11" s="277" t="s">
        <v>251</v>
      </c>
      <c r="H11" s="51" t="s">
        <v>252</v>
      </c>
      <c r="I11" s="112">
        <f>E10</f>
        <v>625</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816</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192</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764</v>
      </c>
      <c r="E17" s="32">
        <v>12</v>
      </c>
      <c r="F17" s="32" t="s">
        <v>483</v>
      </c>
      <c r="G17" s="68" t="s">
        <v>277</v>
      </c>
      <c r="H17" s="69">
        <f>IF(I17=0,0,I17-(E17-1))</f>
        <v>805</v>
      </c>
      <c r="I17" s="70">
        <f>IF(E17=0,0,I12)</f>
        <v>816</v>
      </c>
      <c r="J17" s="71" t="s">
        <v>278</v>
      </c>
      <c r="K17" s="32"/>
      <c r="L17" s="233"/>
      <c r="M17" s="295"/>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805-816</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12</v>
      </c>
      <c r="F18" s="32"/>
      <c r="G18" s="68" t="s">
        <v>277</v>
      </c>
      <c r="H18" s="69">
        <f t="shared" ref="H18:H41" si="9">IF(E18=0,0,I18-(E18-1))</f>
        <v>793</v>
      </c>
      <c r="I18" s="70">
        <f t="shared" ref="I18:I41" si="10">IF(E18=0,0,H17-1)</f>
        <v>804</v>
      </c>
      <c r="J18" s="73" t="str">
        <f>IF(C18="","--",IF(AND(C18&lt;&gt;"FST",C18&lt;&gt;"TCF",BA17&lt;&gt;0),BA17,"--"))</f>
        <v>--</v>
      </c>
      <c r="K18" s="32"/>
      <c r="L18" s="233"/>
      <c r="M18" s="295" t="s">
        <v>416</v>
      </c>
      <c r="N18" s="295"/>
      <c r="O18" s="295"/>
      <c r="P18" s="295"/>
      <c r="Q18" s="295"/>
      <c r="R18" s="295"/>
      <c r="S18" s="295"/>
      <c r="T18" s="295"/>
      <c r="U18" s="296"/>
      <c r="V18" s="103"/>
      <c r="W18" s="72"/>
      <c r="X18" s="72"/>
      <c r="Y18" s="72"/>
      <c r="Z18" s="45">
        <v>10</v>
      </c>
      <c r="AA18" s="46">
        <v>109</v>
      </c>
      <c r="AB18" s="46">
        <v>120</v>
      </c>
      <c r="AC18" s="72">
        <f t="shared" si="0"/>
        <v>1</v>
      </c>
      <c r="AD18" s="72">
        <f t="shared" si="1"/>
        <v>1</v>
      </c>
      <c r="AE18" s="109" t="str">
        <f t="shared" si="2"/>
        <v>793-804</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24</v>
      </c>
      <c r="F19" s="32"/>
      <c r="G19" s="75" t="s">
        <v>277</v>
      </c>
      <c r="H19" s="69">
        <f t="shared" si="9"/>
        <v>769</v>
      </c>
      <c r="I19" s="70">
        <f t="shared" si="10"/>
        <v>792</v>
      </c>
      <c r="J19" s="73" t="str">
        <f t="shared" ref="J19:J41" si="11">IF(C19="","--",IF(AND(C19&lt;&gt;"FST",C19&lt;&gt;"TCF",BA18&lt;&gt;0),BA18,"--"))</f>
        <v>--</v>
      </c>
      <c r="K19" s="32"/>
      <c r="L19" s="233"/>
      <c r="M19" s="295" t="s">
        <v>412</v>
      </c>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769-792</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144</v>
      </c>
      <c r="F20" s="32"/>
      <c r="G20" s="68" t="s">
        <v>277</v>
      </c>
      <c r="H20" s="69">
        <f t="shared" si="9"/>
        <v>625</v>
      </c>
      <c r="I20" s="70">
        <f t="shared" si="10"/>
        <v>768</v>
      </c>
      <c r="J20" s="73" t="str">
        <f t="shared" si="11"/>
        <v>--</v>
      </c>
      <c r="K20" s="32"/>
      <c r="L20" s="233"/>
      <c r="M20" s="295" t="s">
        <v>404</v>
      </c>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625-768</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193</v>
      </c>
      <c r="X28" s="84"/>
      <c r="Y28" s="78">
        <f>SUM(E17:E28)</f>
        <v>192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193</v>
      </c>
      <c r="X29" s="84"/>
      <c r="Y29" s="78">
        <f>SUM(E17:E29)</f>
        <v>192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193</v>
      </c>
      <c r="X30" s="84"/>
      <c r="Y30" s="78">
        <f>SUM(E17:E30)</f>
        <v>192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193</v>
      </c>
      <c r="X31" s="84"/>
      <c r="Y31" s="78">
        <f>SUM(E17:E31)</f>
        <v>192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193</v>
      </c>
      <c r="X32" s="84"/>
      <c r="Y32" s="78">
        <f>SUM(E17:E32)</f>
        <v>192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193</v>
      </c>
      <c r="X33" s="84"/>
      <c r="Y33" s="78">
        <f>SUM(E17:E33)</f>
        <v>192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193</v>
      </c>
      <c r="X34" s="84"/>
      <c r="Y34" s="78">
        <f>SUM(E17:E34)</f>
        <v>192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193</v>
      </c>
      <c r="X35" s="84"/>
      <c r="Y35" s="78">
        <f>SUM(E17:E35)</f>
        <v>192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193</v>
      </c>
      <c r="X36" s="84"/>
      <c r="Y36" s="78">
        <f>SUM(E17:E36)</f>
        <v>192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193</v>
      </c>
      <c r="X37" s="84"/>
      <c r="Y37" s="78">
        <f>SUM(E17:E37)</f>
        <v>192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193</v>
      </c>
      <c r="X38" s="84"/>
      <c r="Y38" s="78">
        <f>SUM(E17:E38)</f>
        <v>192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193</v>
      </c>
      <c r="X39" s="84"/>
      <c r="Y39" s="78">
        <f>SUM(E17:E39)</f>
        <v>192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193</v>
      </c>
      <c r="X40" s="84"/>
      <c r="Y40" s="78">
        <f>SUM(E17:E40)</f>
        <v>192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192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24</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144</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
      </c>
      <c r="F48" s="88"/>
      <c r="G48" s="300" t="s">
        <v>230</v>
      </c>
      <c r="H48" s="287"/>
      <c r="I48" s="33">
        <f>E49-I47</f>
        <v>0</v>
      </c>
      <c r="J48" s="301" t="s">
        <v>231</v>
      </c>
      <c r="K48" s="302"/>
      <c r="L48" s="34">
        <f>I52</f>
        <v>625</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309" t="s">
        <v>237</v>
      </c>
      <c r="H49" s="310"/>
      <c r="I49" s="35">
        <f>IF(E49=0,0,12-(MOD(I47,12)))</f>
        <v>12</v>
      </c>
      <c r="J49" s="301" t="s">
        <v>238</v>
      </c>
      <c r="K49" s="302"/>
      <c r="L49" s="39">
        <f>I53-I47</f>
        <v>624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77" t="s">
        <v>242</v>
      </c>
      <c r="H50" s="43" t="s">
        <v>243</v>
      </c>
      <c r="I50" s="35">
        <f>IF(E50&lt;&gt;0,1,0)</f>
        <v>0</v>
      </c>
      <c r="J50" s="309" t="s">
        <v>244</v>
      </c>
      <c r="K50" s="310"/>
      <c r="L50" s="44">
        <f>'Cable Calculator'!I3</f>
        <v>1250</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625</v>
      </c>
      <c r="F51" s="88"/>
      <c r="G51" s="278"/>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277" t="s">
        <v>251</v>
      </c>
      <c r="H52" s="51" t="s">
        <v>252</v>
      </c>
      <c r="I52" s="112">
        <f>E51</f>
        <v>625</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768</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144</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502</v>
      </c>
      <c r="D58" s="102"/>
      <c r="E58" s="32">
        <v>144</v>
      </c>
      <c r="F58" s="32"/>
      <c r="G58" s="68" t="s">
        <v>277</v>
      </c>
      <c r="H58" s="69">
        <f>IF(I58=0,0,I58-(E58-1))</f>
        <v>625</v>
      </c>
      <c r="I58" s="70">
        <f>IF(E58=0,0,I53)</f>
        <v>768</v>
      </c>
      <c r="J58" s="71" t="s">
        <v>278</v>
      </c>
      <c r="K58" s="32"/>
      <c r="L58" s="233"/>
      <c r="M58" s="295" t="s">
        <v>405</v>
      </c>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625-768</v>
      </c>
      <c r="AF58" s="109" t="str">
        <f t="shared" ref="AF58:AF82" si="20">IF(C58="Field SPL","N","Y")</f>
        <v>N</v>
      </c>
      <c r="AG58" s="109" t="str">
        <f t="shared" ref="AG58:AG82" si="21">IF(OR(E$48="RPX",E$48="SS"),"A","B")</f>
        <v>B</v>
      </c>
      <c r="AH58" s="109">
        <v>2</v>
      </c>
      <c r="AI58" s="109" t="str">
        <f>IF(E48="SS",COUNTIFS(C58:C82,"TCF",E58:E82,"2"),"")</f>
        <v/>
      </c>
      <c r="AJ58" s="109" t="str">
        <f>IF(E48="RPX",COUNTIFS(C58:C82,"TCF",E58:E82,"2"),"")</f>
        <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c r="D59" s="102"/>
      <c r="E59" s="32"/>
      <c r="F59" s="32"/>
      <c r="G59" s="68" t="s">
        <v>277</v>
      </c>
      <c r="H59" s="69">
        <f t="shared" ref="H59:H82" si="26">IF(E59=0,0,I59-(E59-1))</f>
        <v>0</v>
      </c>
      <c r="I59" s="70">
        <f t="shared" ref="I59:I82" si="27">IF(E59=0,0,H58-1)</f>
        <v>0</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1</v>
      </c>
      <c r="AE59" s="109" t="str">
        <f t="shared" si="19"/>
        <v>0-0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c r="D60" s="102"/>
      <c r="E60" s="32"/>
      <c r="F60" s="32"/>
      <c r="G60" s="75" t="s">
        <v>277</v>
      </c>
      <c r="H60" s="69">
        <f t="shared" si="26"/>
        <v>0</v>
      </c>
      <c r="I60" s="70">
        <f t="shared" si="27"/>
        <v>0</v>
      </c>
      <c r="J60" s="73" t="str">
        <f t="shared" ref="J60:J82" si="28">IF(C60="","--",IF(AND(C60&lt;&gt;"FST",C60&lt;&gt;"TCF",BA59&lt;&gt;0),BA59,"--"))</f>
        <v>--</v>
      </c>
      <c r="K60" s="32"/>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1</v>
      </c>
      <c r="AE60" s="109" t="str">
        <f t="shared" si="19"/>
        <v>0-0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c r="D61" s="102"/>
      <c r="E61" s="32"/>
      <c r="F61" s="32"/>
      <c r="G61" s="68" t="s">
        <v>277</v>
      </c>
      <c r="H61" s="69">
        <f t="shared" si="26"/>
        <v>0</v>
      </c>
      <c r="I61" s="70">
        <f t="shared" si="27"/>
        <v>0</v>
      </c>
      <c r="J61" s="73" t="str">
        <f t="shared" si="28"/>
        <v>--</v>
      </c>
      <c r="K61" s="32"/>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1</v>
      </c>
      <c r="AE61" s="109" t="str">
        <f t="shared" si="19"/>
        <v>0-0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145</v>
      </c>
      <c r="X69" s="84"/>
      <c r="Y69" s="78">
        <f>SUM(E58:E69)</f>
        <v>144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145</v>
      </c>
      <c r="X70" s="84"/>
      <c r="Y70" s="78">
        <f>SUM(E58:E70)</f>
        <v>144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145</v>
      </c>
      <c r="X71" s="84"/>
      <c r="Y71" s="78">
        <f>SUM(E58:E71)</f>
        <v>144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145</v>
      </c>
      <c r="X72" s="84"/>
      <c r="Y72" s="78">
        <f>SUM(E58:E72)</f>
        <v>144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145</v>
      </c>
      <c r="X73" s="84"/>
      <c r="Y73" s="78">
        <f>SUM(E58:E73)</f>
        <v>144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145</v>
      </c>
      <c r="X74" s="84"/>
      <c r="Y74" s="78">
        <f>SUM(E58:E74)</f>
        <v>144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145</v>
      </c>
      <c r="X75" s="84"/>
      <c r="Y75" s="78">
        <f>SUM(E58:E75)</f>
        <v>144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145</v>
      </c>
      <c r="X76" s="84"/>
      <c r="Y76" s="78">
        <f>SUM(E58:E76)</f>
        <v>144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145</v>
      </c>
      <c r="X77" s="84"/>
      <c r="Y77" s="78">
        <f>SUM(E58:E77)</f>
        <v>144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145</v>
      </c>
      <c r="X78" s="84"/>
      <c r="Y78" s="78">
        <f>SUM(E58:E78)</f>
        <v>144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145</v>
      </c>
      <c r="X79" s="84"/>
      <c r="Y79" s="78">
        <f>SUM(E58:E79)</f>
        <v>144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145</v>
      </c>
      <c r="X80" s="84"/>
      <c r="Y80" s="78">
        <f>SUM(E58:E80)</f>
        <v>144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145</v>
      </c>
      <c r="X81" s="84"/>
      <c r="Y81" s="78">
        <f>SUM(E58:E81)</f>
        <v>144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144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25</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144</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0</v>
      </c>
      <c r="J89" s="301" t="s">
        <v>231</v>
      </c>
      <c r="K89" s="302"/>
      <c r="L89" s="34">
        <f>I93</f>
        <v>625</v>
      </c>
      <c r="M89" s="196">
        <v>4</v>
      </c>
      <c r="N89" s="35">
        <f>SUM(AI89,AI100)</f>
        <v>0</v>
      </c>
      <c r="O89" s="35">
        <v>0</v>
      </c>
      <c r="P89" s="35">
        <f>SUM(AJ89,AJ100)</f>
        <v>0</v>
      </c>
      <c r="Q89" s="35">
        <v>0</v>
      </c>
      <c r="R89" s="35">
        <f>COUNTIFS($E99:$E123,"4",$F99:$F123,"Pole",$C99:$C123,"FST")</f>
        <v>4</v>
      </c>
      <c r="S89" s="35">
        <f>SUM(AL89,AK100)</f>
        <v>0</v>
      </c>
      <c r="T89" s="35">
        <v>0</v>
      </c>
      <c r="U89" s="35">
        <f>SUM(AK89,AL100)</f>
        <v>5</v>
      </c>
      <c r="V89" s="35">
        <v>0</v>
      </c>
      <c r="W89" s="34">
        <f>COUNTIFS($E99:$E123,"4",$F99:$F123,"HH",$C99:$C123,"FST")</f>
        <v>1</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5</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309" t="s">
        <v>237</v>
      </c>
      <c r="H90" s="310"/>
      <c r="I90" s="35">
        <f>IF(E90=0,0,12-(MOD(I88,12)))</f>
        <v>12</v>
      </c>
      <c r="J90" s="301" t="s">
        <v>238</v>
      </c>
      <c r="K90" s="302"/>
      <c r="L90" s="39">
        <f>I94-I88</f>
        <v>624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1687</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625</v>
      </c>
      <c r="F92" s="88"/>
      <c r="G92" s="278"/>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1</v>
      </c>
      <c r="S92" s="35" t="str">
        <f>IF($E89="RPX-T",SUM(AL92,AK103,AM124,AO124,AQ124),"0")</f>
        <v>0</v>
      </c>
      <c r="T92" s="35" t="str">
        <f>IF($E89="RPX-T",SUM(AN124,AP124,AR124),"0")</f>
        <v>0</v>
      </c>
      <c r="U92" s="35">
        <f>IF($E89="EUC",SUM(AK92,AL103,AM124,AO124,AQ124),"0")</f>
        <v>7</v>
      </c>
      <c r="V92" s="35">
        <f>IF($E89="EUC",SUM($AN124,AP124,AR124),"0")</f>
        <v>3</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1</v>
      </c>
      <c r="AL92" s="109" t="str">
        <f>IF($E89="RPX-T",COUNTIFS($C99:$C123,"FST",$E99:$E123,"12"),"0")</f>
        <v>0</v>
      </c>
      <c r="BA92" s="227"/>
    </row>
    <row r="93" spans="1:53" ht="16.5" customHeight="1" thickTop="1" thickBot="1" x14ac:dyDescent="0.3">
      <c r="A93" s="88"/>
      <c r="B93" s="36" t="s">
        <v>249</v>
      </c>
      <c r="C93" s="30">
        <v>0</v>
      </c>
      <c r="D93" s="49" t="s">
        <v>250</v>
      </c>
      <c r="E93" s="50">
        <f>E90/12</f>
        <v>12</v>
      </c>
      <c r="F93" s="88"/>
      <c r="G93" s="277" t="s">
        <v>251</v>
      </c>
      <c r="H93" s="51" t="s">
        <v>252</v>
      </c>
      <c r="I93" s="112">
        <f>E92</f>
        <v>625</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768</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144</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735</v>
      </c>
      <c r="E99" s="32">
        <v>4</v>
      </c>
      <c r="F99" s="32" t="s">
        <v>488</v>
      </c>
      <c r="G99" s="68" t="s">
        <v>277</v>
      </c>
      <c r="H99" s="69">
        <f>IF(I99=0,0,I99-(E99-1))</f>
        <v>765</v>
      </c>
      <c r="I99" s="70">
        <f>IF(E99=0,0,I94)</f>
        <v>768</v>
      </c>
      <c r="J99" s="71" t="s">
        <v>278</v>
      </c>
      <c r="K99" s="32"/>
      <c r="L99" s="233"/>
      <c r="M99" s="295" t="s">
        <v>756</v>
      </c>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765-768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765</v>
      </c>
      <c r="E100" s="32">
        <v>2</v>
      </c>
      <c r="F100" s="32" t="s">
        <v>488</v>
      </c>
      <c r="G100" s="68" t="s">
        <v>277</v>
      </c>
      <c r="H100" s="69">
        <f t="shared" ref="H100:H123" si="43">IF(E100=0,0,I100-(E100-1))</f>
        <v>763</v>
      </c>
      <c r="I100" s="70">
        <f t="shared" ref="I100:I123" si="44">IF(E100=0,0,H99-1)</f>
        <v>764</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763-764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6</v>
      </c>
    </row>
    <row r="101" spans="1:53" ht="15.75" thickBot="1" x14ac:dyDescent="0.3">
      <c r="A101" s="88"/>
      <c r="B101" s="74" t="s">
        <v>280</v>
      </c>
      <c r="C101" s="67" t="s">
        <v>484</v>
      </c>
      <c r="D101" s="102" t="s">
        <v>734</v>
      </c>
      <c r="E101" s="32">
        <v>2</v>
      </c>
      <c r="F101" s="32" t="s">
        <v>488</v>
      </c>
      <c r="G101" s="75" t="s">
        <v>277</v>
      </c>
      <c r="H101" s="69">
        <f t="shared" si="43"/>
        <v>761</v>
      </c>
      <c r="I101" s="70">
        <f t="shared" si="44"/>
        <v>762</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761-762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736</v>
      </c>
      <c r="E102" s="32">
        <v>4</v>
      </c>
      <c r="F102" s="32" t="s">
        <v>483</v>
      </c>
      <c r="G102" s="68" t="s">
        <v>277</v>
      </c>
      <c r="H102" s="69">
        <f t="shared" si="43"/>
        <v>757</v>
      </c>
      <c r="I102" s="70">
        <f t="shared" si="44"/>
        <v>760</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757-760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494</v>
      </c>
      <c r="D103" s="102"/>
      <c r="E103" s="32">
        <v>12</v>
      </c>
      <c r="F103" s="32"/>
      <c r="G103" s="68" t="s">
        <v>277</v>
      </c>
      <c r="H103" s="69">
        <f t="shared" si="43"/>
        <v>745</v>
      </c>
      <c r="I103" s="70">
        <f t="shared" si="44"/>
        <v>756</v>
      </c>
      <c r="J103" s="73" t="str">
        <f t="shared" si="45"/>
        <v>--</v>
      </c>
      <c r="K103" s="32"/>
      <c r="L103" s="233"/>
      <c r="M103" s="295" t="s">
        <v>406</v>
      </c>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745-756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1</v>
      </c>
      <c r="AN103" s="109">
        <f t="shared" si="40"/>
        <v>0</v>
      </c>
      <c r="AO103" s="109" t="str">
        <f t="shared" si="41"/>
        <v/>
      </c>
      <c r="AQ103" s="109" t="str">
        <f t="shared" si="42"/>
        <v/>
      </c>
      <c r="BA103" s="229">
        <f>MOD(SUM(E99:E104),12)</f>
        <v>0</v>
      </c>
    </row>
    <row r="104" spans="1:53" ht="15.75" thickBot="1" x14ac:dyDescent="0.3">
      <c r="A104" s="88"/>
      <c r="B104" s="66" t="s">
        <v>283</v>
      </c>
      <c r="C104" s="67" t="s">
        <v>499</v>
      </c>
      <c r="D104" s="102"/>
      <c r="E104" s="32">
        <v>12</v>
      </c>
      <c r="F104" s="32"/>
      <c r="G104" s="68" t="s">
        <v>277</v>
      </c>
      <c r="H104" s="69">
        <f t="shared" si="43"/>
        <v>733</v>
      </c>
      <c r="I104" s="70">
        <f t="shared" si="44"/>
        <v>744</v>
      </c>
      <c r="J104" s="73" t="str">
        <f t="shared" si="45"/>
        <v>--</v>
      </c>
      <c r="K104" s="32"/>
      <c r="L104" s="233"/>
      <c r="M104" s="295" t="s">
        <v>407</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733-744</v>
      </c>
      <c r="AF104" s="109" t="str">
        <f t="shared" si="37"/>
        <v>Y</v>
      </c>
      <c r="AG104" s="109" t="str">
        <f t="shared" si="38"/>
        <v>B</v>
      </c>
      <c r="AM104" s="109">
        <f t="shared" si="39"/>
        <v>0.5</v>
      </c>
      <c r="AN104" s="109">
        <f t="shared" si="40"/>
        <v>0.5</v>
      </c>
      <c r="AO104" s="109" t="str">
        <f t="shared" si="41"/>
        <v/>
      </c>
      <c r="AQ104" s="109" t="str">
        <f t="shared" si="42"/>
        <v/>
      </c>
      <c r="BA104" s="229">
        <f>MOD(SUM(E99:E105),12)</f>
        <v>0</v>
      </c>
    </row>
    <row r="105" spans="1:53" ht="15.75" thickBot="1" x14ac:dyDescent="0.3">
      <c r="A105" s="88"/>
      <c r="B105" s="66" t="s">
        <v>284</v>
      </c>
      <c r="C105" s="67" t="s">
        <v>499</v>
      </c>
      <c r="D105" s="102"/>
      <c r="E105" s="32">
        <v>12</v>
      </c>
      <c r="F105" s="32"/>
      <c r="G105" s="68" t="s">
        <v>277</v>
      </c>
      <c r="H105" s="69">
        <f t="shared" si="43"/>
        <v>721</v>
      </c>
      <c r="I105" s="70">
        <f t="shared" si="44"/>
        <v>732</v>
      </c>
      <c r="J105" s="73" t="str">
        <f t="shared" si="45"/>
        <v>--</v>
      </c>
      <c r="K105" s="32"/>
      <c r="L105" s="233"/>
      <c r="M105" s="295" t="s">
        <v>407</v>
      </c>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721-732</v>
      </c>
      <c r="AF105" s="109" t="str">
        <f t="shared" si="37"/>
        <v>Y</v>
      </c>
      <c r="AG105" s="109" t="str">
        <f t="shared" si="38"/>
        <v>B</v>
      </c>
      <c r="AM105" s="109">
        <f t="shared" si="39"/>
        <v>0.5</v>
      </c>
      <c r="AN105" s="109">
        <f t="shared" si="40"/>
        <v>0.5</v>
      </c>
      <c r="AO105" s="109" t="str">
        <f t="shared" si="41"/>
        <v/>
      </c>
      <c r="AQ105" s="109" t="str">
        <f t="shared" si="42"/>
        <v/>
      </c>
      <c r="BA105" s="229">
        <f>MOD(SUM(E99:E106),12)</f>
        <v>4</v>
      </c>
    </row>
    <row r="106" spans="1:53" ht="15.75" thickBot="1" x14ac:dyDescent="0.3">
      <c r="A106" s="88"/>
      <c r="B106" s="66" t="s">
        <v>285</v>
      </c>
      <c r="C106" s="67" t="s">
        <v>484</v>
      </c>
      <c r="D106" s="102" t="s">
        <v>750</v>
      </c>
      <c r="E106" s="32">
        <v>4</v>
      </c>
      <c r="F106" s="32" t="s">
        <v>483</v>
      </c>
      <c r="G106" s="68" t="s">
        <v>277</v>
      </c>
      <c r="H106" s="69">
        <f t="shared" si="43"/>
        <v>717</v>
      </c>
      <c r="I106" s="70">
        <f t="shared" si="44"/>
        <v>720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0</v>
      </c>
      <c r="AE106" s="109" t="str">
        <f t="shared" si="36"/>
        <v>717-720</v>
      </c>
      <c r="AF106" s="109" t="str">
        <f t="shared" si="37"/>
        <v>Y</v>
      </c>
      <c r="AG106" s="109" t="str">
        <f t="shared" si="38"/>
        <v>B</v>
      </c>
      <c r="AM106" s="109">
        <f t="shared" si="39"/>
        <v>0</v>
      </c>
      <c r="AN106" s="109">
        <f t="shared" si="40"/>
        <v>0</v>
      </c>
      <c r="AO106" s="109" t="str">
        <f t="shared" si="41"/>
        <v/>
      </c>
      <c r="AQ106" s="109" t="str">
        <f t="shared" si="42"/>
        <v/>
      </c>
      <c r="BA106" s="229">
        <f>MOD(SUM(E99:E107),12)</f>
        <v>8</v>
      </c>
    </row>
    <row r="107" spans="1:53" ht="15.75" thickBot="1" x14ac:dyDescent="0.3">
      <c r="A107" s="88"/>
      <c r="B107" s="66" t="s">
        <v>286</v>
      </c>
      <c r="C107" s="67" t="s">
        <v>484</v>
      </c>
      <c r="D107" s="102" t="s">
        <v>751</v>
      </c>
      <c r="E107" s="32">
        <v>4</v>
      </c>
      <c r="F107" s="32" t="s">
        <v>483</v>
      </c>
      <c r="G107" s="68" t="s">
        <v>277</v>
      </c>
      <c r="H107" s="69">
        <f t="shared" si="43"/>
        <v>713</v>
      </c>
      <c r="I107" s="70">
        <f t="shared" si="44"/>
        <v>716</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0</v>
      </c>
      <c r="AE107" s="109" t="str">
        <f t="shared" si="36"/>
        <v>713-716</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t="s">
        <v>484</v>
      </c>
      <c r="D108" s="102" t="s">
        <v>752</v>
      </c>
      <c r="E108" s="32">
        <v>4</v>
      </c>
      <c r="F108" s="32" t="s">
        <v>483</v>
      </c>
      <c r="G108" s="68" t="s">
        <v>277</v>
      </c>
      <c r="H108" s="69">
        <f t="shared" si="43"/>
        <v>709</v>
      </c>
      <c r="I108" s="70">
        <f t="shared" si="44"/>
        <v>712</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0</v>
      </c>
      <c r="AE108" s="109" t="str">
        <f t="shared" si="36"/>
        <v>709-712</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t="s">
        <v>494</v>
      </c>
      <c r="D109" s="102"/>
      <c r="E109" s="32">
        <v>12</v>
      </c>
      <c r="F109" s="32"/>
      <c r="G109" s="68" t="s">
        <v>277</v>
      </c>
      <c r="H109" s="69">
        <f t="shared" si="43"/>
        <v>697</v>
      </c>
      <c r="I109" s="70">
        <f t="shared" si="44"/>
        <v>708</v>
      </c>
      <c r="J109" s="73" t="str">
        <f t="shared" si="45"/>
        <v>--</v>
      </c>
      <c r="K109" s="32"/>
      <c r="L109" s="233"/>
      <c r="M109" s="295" t="s">
        <v>408</v>
      </c>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697-708</v>
      </c>
      <c r="AF109" s="109" t="str">
        <f t="shared" si="37"/>
        <v>Y</v>
      </c>
      <c r="AG109" s="109" t="str">
        <f t="shared" si="38"/>
        <v>B</v>
      </c>
      <c r="AM109" s="109">
        <f t="shared" si="39"/>
        <v>1</v>
      </c>
      <c r="AN109" s="109">
        <f t="shared" si="40"/>
        <v>0</v>
      </c>
      <c r="AO109" s="109" t="str">
        <f t="shared" si="41"/>
        <v/>
      </c>
      <c r="AQ109" s="109" t="str">
        <f t="shared" si="42"/>
        <v/>
      </c>
      <c r="BA109" s="229">
        <f>MOD(SUM(E99:E110),12)</f>
        <v>0</v>
      </c>
    </row>
    <row r="110" spans="1:53" ht="15.75" thickBot="1" x14ac:dyDescent="0.3">
      <c r="A110" s="88"/>
      <c r="B110" s="66" t="s">
        <v>289</v>
      </c>
      <c r="C110" s="67" t="s">
        <v>484</v>
      </c>
      <c r="D110" s="102" t="s">
        <v>768</v>
      </c>
      <c r="E110" s="32">
        <v>12</v>
      </c>
      <c r="F110" s="32" t="s">
        <v>483</v>
      </c>
      <c r="G110" s="68" t="s">
        <v>277</v>
      </c>
      <c r="H110" s="69">
        <f t="shared" si="43"/>
        <v>685</v>
      </c>
      <c r="I110" s="70">
        <f t="shared" si="44"/>
        <v>696</v>
      </c>
      <c r="J110" s="73" t="str">
        <f t="shared" si="45"/>
        <v>--</v>
      </c>
      <c r="K110" s="32"/>
      <c r="L110" s="233"/>
      <c r="M110" s="295"/>
      <c r="N110" s="295"/>
      <c r="O110" s="295"/>
      <c r="P110" s="295"/>
      <c r="Q110" s="295"/>
      <c r="R110" s="295"/>
      <c r="S110" s="295"/>
      <c r="T110" s="295"/>
      <c r="U110" s="296"/>
      <c r="V110" s="103"/>
      <c r="W110" s="84">
        <f>Y110+1</f>
        <v>85</v>
      </c>
      <c r="X110" s="84"/>
      <c r="Y110" s="78">
        <f>SUM(E99:E110)</f>
        <v>84</v>
      </c>
      <c r="Z110" s="72"/>
      <c r="AA110" s="72"/>
      <c r="AB110" s="72"/>
      <c r="AC110" s="72">
        <f t="shared" si="34"/>
        <v>1</v>
      </c>
      <c r="AD110" s="72">
        <f t="shared" si="35"/>
        <v>0</v>
      </c>
      <c r="AE110" s="109" t="str">
        <f t="shared" si="36"/>
        <v>685-696</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t="s">
        <v>499</v>
      </c>
      <c r="D111" s="102"/>
      <c r="E111" s="32">
        <v>12</v>
      </c>
      <c r="F111" s="32"/>
      <c r="G111" s="68" t="s">
        <v>277</v>
      </c>
      <c r="H111" s="69">
        <f t="shared" si="43"/>
        <v>673</v>
      </c>
      <c r="I111" s="70">
        <f t="shared" si="44"/>
        <v>684</v>
      </c>
      <c r="J111" s="73" t="str">
        <f t="shared" si="45"/>
        <v>--</v>
      </c>
      <c r="K111" s="32"/>
      <c r="L111" s="233"/>
      <c r="M111" s="295" t="s">
        <v>409</v>
      </c>
      <c r="N111" s="295"/>
      <c r="O111" s="295"/>
      <c r="P111" s="295"/>
      <c r="Q111" s="295"/>
      <c r="R111" s="295"/>
      <c r="S111" s="295"/>
      <c r="T111" s="295"/>
      <c r="U111" s="296"/>
      <c r="V111" s="103"/>
      <c r="W111" s="84">
        <f>Y111+1</f>
        <v>97</v>
      </c>
      <c r="X111" s="84"/>
      <c r="Y111" s="78">
        <f>SUM(E99:E111)</f>
        <v>96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673-684</v>
      </c>
      <c r="AF111" s="109" t="str">
        <f t="shared" si="37"/>
        <v>Y</v>
      </c>
      <c r="AG111" s="109" t="str">
        <f t="shared" si="38"/>
        <v>B</v>
      </c>
      <c r="AM111" s="109">
        <f t="shared" si="39"/>
        <v>0.5</v>
      </c>
      <c r="AN111" s="109">
        <f t="shared" si="40"/>
        <v>0.5</v>
      </c>
      <c r="AO111" s="109" t="str">
        <f t="shared" si="41"/>
        <v/>
      </c>
      <c r="AQ111" s="109" t="str">
        <f t="shared" si="42"/>
        <v/>
      </c>
      <c r="BA111" s="229">
        <f>MOD(SUM(E99:E112),12)</f>
        <v>0</v>
      </c>
    </row>
    <row r="112" spans="1:53" ht="15.75" thickBot="1" x14ac:dyDescent="0.3">
      <c r="A112" s="88"/>
      <c r="B112" s="66" t="s">
        <v>291</v>
      </c>
      <c r="C112" s="67" t="s">
        <v>499</v>
      </c>
      <c r="D112" s="102"/>
      <c r="E112" s="32">
        <v>12</v>
      </c>
      <c r="F112" s="32"/>
      <c r="G112" s="68" t="s">
        <v>277</v>
      </c>
      <c r="H112" s="69">
        <f t="shared" si="43"/>
        <v>661</v>
      </c>
      <c r="I112" s="70">
        <f t="shared" si="44"/>
        <v>672</v>
      </c>
      <c r="J112" s="73" t="str">
        <f t="shared" si="45"/>
        <v>--</v>
      </c>
      <c r="K112" s="32"/>
      <c r="L112" s="233"/>
      <c r="M112" s="295" t="s">
        <v>409</v>
      </c>
      <c r="N112" s="295"/>
      <c r="O112" s="295"/>
      <c r="P112" s="295"/>
      <c r="Q112" s="295"/>
      <c r="R112" s="295"/>
      <c r="S112" s="295"/>
      <c r="T112" s="295"/>
      <c r="U112" s="296"/>
      <c r="V112" s="103"/>
      <c r="W112" s="84">
        <f>Y112+1</f>
        <v>109</v>
      </c>
      <c r="X112" s="84"/>
      <c r="Y112" s="78">
        <f>SUM(E99:E112)</f>
        <v>108</v>
      </c>
      <c r="Z112" s="72" t="str">
        <f t="shared" si="48"/>
        <v/>
      </c>
      <c r="AA112" s="72"/>
      <c r="AB112" s="72"/>
      <c r="AC112" s="72">
        <f t="shared" si="34"/>
        <v>1</v>
      </c>
      <c r="AD112" s="72">
        <f t="shared" si="35"/>
        <v>1</v>
      </c>
      <c r="AE112" s="109" t="str">
        <f t="shared" si="36"/>
        <v>661-672</v>
      </c>
      <c r="AF112" s="109" t="str">
        <f t="shared" si="37"/>
        <v>Y</v>
      </c>
      <c r="AG112" s="109" t="str">
        <f t="shared" si="38"/>
        <v>B</v>
      </c>
      <c r="AM112" s="109">
        <f t="shared" si="39"/>
        <v>0.5</v>
      </c>
      <c r="AN112" s="109">
        <f t="shared" si="40"/>
        <v>0.5</v>
      </c>
      <c r="AO112" s="109" t="str">
        <f t="shared" si="41"/>
        <v/>
      </c>
      <c r="AQ112" s="109" t="str">
        <f t="shared" si="42"/>
        <v/>
      </c>
      <c r="BA112" s="229">
        <f>MOD(SUM(E99:E113),12)</f>
        <v>0</v>
      </c>
    </row>
    <row r="113" spans="1:53" ht="15.75" thickBot="1" x14ac:dyDescent="0.3">
      <c r="A113" s="88"/>
      <c r="B113" s="66" t="s">
        <v>292</v>
      </c>
      <c r="C113" s="67" t="s">
        <v>500</v>
      </c>
      <c r="D113" s="102"/>
      <c r="E113" s="32">
        <v>12</v>
      </c>
      <c r="F113" s="32"/>
      <c r="G113" s="68" t="s">
        <v>277</v>
      </c>
      <c r="H113" s="69">
        <f t="shared" si="43"/>
        <v>649</v>
      </c>
      <c r="I113" s="70">
        <f t="shared" si="44"/>
        <v>660</v>
      </c>
      <c r="J113" s="73" t="str">
        <f t="shared" si="45"/>
        <v>--</v>
      </c>
      <c r="K113" s="32"/>
      <c r="L113" s="233"/>
      <c r="M113" s="295" t="s">
        <v>410</v>
      </c>
      <c r="N113" s="295"/>
      <c r="O113" s="295"/>
      <c r="P113" s="295"/>
      <c r="Q113" s="295"/>
      <c r="R113" s="295"/>
      <c r="S113" s="295"/>
      <c r="T113" s="295"/>
      <c r="U113" s="296"/>
      <c r="V113" s="103"/>
      <c r="W113" s="84">
        <f>Y113+1</f>
        <v>121</v>
      </c>
      <c r="X113" s="84"/>
      <c r="Y113" s="78">
        <f>SUM(E99:E113)</f>
        <v>120</v>
      </c>
      <c r="Z113" s="72" t="str">
        <f t="shared" si="48"/>
        <v/>
      </c>
      <c r="AA113" s="72" t="str">
        <f t="shared" ref="AA113:AA125" si="49">IF(AND(C111&lt;&gt;"Field SPL",W110&lt;=144,Y111&gt;144),"ERROR","")</f>
        <v/>
      </c>
      <c r="AB113" s="72"/>
      <c r="AC113" s="72">
        <f t="shared" si="34"/>
        <v>1</v>
      </c>
      <c r="AD113" s="72">
        <f t="shared" si="35"/>
        <v>1</v>
      </c>
      <c r="AE113" s="109" t="str">
        <f t="shared" si="36"/>
        <v>649-660</v>
      </c>
      <c r="AF113" s="109" t="str">
        <f t="shared" si="37"/>
        <v>Y</v>
      </c>
      <c r="AG113" s="109" t="str">
        <f t="shared" si="38"/>
        <v>B</v>
      </c>
      <c r="AM113" s="109">
        <f t="shared" si="39"/>
        <v>0</v>
      </c>
      <c r="AN113" s="109">
        <f t="shared" si="40"/>
        <v>0</v>
      </c>
      <c r="AO113" s="109" t="str">
        <f t="shared" si="41"/>
        <v>Y</v>
      </c>
      <c r="AQ113" s="109" t="str">
        <f t="shared" si="42"/>
        <v/>
      </c>
      <c r="BA113" s="229">
        <f>MOD(SUM(E99:E114),12)</f>
        <v>0</v>
      </c>
    </row>
    <row r="114" spans="1:53" ht="15.75" thickBot="1" x14ac:dyDescent="0.3">
      <c r="A114" s="88"/>
      <c r="B114" s="66" t="s">
        <v>293</v>
      </c>
      <c r="C114" s="67" t="s">
        <v>500</v>
      </c>
      <c r="D114" s="102"/>
      <c r="E114" s="32">
        <v>12</v>
      </c>
      <c r="F114" s="32"/>
      <c r="G114" s="68" t="s">
        <v>277</v>
      </c>
      <c r="H114" s="69">
        <f t="shared" si="43"/>
        <v>637</v>
      </c>
      <c r="I114" s="70">
        <f t="shared" si="44"/>
        <v>648</v>
      </c>
      <c r="J114" s="73" t="str">
        <f t="shared" si="45"/>
        <v>--</v>
      </c>
      <c r="K114" s="32"/>
      <c r="L114" s="233"/>
      <c r="M114" s="295" t="s">
        <v>410</v>
      </c>
      <c r="N114" s="295"/>
      <c r="O114" s="295"/>
      <c r="P114" s="295"/>
      <c r="Q114" s="295"/>
      <c r="R114" s="295"/>
      <c r="S114" s="295"/>
      <c r="T114" s="295"/>
      <c r="U114" s="296"/>
      <c r="V114" s="103"/>
      <c r="W114" s="84">
        <f t="shared" ref="W114:W122" si="50">Y114+1</f>
        <v>133</v>
      </c>
      <c r="X114" s="84"/>
      <c r="Y114" s="78">
        <f>SUM(E99:E114)</f>
        <v>132</v>
      </c>
      <c r="Z114" s="72" t="str">
        <f t="shared" si="48"/>
        <v/>
      </c>
      <c r="AA114" s="72" t="str">
        <f t="shared" si="49"/>
        <v/>
      </c>
      <c r="AB114" s="72"/>
      <c r="AC114" s="72">
        <f t="shared" si="34"/>
        <v>1</v>
      </c>
      <c r="AD114" s="72">
        <f t="shared" si="35"/>
        <v>1</v>
      </c>
      <c r="AE114" s="109" t="str">
        <f t="shared" si="36"/>
        <v>637-648</v>
      </c>
      <c r="AF114" s="109" t="str">
        <f t="shared" si="37"/>
        <v>Y</v>
      </c>
      <c r="AG114" s="109" t="str">
        <f t="shared" si="38"/>
        <v>B</v>
      </c>
      <c r="AM114" s="109">
        <f t="shared" si="39"/>
        <v>0</v>
      </c>
      <c r="AN114" s="109">
        <f t="shared" si="40"/>
        <v>0</v>
      </c>
      <c r="AO114" s="109" t="str">
        <f t="shared" si="41"/>
        <v>Y</v>
      </c>
      <c r="AQ114" s="109" t="str">
        <f t="shared" si="42"/>
        <v/>
      </c>
      <c r="BA114" s="229">
        <f>MOD(SUM(E99:E115),12)</f>
        <v>0</v>
      </c>
    </row>
    <row r="115" spans="1:53" ht="15.75" thickBot="1" x14ac:dyDescent="0.3">
      <c r="A115" s="88"/>
      <c r="B115" s="66" t="s">
        <v>294</v>
      </c>
      <c r="C115" s="67" t="s">
        <v>500</v>
      </c>
      <c r="D115" s="102"/>
      <c r="E115" s="32">
        <v>12</v>
      </c>
      <c r="F115" s="32"/>
      <c r="G115" s="68" t="s">
        <v>277</v>
      </c>
      <c r="H115" s="69">
        <f t="shared" si="43"/>
        <v>625</v>
      </c>
      <c r="I115" s="70">
        <f t="shared" si="44"/>
        <v>636</v>
      </c>
      <c r="J115" s="73" t="str">
        <f t="shared" si="45"/>
        <v>--</v>
      </c>
      <c r="K115" s="32"/>
      <c r="L115" s="233"/>
      <c r="M115" s="295" t="s">
        <v>410</v>
      </c>
      <c r="N115" s="295"/>
      <c r="O115" s="295"/>
      <c r="P115" s="295"/>
      <c r="Q115" s="295"/>
      <c r="R115" s="295"/>
      <c r="S115" s="295"/>
      <c r="T115" s="295"/>
      <c r="U115" s="296"/>
      <c r="V115" s="103"/>
      <c r="W115" s="84">
        <f t="shared" si="50"/>
        <v>145</v>
      </c>
      <c r="X115" s="84"/>
      <c r="Y115" s="78">
        <f>SUM(E99:E115)</f>
        <v>144</v>
      </c>
      <c r="Z115" s="72" t="str">
        <f t="shared" si="48"/>
        <v/>
      </c>
      <c r="AA115" s="72" t="str">
        <f t="shared" si="49"/>
        <v/>
      </c>
      <c r="AB115" s="72"/>
      <c r="AC115" s="72">
        <f t="shared" si="34"/>
        <v>1</v>
      </c>
      <c r="AD115" s="72">
        <f t="shared" si="35"/>
        <v>1</v>
      </c>
      <c r="AE115" s="109" t="str">
        <f t="shared" si="36"/>
        <v>625-636</v>
      </c>
      <c r="AF115" s="109" t="str">
        <f t="shared" si="37"/>
        <v>Y</v>
      </c>
      <c r="AG115" s="109" t="str">
        <f t="shared" si="38"/>
        <v>B</v>
      </c>
      <c r="AM115" s="109">
        <f t="shared" si="39"/>
        <v>0</v>
      </c>
      <c r="AN115" s="109">
        <f t="shared" si="40"/>
        <v>0</v>
      </c>
      <c r="AO115" s="109" t="str">
        <f t="shared" si="41"/>
        <v>Y</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145</v>
      </c>
      <c r="X116" s="84"/>
      <c r="Y116" s="78">
        <f>SUM(E99:E116)</f>
        <v>144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145</v>
      </c>
      <c r="X117" s="84"/>
      <c r="Y117" s="78">
        <f>SUM(E99:E117)</f>
        <v>144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145</v>
      </c>
      <c r="X118" s="84"/>
      <c r="Y118" s="78">
        <f>SUM(E99:E118)</f>
        <v>144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145</v>
      </c>
      <c r="X119" s="84"/>
      <c r="Y119" s="78">
        <f>SUM(E99:E119)</f>
        <v>144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145</v>
      </c>
      <c r="X120" s="84"/>
      <c r="Y120" s="78">
        <f>SUM(E99:E120)</f>
        <v>144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145</v>
      </c>
      <c r="X121" s="84"/>
      <c r="Y121" s="78">
        <f>SUM(E99:E121)</f>
        <v>144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145</v>
      </c>
      <c r="X122" s="84"/>
      <c r="Y122" s="78">
        <f>SUM(E99:E122)</f>
        <v>144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144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17</v>
      </c>
      <c r="AM124" s="109">
        <f>SUM(AM99:AM123)</f>
        <v>4</v>
      </c>
      <c r="AN124" s="109">
        <f>SUM(AN99:AN123)</f>
        <v>2</v>
      </c>
      <c r="AO124" s="109">
        <f>((COUNTIF(AO99:AO123,"Y")/3)*2)</f>
        <v>2</v>
      </c>
      <c r="AP124" s="109">
        <f>(COUNTIF(AO99:AO123,"Y")/3)</f>
        <v>1</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1</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0" t="s">
        <v>230</v>
      </c>
      <c r="H130" s="287"/>
      <c r="I130" s="33">
        <f>E131-I129</f>
        <v>12</v>
      </c>
      <c r="J130" s="301" t="s">
        <v>231</v>
      </c>
      <c r="K130" s="302"/>
      <c r="L130" s="34">
        <f>I134</f>
        <v>745</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744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265</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745</v>
      </c>
      <c r="F133" s="88"/>
      <c r="G133" s="278"/>
      <c r="H133" s="47" t="s">
        <v>248</v>
      </c>
      <c r="I133" s="35">
        <f>IF(E132&lt;&gt;0,E132,0)</f>
        <v>12</v>
      </c>
      <c r="J133" s="194"/>
      <c r="K133" s="195"/>
      <c r="L133" s="48"/>
      <c r="M133" s="196">
        <v>12</v>
      </c>
      <c r="N133" s="35" t="str">
        <f>IF($E130="SS",SUM(AI133,AJ144,AM165,AO165,AQ165),"0")</f>
        <v>0</v>
      </c>
      <c r="O133" s="35" t="str">
        <f>IF($E130="SS",SUM(AN165,AP165,AR165),"0")</f>
        <v>0</v>
      </c>
      <c r="P133" s="35">
        <f>IF($E130="RPX",SUM(AJ133,AJ144,AM165,AO165,AQ165),"0")</f>
        <v>1</v>
      </c>
      <c r="Q133" s="35">
        <f>IF($E130="RPX",SUM(AN165,AP165,AR165),"0")</f>
        <v>0</v>
      </c>
      <c r="R133" s="35">
        <f>COUNTIFS($E140:$E164,"12",$F140:$F164,"Pole",$C140:$C164,"FST")</f>
        <v>1</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1</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745</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756</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737</v>
      </c>
      <c r="E140" s="32">
        <v>12</v>
      </c>
      <c r="F140" s="32" t="s">
        <v>483</v>
      </c>
      <c r="G140" s="68" t="s">
        <v>277</v>
      </c>
      <c r="H140" s="69">
        <f>IF(I140=0,0,I140-(E140-1))</f>
        <v>745</v>
      </c>
      <c r="I140" s="70">
        <f>IF(E140=0,0,I135)</f>
        <v>756</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745-756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c r="D141" s="102"/>
      <c r="E141" s="32"/>
      <c r="F141" s="32"/>
      <c r="G141" s="68" t="s">
        <v>277</v>
      </c>
      <c r="H141" s="69">
        <f t="shared" ref="H141:H164" si="60">IF(E141=0,0,I141-(E141-1))</f>
        <v>0</v>
      </c>
      <c r="I141" s="70">
        <f t="shared" ref="I141:I164" si="61">IF(E141=0,0,H140-1)</f>
        <v>0</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1</v>
      </c>
      <c r="AE141" s="109" t="str">
        <f t="shared" si="53"/>
        <v>0-0</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24</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24</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RPX</v>
      </c>
      <c r="F171" s="88"/>
      <c r="G171" s="300" t="s">
        <v>230</v>
      </c>
      <c r="H171" s="287"/>
      <c r="I171" s="33">
        <f>E172-I170</f>
        <v>0</v>
      </c>
      <c r="J171" s="301" t="s">
        <v>231</v>
      </c>
      <c r="K171" s="302"/>
      <c r="L171" s="34">
        <f>I175</f>
        <v>721</v>
      </c>
      <c r="M171" s="196">
        <v>4</v>
      </c>
      <c r="N171" s="35">
        <f>SUM(AI171,AI182)</f>
        <v>0</v>
      </c>
      <c r="O171" s="35">
        <v>0</v>
      </c>
      <c r="P171" s="35">
        <f>SUM(AJ171,AJ182)</f>
        <v>1</v>
      </c>
      <c r="Q171" s="35">
        <v>0</v>
      </c>
      <c r="R171" s="35">
        <f>COUNTIFS($E181:$E205,"4",$F181:$F205,"Pole",$C181:$C205,"FST")</f>
        <v>1</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f>IF($E171="RPX",COUNTIFS($C181:$C205,"FST",$E181:$E205,"4"),"0")</f>
        <v>1</v>
      </c>
      <c r="AK171" s="109" t="str">
        <f>IF($E171="EUC",COUNTIFS($C181:$C205,"FST",$E181:$E205,"4"),"0")</f>
        <v>0</v>
      </c>
      <c r="AL171" s="109" t="str">
        <f>IF($E171="RPX-T",COUNTIFS($C181:$C205,"FST",$E181:$E205,"4"),"0")</f>
        <v>0</v>
      </c>
      <c r="AS171" s="109" t="str">
        <f>IF(AND(E176="Y",E172=24,E173=0),"Y","N")</f>
        <v>Y</v>
      </c>
      <c r="AT171" s="110" t="s">
        <v>234</v>
      </c>
      <c r="AU171" s="109">
        <f>COUNTIFS($E171,"SS",$AS171,"Y")</f>
        <v>0</v>
      </c>
      <c r="AV171" s="111">
        <f>COUNTIFS($E171,"RPX",$AS171,"Y")</f>
        <v>1</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720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541</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721</v>
      </c>
      <c r="F174" s="88"/>
      <c r="G174" s="278"/>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1</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7" t="s">
        <v>251</v>
      </c>
      <c r="H175" s="51" t="s">
        <v>252</v>
      </c>
      <c r="I175" s="112">
        <f>E174</f>
        <v>721</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744</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494</v>
      </c>
      <c r="D181" s="102"/>
      <c r="E181" s="32">
        <v>12</v>
      </c>
      <c r="F181" s="32"/>
      <c r="G181" s="68" t="s">
        <v>277</v>
      </c>
      <c r="H181" s="69">
        <f>IF(I181=0,0,I181-(E181-1))</f>
        <v>733</v>
      </c>
      <c r="I181" s="70">
        <f>IF(E181=0,0,I176)</f>
        <v>744</v>
      </c>
      <c r="J181" s="71" t="s">
        <v>278</v>
      </c>
      <c r="K181" s="32"/>
      <c r="L181" s="233"/>
      <c r="M181" s="295" t="s">
        <v>411</v>
      </c>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733-744</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1</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484</v>
      </c>
      <c r="D182" s="102" t="s">
        <v>753</v>
      </c>
      <c r="E182" s="32">
        <v>4</v>
      </c>
      <c r="F182" s="32" t="s">
        <v>483</v>
      </c>
      <c r="G182" s="68" t="s">
        <v>277</v>
      </c>
      <c r="H182" s="69">
        <f t="shared" ref="H182:H205" si="77">IF(E182=0,0,I182-(E182-1))</f>
        <v>729</v>
      </c>
      <c r="I182" s="70">
        <f t="shared" ref="I182:I205" si="78">IF(E182=0,0,H181-1)</f>
        <v>732</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729-732</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739</v>
      </c>
      <c r="E183" s="32">
        <v>8</v>
      </c>
      <c r="F183" s="32" t="s">
        <v>483</v>
      </c>
      <c r="G183" s="75" t="s">
        <v>277</v>
      </c>
      <c r="H183" s="69">
        <f t="shared" si="77"/>
        <v>721</v>
      </c>
      <c r="I183" s="70">
        <f t="shared" si="78"/>
        <v>728</v>
      </c>
      <c r="J183" s="73" t="str">
        <f t="shared" ref="J183:J205" si="79">IF(C183="","--",IF(AND(C183&lt;&gt;"FST",C183&lt;&gt;"TCF",BA182&lt;&gt;0),BA182,"--"))</f>
        <v>--</v>
      </c>
      <c r="K183" s="32"/>
      <c r="L183" s="233"/>
      <c r="M183" s="295" t="s">
        <v>756</v>
      </c>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721-728</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23</v>
      </c>
      <c r="AM206" s="109">
        <f>SUM(AM181:AM205)</f>
        <v>1</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12</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1</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0" t="s">
        <v>230</v>
      </c>
      <c r="H212" s="287"/>
      <c r="I212" s="33">
        <f>E213-I211</f>
        <v>12</v>
      </c>
      <c r="J212" s="301" t="s">
        <v>231</v>
      </c>
      <c r="K212" s="302"/>
      <c r="L212" s="34">
        <f>I216</f>
        <v>697</v>
      </c>
      <c r="M212" s="196">
        <v>4</v>
      </c>
      <c r="N212" s="35">
        <f>SUM(AI212,AI223)</f>
        <v>0</v>
      </c>
      <c r="O212" s="35">
        <v>0</v>
      </c>
      <c r="P212" s="35">
        <f>SUM(AJ212,AJ223)</f>
        <v>0</v>
      </c>
      <c r="Q212" s="35">
        <v>0</v>
      </c>
      <c r="R212" s="35">
        <f>COUNTIFS($E222:$E246,"4",$F222:$F246,"Pole",$C222:$C246,"FST")</f>
        <v>1</v>
      </c>
      <c r="S212" s="35">
        <f>SUM(AL212,AK223)</f>
        <v>0</v>
      </c>
      <c r="T212" s="35">
        <v>0</v>
      </c>
      <c r="U212" s="35">
        <f>SUM(AK212,AL223)</f>
        <v>3</v>
      </c>
      <c r="V212" s="35">
        <v>0</v>
      </c>
      <c r="W212" s="34">
        <f>COUNTIFS($E222:$E246,"4",$F222:$F246,"HH",$C222:$C246,"FST")</f>
        <v>2</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f>IF($E212="EUC",COUNTIFS($C222:$C246,"FST",$E222:$E246,"4"),"0")</f>
        <v>3</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309" t="s">
        <v>237</v>
      </c>
      <c r="H213" s="310"/>
      <c r="I213" s="35">
        <f>IF(E213=0,0,12-(MOD(I211,12)))</f>
        <v>12</v>
      </c>
      <c r="J213" s="301" t="s">
        <v>238</v>
      </c>
      <c r="K213" s="302"/>
      <c r="L213" s="39">
        <f>I217-I211</f>
        <v>696</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277" t="s">
        <v>242</v>
      </c>
      <c r="H214" s="43" t="s">
        <v>243</v>
      </c>
      <c r="I214" s="35">
        <f>IF(E214&lt;&gt;0,1,0)</f>
        <v>1</v>
      </c>
      <c r="J214" s="309" t="s">
        <v>244</v>
      </c>
      <c r="K214" s="310"/>
      <c r="L214" s="44">
        <f>'Cable Calculator'!AC3</f>
        <v>697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697</v>
      </c>
      <c r="F215" s="88"/>
      <c r="G215" s="278"/>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277" t="s">
        <v>251</v>
      </c>
      <c r="H216" s="51" t="s">
        <v>252</v>
      </c>
      <c r="I216" s="112">
        <f>E215</f>
        <v>697</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78"/>
      <c r="H217" s="47" t="s">
        <v>257</v>
      </c>
      <c r="I217" s="35">
        <f>IF(E215="","0",IF(AND(E212="EUC",E213=432), I216+(203-E214),IF(E215=0,0,(E215+(E213-E214)-1))))</f>
        <v>708</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740</v>
      </c>
      <c r="E222" s="32">
        <v>4</v>
      </c>
      <c r="F222" s="32" t="s">
        <v>483</v>
      </c>
      <c r="G222" s="68" t="s">
        <v>277</v>
      </c>
      <c r="H222" s="69">
        <f>IF(I222=0,0,I222-(E222-1))</f>
        <v>705</v>
      </c>
      <c r="I222" s="70">
        <f>IF(E222=0,0,I217)</f>
        <v>708</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705-708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757</v>
      </c>
      <c r="E223" s="32">
        <v>4</v>
      </c>
      <c r="F223" s="32" t="s">
        <v>488</v>
      </c>
      <c r="G223" s="68" t="s">
        <v>277</v>
      </c>
      <c r="H223" s="69">
        <f t="shared" ref="H223:H246" si="94">IF(E223=0,0,I223-(E223-1))</f>
        <v>701</v>
      </c>
      <c r="I223" s="70">
        <f t="shared" ref="I223:I246" si="95">IF(E223=0,0,H222-1)</f>
        <v>704</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0</v>
      </c>
      <c r="AE223" s="109" t="str">
        <f t="shared" si="87"/>
        <v>701-704</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766</v>
      </c>
      <c r="E224" s="32">
        <v>4</v>
      </c>
      <c r="F224" s="32" t="s">
        <v>488</v>
      </c>
      <c r="G224" s="75" t="s">
        <v>277</v>
      </c>
      <c r="H224" s="69">
        <f t="shared" si="94"/>
        <v>697</v>
      </c>
      <c r="I224" s="70">
        <f t="shared" si="95"/>
        <v>700</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0</v>
      </c>
      <c r="AE224" s="109" t="str">
        <f t="shared" si="87"/>
        <v>697-700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22</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24</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0" t="s">
        <v>230</v>
      </c>
      <c r="H253" s="287"/>
      <c r="I253" s="33">
        <f>E254-I252</f>
        <v>0</v>
      </c>
      <c r="J253" s="301" t="s">
        <v>231</v>
      </c>
      <c r="K253" s="302"/>
      <c r="L253" s="34">
        <f>I257</f>
        <v>661</v>
      </c>
      <c r="M253" s="196">
        <v>4</v>
      </c>
      <c r="N253" s="35">
        <f>SUM(AI253,AI264)</f>
        <v>0</v>
      </c>
      <c r="O253" s="35">
        <v>0</v>
      </c>
      <c r="P253" s="35">
        <f>SUM(AJ253,AJ264)</f>
        <v>4</v>
      </c>
      <c r="Q253" s="35">
        <v>0</v>
      </c>
      <c r="R253" s="35">
        <f>COUNTIFS($E263:$E287,"4",$F263:$F287,"Pole",$C263:$C287,"FST")</f>
        <v>4</v>
      </c>
      <c r="S253" s="35">
        <f>SUM(AL253,AK264)</f>
        <v>0</v>
      </c>
      <c r="T253" s="35">
        <v>0</v>
      </c>
      <c r="U253" s="35">
        <f>SUM(AK253,AL264)</f>
        <v>0</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f>IF($E253="RPX",COUNTIFS($C263:$C287,"FST",$E263:$E287,"4"),"0")</f>
        <v>4</v>
      </c>
      <c r="AK253" s="109" t="str">
        <f>IF($E253="EUC",COUNTIFS($C263:$C287,"FST",$E263:$E287,"4"),"0")</f>
        <v>0</v>
      </c>
      <c r="AL253" s="109" t="str">
        <f>IF($E253="RPX-T",COUNTIFS($C263:$C287,"FST",$E263:$E287,"4"),"0")</f>
        <v>0</v>
      </c>
      <c r="AS253" s="109" t="str">
        <f>IF(AND(E258="Y",E254=24,E255=0),"Y","N")</f>
        <v>Y</v>
      </c>
      <c r="AT253" s="110" t="s">
        <v>234</v>
      </c>
      <c r="AU253" s="109">
        <f>COUNTIFS($E253,"SS",$AS253,"Y")</f>
        <v>0</v>
      </c>
      <c r="AV253" s="111">
        <f>COUNTIFS($E253,"RPX",$AS253,"Y")</f>
        <v>1</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309" t="s">
        <v>237</v>
      </c>
      <c r="H254" s="310"/>
      <c r="I254" s="35">
        <f>IF(E254=0,0,12-(MOD(I252,12)))</f>
        <v>12</v>
      </c>
      <c r="J254" s="301" t="s">
        <v>238</v>
      </c>
      <c r="K254" s="302"/>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77" t="s">
        <v>242</v>
      </c>
      <c r="H255" s="43" t="s">
        <v>243</v>
      </c>
      <c r="I255" s="35">
        <f>IF(E255&lt;&gt;0,1,0)</f>
        <v>0</v>
      </c>
      <c r="J255" s="309" t="s">
        <v>244</v>
      </c>
      <c r="K255" s="310"/>
      <c r="L255" s="44">
        <f>'Cable Calculator'!AH3</f>
        <v>366</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278"/>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77" t="s">
        <v>251</v>
      </c>
      <c r="H257" s="51" t="s">
        <v>252</v>
      </c>
      <c r="I257" s="112">
        <f>E256</f>
        <v>661</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78"/>
      <c r="H258" s="47" t="s">
        <v>257</v>
      </c>
      <c r="I258" s="35">
        <f>IF(E256="","0",IF(AND(E253="EUC",E254=432), I257+(203-E255),IF(E256=0,0,(E256+(E254-E255)-1))))</f>
        <v>684</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681</v>
      </c>
      <c r="I263" s="70">
        <f>IF(E263=0,0,I258)</f>
        <v>684</v>
      </c>
      <c r="J263" s="71" t="s">
        <v>278</v>
      </c>
      <c r="K263" s="32">
        <v>200</v>
      </c>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767</v>
      </c>
      <c r="E264" s="32">
        <v>4</v>
      </c>
      <c r="F264" s="32" t="s">
        <v>483</v>
      </c>
      <c r="G264" s="68" t="s">
        <v>277</v>
      </c>
      <c r="H264" s="69">
        <f t="shared" ref="H264:H287" si="111">IF(E264=0,0,I264-(E264-1))</f>
        <v>677</v>
      </c>
      <c r="I264" s="70">
        <f t="shared" ref="I264:I287" si="112">IF(E264=0,0,H263-1)</f>
        <v>680</v>
      </c>
      <c r="J264" s="73" t="str">
        <f>IF(C264="","--",IF(AND(C264&lt;&gt;"FST",C264&lt;&gt;"TCF",BA263&lt;&gt;0),BA263,"--"))</f>
        <v>--</v>
      </c>
      <c r="K264" s="32">
        <v>200</v>
      </c>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741</v>
      </c>
      <c r="E265" s="32">
        <v>4</v>
      </c>
      <c r="F265" s="32" t="s">
        <v>483</v>
      </c>
      <c r="G265" s="75" t="s">
        <v>277</v>
      </c>
      <c r="H265" s="69">
        <f t="shared" si="111"/>
        <v>673</v>
      </c>
      <c r="I265" s="70">
        <f t="shared" si="112"/>
        <v>676</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742</v>
      </c>
      <c r="E266" s="32">
        <v>4</v>
      </c>
      <c r="F266" s="32" t="s">
        <v>483</v>
      </c>
      <c r="G266" s="68" t="s">
        <v>277</v>
      </c>
      <c r="H266" s="69">
        <f t="shared" si="111"/>
        <v>669</v>
      </c>
      <c r="I266" s="70">
        <f t="shared" si="112"/>
        <v>672</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743</v>
      </c>
      <c r="E267" s="32">
        <v>8</v>
      </c>
      <c r="F267" s="32" t="s">
        <v>483</v>
      </c>
      <c r="G267" s="68" t="s">
        <v>277</v>
      </c>
      <c r="H267" s="69">
        <f t="shared" si="111"/>
        <v>661</v>
      </c>
      <c r="I267" s="70">
        <f t="shared" si="112"/>
        <v>668</v>
      </c>
      <c r="J267" s="73" t="str">
        <f t="shared" si="113"/>
        <v>--</v>
      </c>
      <c r="K267" s="32"/>
      <c r="L267" s="233"/>
      <c r="M267" s="295" t="s">
        <v>756</v>
      </c>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36</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12</v>
      </c>
      <c r="J294" s="301" t="s">
        <v>231</v>
      </c>
      <c r="K294" s="302"/>
      <c r="L294" s="34">
        <f>I298</f>
        <v>625</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309" t="s">
        <v>237</v>
      </c>
      <c r="H295" s="310"/>
      <c r="I295" s="35">
        <f>IF(E295=0,0,12-(MOD(I293,12)))</f>
        <v>12</v>
      </c>
      <c r="J295" s="301" t="s">
        <v>238</v>
      </c>
      <c r="K295" s="302"/>
      <c r="L295" s="39">
        <f>I299-I293</f>
        <v>624</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Y</v>
      </c>
      <c r="AT295" s="110" t="s">
        <v>239</v>
      </c>
      <c r="AU295" s="109">
        <f>COUNTIFS($E294,"SS",$AS295,"Y")</f>
        <v>0</v>
      </c>
      <c r="AV295" s="108">
        <f>COUNTIFS($E294,"RPX",$AS295,"Y")</f>
        <v>0</v>
      </c>
      <c r="AW295" s="108">
        <f>COUNTIFS($E294,"EUC",$AS295,"Y")</f>
        <v>1</v>
      </c>
      <c r="AX295" s="109">
        <f>COUNTIFS($E294,"RPX-T",$AS295,"Y")</f>
        <v>0</v>
      </c>
      <c r="BA295" s="227"/>
    </row>
    <row r="296" spans="1:53" ht="16.5" customHeight="1" thickTop="1" thickBot="1" x14ac:dyDescent="0.3">
      <c r="A296" s="88"/>
      <c r="B296" s="40" t="s">
        <v>240</v>
      </c>
      <c r="C296" s="30">
        <v>0</v>
      </c>
      <c r="D296" s="41" t="s">
        <v>241</v>
      </c>
      <c r="E296" s="42">
        <v>12</v>
      </c>
      <c r="F296" s="88"/>
      <c r="G296" s="277" t="s">
        <v>242</v>
      </c>
      <c r="H296" s="43" t="s">
        <v>243</v>
      </c>
      <c r="I296" s="35">
        <f>IF(E296&lt;&gt;0,1,0)</f>
        <v>1</v>
      </c>
      <c r="J296" s="309" t="s">
        <v>244</v>
      </c>
      <c r="K296" s="310"/>
      <c r="L296" s="44">
        <f>'Cable Calculator'!AM3</f>
        <v>835</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625</v>
      </c>
      <c r="F297" s="88"/>
      <c r="G297" s="278"/>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3</v>
      </c>
      <c r="V297" s="35">
        <f>IF($E294="EUC",SUM($AN329,AP329,AR329),"0")</f>
        <v>0</v>
      </c>
      <c r="W297" s="34">
        <f>COUNTIFS($E304:$E328,"12",$F304:$F328,"HH",$C304:$C328,"FST")</f>
        <v>2</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2</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277" t="s">
        <v>251</v>
      </c>
      <c r="H298" s="51" t="s">
        <v>252</v>
      </c>
      <c r="I298" s="112">
        <f>E297</f>
        <v>625</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78"/>
      <c r="H299" s="47" t="s">
        <v>257</v>
      </c>
      <c r="I299" s="35">
        <f>IF(E297="","0",IF(AND(E294="EUC",E295=432), I298+(203-E296),IF(E297=0,0,(E297+(E295-E296)-1))))</f>
        <v>660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36</v>
      </c>
      <c r="D300" s="31" t="s">
        <v>259</v>
      </c>
      <c r="E300" s="101" t="str">
        <f>IF(AS294="Y","DBL",IF(AS295="Y","TRPL",IF(AS296="Y","QUAD","")))</f>
        <v>TRPL</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494</v>
      </c>
      <c r="D304" s="102"/>
      <c r="E304" s="32">
        <v>12</v>
      </c>
      <c r="F304" s="32"/>
      <c r="G304" s="68" t="s">
        <v>277</v>
      </c>
      <c r="H304" s="69">
        <f>IF(I304=0,0,I304-(E304-1))</f>
        <v>649</v>
      </c>
      <c r="I304" s="70">
        <f>IF(E304=0,0,I299)</f>
        <v>660</v>
      </c>
      <c r="J304" s="71" t="s">
        <v>278</v>
      </c>
      <c r="K304" s="32"/>
      <c r="L304" s="233"/>
      <c r="M304" s="295" t="s">
        <v>417</v>
      </c>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649-660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1</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484</v>
      </c>
      <c r="D305" s="102" t="s">
        <v>745</v>
      </c>
      <c r="E305" s="32">
        <v>12</v>
      </c>
      <c r="F305" s="32" t="s">
        <v>488</v>
      </c>
      <c r="G305" s="68" t="s">
        <v>277</v>
      </c>
      <c r="H305" s="69">
        <f t="shared" ref="H305:H328" si="128">IF(E305=0,0,I305-(E305-1))</f>
        <v>637</v>
      </c>
      <c r="I305" s="70">
        <f t="shared" ref="I305:I328" si="129">IF(E305=0,0,H304-1)</f>
        <v>648</v>
      </c>
      <c r="J305" s="73" t="str">
        <f>IF(C305="","--",IF(AND(C305&lt;&gt;"FST",C305&lt;&gt;"TCF",BA304&lt;&gt;0),BA304,"--"))</f>
        <v>--</v>
      </c>
      <c r="K305" s="32"/>
      <c r="L305" s="233"/>
      <c r="M305" s="295" t="s">
        <v>756</v>
      </c>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637-648</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484</v>
      </c>
      <c r="D306" s="102" t="s">
        <v>746</v>
      </c>
      <c r="E306" s="32">
        <v>12</v>
      </c>
      <c r="F306" s="32" t="s">
        <v>488</v>
      </c>
      <c r="G306" s="75" t="s">
        <v>277</v>
      </c>
      <c r="H306" s="69">
        <f t="shared" si="128"/>
        <v>625</v>
      </c>
      <c r="I306" s="70">
        <f t="shared" si="129"/>
        <v>636</v>
      </c>
      <c r="J306" s="73" t="str">
        <f t="shared" ref="J306:J328" si="130">IF(C306="","--",IF(AND(C306&lt;&gt;"FST",C306&lt;&gt;"TCF",BA305&lt;&gt;0),BA305,"--"))</f>
        <v>--</v>
      </c>
      <c r="K306" s="32"/>
      <c r="L306" s="233"/>
      <c r="M306" s="295" t="s">
        <v>756</v>
      </c>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0</v>
      </c>
      <c r="AE306" s="109" t="str">
        <f t="shared" si="121"/>
        <v>625-636</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37</v>
      </c>
      <c r="X315" s="84"/>
      <c r="Y315" s="78">
        <f>SUM(E304:E315)</f>
        <v>36</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37</v>
      </c>
      <c r="X316" s="84"/>
      <c r="Y316" s="78">
        <f>SUM(E304:E316)</f>
        <v>36</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37</v>
      </c>
      <c r="X317" s="84"/>
      <c r="Y317" s="78">
        <f>SUM(E304:E317)</f>
        <v>36</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37</v>
      </c>
      <c r="X318" s="84"/>
      <c r="Y318" s="78">
        <f>SUM(E304:E318)</f>
        <v>36</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37</v>
      </c>
      <c r="X319" s="84"/>
      <c r="Y319" s="78">
        <f>SUM(E304:E319)</f>
        <v>36</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37</v>
      </c>
      <c r="X320" s="84"/>
      <c r="Y320" s="78">
        <f>SUM(E304:E320)</f>
        <v>36</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37</v>
      </c>
      <c r="X321" s="84"/>
      <c r="Y321" s="78">
        <f>SUM(E304:E321)</f>
        <v>36</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37</v>
      </c>
      <c r="X322" s="84"/>
      <c r="Y322" s="78">
        <f>SUM(E304:E322)</f>
        <v>36</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37</v>
      </c>
      <c r="X323" s="84"/>
      <c r="Y323" s="78">
        <f>SUM(E304:E323)</f>
        <v>36</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37</v>
      </c>
      <c r="X324" s="84"/>
      <c r="Y324" s="78">
        <f>SUM(E304:E324)</f>
        <v>36</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37</v>
      </c>
      <c r="X325" s="84"/>
      <c r="Y325" s="78">
        <f>SUM(E304:E325)</f>
        <v>36</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37</v>
      </c>
      <c r="X326" s="84"/>
      <c r="Y326" s="78">
        <f>SUM(E304:E326)</f>
        <v>36</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37</v>
      </c>
      <c r="X327" s="84"/>
      <c r="Y327" s="78">
        <f>SUM(E304:E327)</f>
        <v>36</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36</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23</v>
      </c>
      <c r="AM329" s="109">
        <f>SUM(AM304:AM328)</f>
        <v>1</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12</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0" t="s">
        <v>230</v>
      </c>
      <c r="H335" s="287"/>
      <c r="I335" s="33">
        <f>E336-I334</f>
        <v>12</v>
      </c>
      <c r="J335" s="301" t="s">
        <v>231</v>
      </c>
      <c r="K335" s="302"/>
      <c r="L335" s="34">
        <f>I339</f>
        <v>733</v>
      </c>
      <c r="M335" s="196">
        <v>4</v>
      </c>
      <c r="N335" s="35">
        <f>SUM(AI335,AI346)</f>
        <v>0</v>
      </c>
      <c r="O335" s="35">
        <v>0</v>
      </c>
      <c r="P335" s="35">
        <f>SUM(AJ335,AJ346)</f>
        <v>1</v>
      </c>
      <c r="Q335" s="35">
        <v>0</v>
      </c>
      <c r="R335" s="35">
        <f>COUNTIFS($E345:$E369,"4",$F345:$F369,"Pole",$C345:$C369,"FST")</f>
        <v>1</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f>IF($E335="RPX",COUNTIFS($C345:$C369,"FST",$E345:$E369,"4"),"0")</f>
        <v>1</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732</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7" t="s">
        <v>242</v>
      </c>
      <c r="H337" s="43" t="s">
        <v>243</v>
      </c>
      <c r="I337" s="35">
        <f>IF(E337&lt;&gt;0,1,0)</f>
        <v>1</v>
      </c>
      <c r="J337" s="309" t="s">
        <v>244</v>
      </c>
      <c r="K337" s="310"/>
      <c r="L337" s="44">
        <f>'Cable Calculator'!AR3</f>
        <v>221</v>
      </c>
      <c r="M337" s="196">
        <v>8</v>
      </c>
      <c r="N337" s="35">
        <f>SUM(AI337,AI348)</f>
        <v>0</v>
      </c>
      <c r="O337" s="35">
        <v>0</v>
      </c>
      <c r="P337" s="35">
        <f>SUM(AJ337,AJ348)</f>
        <v>1</v>
      </c>
      <c r="Q337" s="35">
        <v>0</v>
      </c>
      <c r="R337" s="35">
        <f>COUNTIFS($E345:$E369,"8",$F345:$F369,"Pole",$C345:$C369,"FST")</f>
        <v>1</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1</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733</v>
      </c>
      <c r="F338" s="88"/>
      <c r="G338" s="278"/>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7" t="s">
        <v>251</v>
      </c>
      <c r="H339" s="51" t="s">
        <v>252</v>
      </c>
      <c r="I339" s="112">
        <f>E338</f>
        <v>733</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8"/>
      <c r="H340" s="47" t="s">
        <v>257</v>
      </c>
      <c r="I340" s="35">
        <f>IF(E338="","0",IF(AND(E335="EUC",E336=432), I339+(203-E337),IF(E338=0,0,(E338+(E336-E337)-1))))</f>
        <v>744</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738</v>
      </c>
      <c r="E345" s="32">
        <v>8</v>
      </c>
      <c r="F345" s="32" t="s">
        <v>483</v>
      </c>
      <c r="G345" s="68" t="s">
        <v>277</v>
      </c>
      <c r="H345" s="69">
        <f>IF(I345=0,0,I345-(E345-1))</f>
        <v>737</v>
      </c>
      <c r="I345" s="70">
        <f>IF(E345=0,0,I340)</f>
        <v>744</v>
      </c>
      <c r="J345" s="71" t="s">
        <v>278</v>
      </c>
      <c r="K345" s="32"/>
      <c r="L345" s="233"/>
      <c r="M345" s="295" t="s">
        <v>756</v>
      </c>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737-744</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8</v>
      </c>
    </row>
    <row r="346" spans="1:53" ht="15.75" thickBot="1" x14ac:dyDescent="0.3">
      <c r="A346" s="88"/>
      <c r="B346" s="66" t="s">
        <v>279</v>
      </c>
      <c r="C346" s="67" t="s">
        <v>484</v>
      </c>
      <c r="D346" s="102" t="s">
        <v>754</v>
      </c>
      <c r="E346" s="32">
        <v>4</v>
      </c>
      <c r="F346" s="32" t="s">
        <v>483</v>
      </c>
      <c r="G346" s="68" t="s">
        <v>277</v>
      </c>
      <c r="H346" s="69">
        <f t="shared" ref="H346:H369" si="145">IF(E346=0,0,I346-(E346-1))</f>
        <v>733</v>
      </c>
      <c r="I346" s="70">
        <f t="shared" ref="I346:I369" si="146">IF(E346=0,0,H345-1)</f>
        <v>736</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733-736</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24</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2</v>
      </c>
      <c r="V375" s="35">
        <v>0</v>
      </c>
      <c r="W375" s="34">
        <f>COUNTIFS($E386:$E410,"2",$F386:$F410,"HH",$C386:$C410,"FST")</f>
        <v>2</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2</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0" t="s">
        <v>230</v>
      </c>
      <c r="H376" s="287"/>
      <c r="I376" s="33">
        <f>E377-I375</f>
        <v>0</v>
      </c>
      <c r="J376" s="301" t="s">
        <v>231</v>
      </c>
      <c r="K376" s="302"/>
      <c r="L376" s="34">
        <f>I380</f>
        <v>769</v>
      </c>
      <c r="M376" s="196">
        <v>4</v>
      </c>
      <c r="N376" s="35">
        <f>SUM(AI376,AI387)</f>
        <v>0</v>
      </c>
      <c r="O376" s="35">
        <v>0</v>
      </c>
      <c r="P376" s="35">
        <f>SUM(AJ376,AJ387)</f>
        <v>0</v>
      </c>
      <c r="Q376" s="35">
        <v>0</v>
      </c>
      <c r="R376" s="35">
        <f>COUNTIFS($E386:$E410,"4",$F386:$F410,"Pole",$C386:$C410,"FST")</f>
        <v>1</v>
      </c>
      <c r="S376" s="35">
        <f>SUM(AL376,AK387)</f>
        <v>0</v>
      </c>
      <c r="T376" s="35">
        <v>0</v>
      </c>
      <c r="U376" s="35">
        <f>SUM(AK376,AL387)</f>
        <v>1</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1</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09" t="s">
        <v>237</v>
      </c>
      <c r="H377" s="310"/>
      <c r="I377" s="35">
        <f>IF(E377=0,0,12-(MOD(I375,12)))</f>
        <v>12</v>
      </c>
      <c r="J377" s="301" t="s">
        <v>238</v>
      </c>
      <c r="K377" s="302"/>
      <c r="L377" s="39">
        <f>I381-I375</f>
        <v>768</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277" t="s">
        <v>242</v>
      </c>
      <c r="H378" s="43" t="s">
        <v>243</v>
      </c>
      <c r="I378" s="35">
        <f>IF(E378&lt;&gt;0,1,0)</f>
        <v>0</v>
      </c>
      <c r="J378" s="309" t="s">
        <v>244</v>
      </c>
      <c r="K378" s="310"/>
      <c r="L378" s="44">
        <f>'Cable Calculator'!AW3</f>
        <v>1030</v>
      </c>
      <c r="M378" s="196">
        <v>8</v>
      </c>
      <c r="N378" s="35">
        <f>SUM(AI378,AI389)</f>
        <v>0</v>
      </c>
      <c r="O378" s="35">
        <v>0</v>
      </c>
      <c r="P378" s="35">
        <f>SUM(AJ378,AJ389)</f>
        <v>0</v>
      </c>
      <c r="Q378" s="35">
        <v>0</v>
      </c>
      <c r="R378" s="35">
        <f>COUNTIFS($E386:$E410,"8",$F386:$F410,"Pole",$C386:$C410,"FST")</f>
        <v>2</v>
      </c>
      <c r="S378" s="35">
        <f>SUM(AL378,AK389)</f>
        <v>0</v>
      </c>
      <c r="T378" s="35">
        <v>0</v>
      </c>
      <c r="U378" s="35">
        <f>SUM(AK378,AL389)</f>
        <v>2</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2</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769</v>
      </c>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77" t="s">
        <v>251</v>
      </c>
      <c r="H380" s="51" t="s">
        <v>252</v>
      </c>
      <c r="I380" s="112">
        <f>E379</f>
        <v>769</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78"/>
      <c r="H381" s="47" t="s">
        <v>257</v>
      </c>
      <c r="I381" s="35">
        <f>IF(E379="","0",IF(AND(E376="EUC",E377=432), I380+(203-E378),IF(E379=0,0,(E379+(E377-E378)-1))))</f>
        <v>792</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24</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747</v>
      </c>
      <c r="E386" s="32">
        <v>4</v>
      </c>
      <c r="F386" s="32" t="s">
        <v>483</v>
      </c>
      <c r="G386" s="68" t="s">
        <v>277</v>
      </c>
      <c r="H386" s="69">
        <f>IF(I386=0,0,I386-(E386-1))</f>
        <v>789</v>
      </c>
      <c r="I386" s="70">
        <f>IF(E386=0,0,I381)</f>
        <v>792</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789-792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748</v>
      </c>
      <c r="E387" s="32">
        <v>8</v>
      </c>
      <c r="F387" s="32" t="s">
        <v>483</v>
      </c>
      <c r="G387" s="68" t="s">
        <v>277</v>
      </c>
      <c r="H387" s="69">
        <f t="shared" ref="H387:H410" si="162">IF(E387=0,0,I387-(E387-1))</f>
        <v>781</v>
      </c>
      <c r="I387" s="70">
        <f t="shared" ref="I387:I410" si="163">IF(E387=0,0,H386-1)</f>
        <v>788</v>
      </c>
      <c r="J387" s="73" t="str">
        <f>IF(C387="","--",IF(AND(C387&lt;&gt;"FST",C387&lt;&gt;"TCF",BA386&lt;&gt;0),BA386,"--"))</f>
        <v>--</v>
      </c>
      <c r="K387" s="32"/>
      <c r="L387" s="233"/>
      <c r="M387" s="295" t="s">
        <v>756</v>
      </c>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0</v>
      </c>
      <c r="AE387" s="109" t="str">
        <f t="shared" si="155"/>
        <v>781-788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749</v>
      </c>
      <c r="E388" s="32">
        <v>8</v>
      </c>
      <c r="F388" s="32" t="s">
        <v>483</v>
      </c>
      <c r="G388" s="75" t="s">
        <v>277</v>
      </c>
      <c r="H388" s="69">
        <f t="shared" si="162"/>
        <v>773</v>
      </c>
      <c r="I388" s="70">
        <f t="shared" si="163"/>
        <v>780</v>
      </c>
      <c r="J388" s="73" t="str">
        <f t="shared" ref="J388:J410" si="164">IF(C388="","--",IF(AND(C388&lt;&gt;"FST",C388&lt;&gt;"TCF",BA387&lt;&gt;0),BA387,"--"))</f>
        <v>--</v>
      </c>
      <c r="K388" s="32"/>
      <c r="L388" s="233"/>
      <c r="M388" s="295" t="s">
        <v>756</v>
      </c>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0</v>
      </c>
      <c r="AE388" s="109" t="str">
        <f t="shared" si="155"/>
        <v>773-780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10</v>
      </c>
    </row>
    <row r="389" spans="1:53" ht="15.75" thickBot="1" x14ac:dyDescent="0.3">
      <c r="A389" s="88"/>
      <c r="B389" s="66" t="s">
        <v>281</v>
      </c>
      <c r="C389" s="67" t="s">
        <v>484</v>
      </c>
      <c r="D389" s="102" t="s">
        <v>762</v>
      </c>
      <c r="E389" s="32">
        <v>2</v>
      </c>
      <c r="F389" s="32" t="s">
        <v>488</v>
      </c>
      <c r="G389" s="68" t="s">
        <v>277</v>
      </c>
      <c r="H389" s="69">
        <f t="shared" si="162"/>
        <v>771</v>
      </c>
      <c r="I389" s="70">
        <f t="shared" si="163"/>
        <v>772</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0</v>
      </c>
      <c r="AE389" s="109" t="str">
        <f t="shared" si="155"/>
        <v>771-772</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t="s">
        <v>484</v>
      </c>
      <c r="D390" s="102" t="s">
        <v>763</v>
      </c>
      <c r="E390" s="32">
        <v>2</v>
      </c>
      <c r="F390" s="32" t="s">
        <v>488</v>
      </c>
      <c r="G390" s="68" t="s">
        <v>277</v>
      </c>
      <c r="H390" s="69">
        <f t="shared" si="162"/>
        <v>769</v>
      </c>
      <c r="I390" s="70">
        <f t="shared" si="163"/>
        <v>770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769-770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25</v>
      </c>
      <c r="X397" s="84"/>
      <c r="Y397" s="78">
        <f>SUM(E386:E397)</f>
        <v>24</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25</v>
      </c>
      <c r="X398" s="84"/>
      <c r="Y398" s="78">
        <f>SUM(E386:E398)</f>
        <v>24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25</v>
      </c>
      <c r="X399" s="84"/>
      <c r="Y399" s="78">
        <f>SUM(E386:E399)</f>
        <v>24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25</v>
      </c>
      <c r="X400" s="84"/>
      <c r="Y400" s="78">
        <f>SUM(E386:E400)</f>
        <v>24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25</v>
      </c>
      <c r="X401" s="84"/>
      <c r="Y401" s="78">
        <f>SUM(E386:E401)</f>
        <v>24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25</v>
      </c>
      <c r="X402" s="84"/>
      <c r="Y402" s="78">
        <f>SUM(E386:E402)</f>
        <v>24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25</v>
      </c>
      <c r="X403" s="84"/>
      <c r="Y403" s="78">
        <f>SUM(E386:E403)</f>
        <v>24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25</v>
      </c>
      <c r="X404" s="84"/>
      <c r="Y404" s="78">
        <f>SUM(E386:E404)</f>
        <v>24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25</v>
      </c>
      <c r="X405" s="84"/>
      <c r="Y405" s="78">
        <f>SUM(E386:E405)</f>
        <v>24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25</v>
      </c>
      <c r="X406" s="84"/>
      <c r="Y406" s="78">
        <f>SUM(E386:E406)</f>
        <v>24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25</v>
      </c>
      <c r="X407" s="84"/>
      <c r="Y407" s="78">
        <f>SUM(E386:E407)</f>
        <v>24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25</v>
      </c>
      <c r="X408" s="84"/>
      <c r="Y408" s="78">
        <f>SUM(E386:E408)</f>
        <v>24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25</v>
      </c>
      <c r="X409" s="84"/>
      <c r="Y409" s="78">
        <f>SUM(E386:E409)</f>
        <v>24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24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20</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48</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0" t="s">
        <v>230</v>
      </c>
      <c r="H417" s="287"/>
      <c r="I417" s="33">
        <f>E418-I416</f>
        <v>0</v>
      </c>
      <c r="J417" s="301" t="s">
        <v>231</v>
      </c>
      <c r="K417" s="302"/>
      <c r="L417" s="34">
        <f>I421</f>
        <v>817</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48</v>
      </c>
      <c r="F418" s="88"/>
      <c r="G418" s="309" t="s">
        <v>237</v>
      </c>
      <c r="H418" s="310"/>
      <c r="I418" s="35">
        <f>IF(E418=0,0,12-(MOD(I416,12)))</f>
        <v>12</v>
      </c>
      <c r="J418" s="301" t="s">
        <v>238</v>
      </c>
      <c r="K418" s="302"/>
      <c r="L418" s="39">
        <f>I422-I416</f>
        <v>816</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77" t="s">
        <v>242</v>
      </c>
      <c r="H419" s="43" t="s">
        <v>243</v>
      </c>
      <c r="I419" s="35">
        <f>IF(E419&lt;&gt;0,1,0)</f>
        <v>0</v>
      </c>
      <c r="J419" s="309" t="s">
        <v>244</v>
      </c>
      <c r="K419" s="310"/>
      <c r="L419" s="44">
        <f>'Cable Calculator'!BB3</f>
        <v>660</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817</v>
      </c>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1</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4</v>
      </c>
      <c r="F421" s="88"/>
      <c r="G421" s="277" t="s">
        <v>251</v>
      </c>
      <c r="H421" s="51" t="s">
        <v>252</v>
      </c>
      <c r="I421" s="112">
        <f>E420</f>
        <v>817</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78"/>
      <c r="H422" s="47" t="s">
        <v>257</v>
      </c>
      <c r="I422" s="35">
        <f>IF(E420="","0",IF(AND(E417="EUC",E418=432), I421+(203-E419),IF(E420=0,0,(E420+(E418-E419)-1))))</f>
        <v>864</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48</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499</v>
      </c>
      <c r="D427" s="102"/>
      <c r="E427" s="32">
        <v>12</v>
      </c>
      <c r="F427" s="32"/>
      <c r="G427" s="68" t="s">
        <v>277</v>
      </c>
      <c r="H427" s="69">
        <f>IF(I427=0,0,I427-(E427-1))</f>
        <v>853</v>
      </c>
      <c r="I427" s="70">
        <f>IF(E427=0,0,I422)</f>
        <v>864</v>
      </c>
      <c r="J427" s="71" t="s">
        <v>278</v>
      </c>
      <c r="K427" s="32"/>
      <c r="L427" s="233"/>
      <c r="M427" s="295" t="s">
        <v>414</v>
      </c>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853-864</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0.5</v>
      </c>
      <c r="AN427" s="109">
        <f t="shared" ref="AN427:AN451" si="176">VALUE(IF(C427="FST","0",IF(C427="REV T","0",IF(C427="DBL REV",".5","0"))))</f>
        <v>0.5</v>
      </c>
      <c r="AO427" s="109" t="str">
        <f t="shared" ref="AO427:AO451" si="177">IF(C427="TPL REV","Y","")</f>
        <v/>
      </c>
      <c r="AQ427" s="109" t="str">
        <f t="shared" ref="AQ427:AQ451" si="178">IF(C427="QD REV","Y","")</f>
        <v/>
      </c>
      <c r="BA427" s="229">
        <f>MOD(E427,12)</f>
        <v>0</v>
      </c>
    </row>
    <row r="428" spans="1:53" ht="15.75" thickBot="1" x14ac:dyDescent="0.3">
      <c r="A428" s="88"/>
      <c r="B428" s="66" t="s">
        <v>279</v>
      </c>
      <c r="C428" s="67" t="s">
        <v>499</v>
      </c>
      <c r="D428" s="102"/>
      <c r="E428" s="32">
        <v>12</v>
      </c>
      <c r="F428" s="32"/>
      <c r="G428" s="68" t="s">
        <v>277</v>
      </c>
      <c r="H428" s="69">
        <f t="shared" ref="H428:H451" si="179">IF(E428=0,0,I428-(E428-1))</f>
        <v>841</v>
      </c>
      <c r="I428" s="70">
        <f t="shared" ref="I428:I451" si="180">IF(E428=0,0,H427-1)</f>
        <v>852</v>
      </c>
      <c r="J428" s="73" t="str">
        <f>IF(C428="","--",IF(AND(C428&lt;&gt;"FST",C428&lt;&gt;"TCF",BA427&lt;&gt;0),BA427,"--"))</f>
        <v>--</v>
      </c>
      <c r="K428" s="32"/>
      <c r="L428" s="233"/>
      <c r="M428" s="295" t="s">
        <v>414</v>
      </c>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841-852</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0.5</v>
      </c>
      <c r="AN428" s="109">
        <f t="shared" si="176"/>
        <v>0.5</v>
      </c>
      <c r="AO428" s="109" t="str">
        <f t="shared" si="177"/>
        <v/>
      </c>
      <c r="AQ428" s="109" t="str">
        <f t="shared" si="178"/>
        <v/>
      </c>
      <c r="BA428" s="229">
        <f>MOD(SUM(E427:E428),12)</f>
        <v>0</v>
      </c>
    </row>
    <row r="429" spans="1:53" ht="15.75" thickBot="1" x14ac:dyDescent="0.3">
      <c r="A429" s="88"/>
      <c r="B429" s="74" t="s">
        <v>280</v>
      </c>
      <c r="C429" s="67" t="s">
        <v>502</v>
      </c>
      <c r="D429" s="102"/>
      <c r="E429" s="32">
        <v>24</v>
      </c>
      <c r="F429" s="32"/>
      <c r="G429" s="75" t="s">
        <v>277</v>
      </c>
      <c r="H429" s="69">
        <f t="shared" si="179"/>
        <v>817</v>
      </c>
      <c r="I429" s="70">
        <f t="shared" si="180"/>
        <v>840</v>
      </c>
      <c r="J429" s="73" t="str">
        <f t="shared" ref="J429:J451" si="181">IF(C429="","--",IF(AND(C429&lt;&gt;"FST",C429&lt;&gt;"TCF",BA428&lt;&gt;0),BA428,"--"))</f>
        <v>--</v>
      </c>
      <c r="K429" s="32"/>
      <c r="L429" s="233"/>
      <c r="M429" s="295" t="s">
        <v>418</v>
      </c>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817-840</v>
      </c>
      <c r="AF429" s="109" t="str">
        <f t="shared" si="173"/>
        <v>N</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49</v>
      </c>
      <c r="X438" s="84"/>
      <c r="Y438" s="78">
        <f>SUM(E427:E438)</f>
        <v>48</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49</v>
      </c>
      <c r="X439" s="84"/>
      <c r="Y439" s="78">
        <f>SUM(E427:E439)</f>
        <v>48</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49</v>
      </c>
      <c r="X440" s="84"/>
      <c r="Y440" s="78">
        <f>SUM(E427:E440)</f>
        <v>48</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49</v>
      </c>
      <c r="X441" s="84"/>
      <c r="Y441" s="78">
        <f>SUM(E427:E441)</f>
        <v>48</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49</v>
      </c>
      <c r="X442" s="84"/>
      <c r="Y442" s="78">
        <f>SUM(E427:E442)</f>
        <v>48</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49</v>
      </c>
      <c r="X443" s="84"/>
      <c r="Y443" s="78">
        <f>SUM(E427:E443)</f>
        <v>48</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49</v>
      </c>
      <c r="X444" s="84"/>
      <c r="Y444" s="78">
        <f>SUM(E427:E444)</f>
        <v>48</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49</v>
      </c>
      <c r="X445" s="84"/>
      <c r="Y445" s="78">
        <f>SUM(E427:E445)</f>
        <v>48</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49</v>
      </c>
      <c r="X446" s="84"/>
      <c r="Y446" s="78">
        <f>SUM(E427:E446)</f>
        <v>48</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49</v>
      </c>
      <c r="X447" s="84"/>
      <c r="Y447" s="78">
        <f>SUM(E427:E447)</f>
        <v>48</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49</v>
      </c>
      <c r="X448" s="84"/>
      <c r="Y448" s="78">
        <f>SUM(E427:E448)</f>
        <v>48</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49</v>
      </c>
      <c r="X449" s="84"/>
      <c r="Y449" s="78">
        <f>SUM(E427:E449)</f>
        <v>48</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49</v>
      </c>
      <c r="X450" s="84"/>
      <c r="Y450" s="78">
        <f>SUM(E427:E450)</f>
        <v>48</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48</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1</v>
      </c>
      <c r="AN452" s="109">
        <f>SUM(AN427:AN451)</f>
        <v>1</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24</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0" t="s">
        <v>230</v>
      </c>
      <c r="H458" s="287"/>
      <c r="I458" s="33">
        <f>E459-I457</f>
        <v>0</v>
      </c>
      <c r="J458" s="301" t="s">
        <v>231</v>
      </c>
      <c r="K458" s="302"/>
      <c r="L458" s="34">
        <f>I462</f>
        <v>841</v>
      </c>
      <c r="M458" s="196">
        <v>4</v>
      </c>
      <c r="N458" s="35">
        <f>SUM(AI458,AI469)</f>
        <v>0</v>
      </c>
      <c r="O458" s="35">
        <v>0</v>
      </c>
      <c r="P458" s="35">
        <f>SUM(AJ458,AJ469)</f>
        <v>0</v>
      </c>
      <c r="Q458" s="35">
        <v>0</v>
      </c>
      <c r="R458" s="35">
        <f>COUNTIFS($E468:$E492,"4",$F468:$F492,"Pole",$C468:$C492,"FST")</f>
        <v>0</v>
      </c>
      <c r="S458" s="35">
        <f>SUM(AL458,AK469)</f>
        <v>0</v>
      </c>
      <c r="T458" s="35">
        <v>0</v>
      </c>
      <c r="U458" s="35">
        <f>SUM(AK458,AL469)</f>
        <v>3</v>
      </c>
      <c r="V458" s="35">
        <v>0</v>
      </c>
      <c r="W458" s="34">
        <f>COUNTIFS($E468:$E492,"4",$F468:$F492,"HH",$C468:$C492,"FST")</f>
        <v>3</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3</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309" t="s">
        <v>237</v>
      </c>
      <c r="H459" s="310"/>
      <c r="I459" s="35">
        <f>IF(E459=0,0,12-(MOD(I457,12)))</f>
        <v>12</v>
      </c>
      <c r="J459" s="301" t="s">
        <v>238</v>
      </c>
      <c r="K459" s="302"/>
      <c r="L459" s="39">
        <f>I463-I457</f>
        <v>840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77" t="s">
        <v>242</v>
      </c>
      <c r="H460" s="43" t="s">
        <v>243</v>
      </c>
      <c r="I460" s="35">
        <f>IF(E460&lt;&gt;0,1,0)</f>
        <v>0</v>
      </c>
      <c r="J460" s="309" t="s">
        <v>244</v>
      </c>
      <c r="K460" s="310"/>
      <c r="L460" s="44">
        <f>'Cable Calculator'!BG3</f>
        <v>795</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841</v>
      </c>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77" t="s">
        <v>251</v>
      </c>
      <c r="H462" s="51" t="s">
        <v>252</v>
      </c>
      <c r="I462" s="112">
        <f>E461</f>
        <v>841</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78"/>
      <c r="H463" s="47" t="s">
        <v>257</v>
      </c>
      <c r="I463" s="35">
        <f>IF(E461="","0",IF(AND(E458="EUC",E459=432), I462+(203-E460),IF(E461=0,0,(E461+(E459-E460)-1))))</f>
        <v>864</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759</v>
      </c>
      <c r="E468" s="32">
        <v>4</v>
      </c>
      <c r="F468" s="32" t="s">
        <v>488</v>
      </c>
      <c r="G468" s="68" t="s">
        <v>277</v>
      </c>
      <c r="H468" s="69">
        <f>IF(I468=0,0,I468-(E468-1))</f>
        <v>861</v>
      </c>
      <c r="I468" s="70">
        <f>IF(E468=0,0,I463)</f>
        <v>864</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861-864</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760</v>
      </c>
      <c r="E469" s="32">
        <v>4</v>
      </c>
      <c r="F469" s="32" t="s">
        <v>488</v>
      </c>
      <c r="G469" s="68" t="s">
        <v>277</v>
      </c>
      <c r="H469" s="69">
        <f t="shared" ref="H469:H492" si="196">IF(E469=0,0,I469-(E469-1))</f>
        <v>857</v>
      </c>
      <c r="I469" s="70">
        <f t="shared" ref="I469:I492" si="197">IF(E469=0,0,H468-1)</f>
        <v>860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0</v>
      </c>
      <c r="AE469" s="109" t="str">
        <f t="shared" si="189"/>
        <v>857-860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761</v>
      </c>
      <c r="E470" s="32">
        <v>4</v>
      </c>
      <c r="F470" s="32" t="s">
        <v>488</v>
      </c>
      <c r="G470" s="75" t="s">
        <v>277</v>
      </c>
      <c r="H470" s="69">
        <f t="shared" si="196"/>
        <v>853</v>
      </c>
      <c r="I470" s="70">
        <f t="shared" si="197"/>
        <v>856</v>
      </c>
      <c r="J470" s="73" t="str">
        <f t="shared" ref="J470:J492" si="198">IF(C470="","--",IF(AND(C470&lt;&gt;"FST",C470&lt;&gt;"TCF",BA469&lt;&gt;0),BA469,"--"))</f>
        <v>--</v>
      </c>
      <c r="K470" s="32"/>
      <c r="L470" s="233"/>
      <c r="M470" s="295" t="s">
        <v>756</v>
      </c>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0</v>
      </c>
      <c r="AE470" s="109" t="str">
        <f t="shared" si="189"/>
        <v>853-856</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494</v>
      </c>
      <c r="D471" s="102"/>
      <c r="E471" s="32">
        <v>12</v>
      </c>
      <c r="F471" s="32"/>
      <c r="G471" s="68" t="s">
        <v>277</v>
      </c>
      <c r="H471" s="69">
        <f t="shared" si="196"/>
        <v>841</v>
      </c>
      <c r="I471" s="70">
        <f t="shared" si="197"/>
        <v>852</v>
      </c>
      <c r="J471" s="73" t="str">
        <f t="shared" si="198"/>
        <v>--</v>
      </c>
      <c r="K471" s="32"/>
      <c r="L471" s="233"/>
      <c r="M471" s="295" t="s">
        <v>415</v>
      </c>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841-852</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1</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22</v>
      </c>
      <c r="AM493" s="109">
        <f>SUM(AM468:AM492)</f>
        <v>1</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6</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18</v>
      </c>
      <c r="J499" s="301" t="s">
        <v>231</v>
      </c>
      <c r="K499" s="302"/>
      <c r="L499" s="34">
        <f>I503</f>
        <v>841</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309" t="s">
        <v>237</v>
      </c>
      <c r="H500" s="310"/>
      <c r="I500" s="35">
        <f>IF(E500=0,0,12-(MOD(I498,12)))</f>
        <v>6</v>
      </c>
      <c r="J500" s="301" t="s">
        <v>238</v>
      </c>
      <c r="K500" s="302"/>
      <c r="L500" s="39">
        <f>I504-I498</f>
        <v>846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6</v>
      </c>
      <c r="D501" s="41" t="s">
        <v>241</v>
      </c>
      <c r="E501" s="42">
        <v>12</v>
      </c>
      <c r="F501" s="88"/>
      <c r="G501" s="277" t="s">
        <v>242</v>
      </c>
      <c r="H501" s="43" t="s">
        <v>243</v>
      </c>
      <c r="I501" s="35">
        <f>IF(E501&lt;&gt;0,1,0)</f>
        <v>1</v>
      </c>
      <c r="J501" s="309" t="s">
        <v>244</v>
      </c>
      <c r="K501" s="310"/>
      <c r="L501" s="44">
        <f>'Cable Calculator'!BL3</f>
        <v>194</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841</v>
      </c>
      <c r="F502" s="88"/>
      <c r="G502" s="278"/>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77" t="s">
        <v>251</v>
      </c>
      <c r="H503" s="51" t="s">
        <v>252</v>
      </c>
      <c r="I503" s="112">
        <f>E502</f>
        <v>841</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78"/>
      <c r="H504" s="47" t="s">
        <v>257</v>
      </c>
      <c r="I504" s="35">
        <f>IF(E502="","0",IF(AND(E499="EUC",E500=432), I503+(203-E501),IF(E502=0,0,(E502+(E500-E501)-1))))</f>
        <v>852</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v>6</v>
      </c>
      <c r="F509" s="32"/>
      <c r="G509" s="68" t="s">
        <v>277</v>
      </c>
      <c r="H509" s="69">
        <f>IF(I509=0,0,I509-(E509-1))</f>
        <v>847</v>
      </c>
      <c r="I509" s="70">
        <f>IF(E509=0,0,I504)</f>
        <v>852</v>
      </c>
      <c r="J509" s="71" t="s">
        <v>278</v>
      </c>
      <c r="K509" s="32"/>
      <c r="L509" s="233"/>
      <c r="M509" s="295" t="s">
        <v>773</v>
      </c>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847-852</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6</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6</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6</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6</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6</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6</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6</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6</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7</v>
      </c>
      <c r="X520" s="84"/>
      <c r="Y520" s="78">
        <f>SUM(E509:E520)</f>
        <v>6</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6</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7</v>
      </c>
      <c r="X521" s="84"/>
      <c r="Y521" s="78">
        <f>SUM(E509:E521)</f>
        <v>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6</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7</v>
      </c>
      <c r="X522" s="84"/>
      <c r="Y522" s="78">
        <f>SUM(E509:E522)</f>
        <v>6</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6</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7</v>
      </c>
      <c r="X523" s="84"/>
      <c r="Y523" s="78">
        <f>SUM(E509:E523)</f>
        <v>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6</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7</v>
      </c>
      <c r="X524" s="84"/>
      <c r="Y524" s="78">
        <f>SUM(E509:E524)</f>
        <v>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6</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7</v>
      </c>
      <c r="X525" s="84"/>
      <c r="Y525" s="78">
        <f>SUM(E509:E525)</f>
        <v>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6</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7</v>
      </c>
      <c r="X526" s="84"/>
      <c r="Y526" s="78">
        <f>SUM(E509:E526)</f>
        <v>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6</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7</v>
      </c>
      <c r="X527" s="84"/>
      <c r="Y527" s="78">
        <f>SUM(E509:E527)</f>
        <v>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6</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7</v>
      </c>
      <c r="X528" s="84"/>
      <c r="Y528" s="78">
        <f>SUM(E509:E528)</f>
        <v>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6</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7</v>
      </c>
      <c r="X529" s="84"/>
      <c r="Y529" s="78">
        <f>SUM(E509:E529)</f>
        <v>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6</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7</v>
      </c>
      <c r="X530" s="84"/>
      <c r="Y530" s="78">
        <f>SUM(E509:E530)</f>
        <v>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6</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7</v>
      </c>
      <c r="X531" s="84"/>
      <c r="Y531" s="78">
        <f>SUM(E509:E531)</f>
        <v>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6</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7</v>
      </c>
      <c r="X532" s="84"/>
      <c r="Y532" s="78">
        <f>SUM(E509:E532)</f>
        <v>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6</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12</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12</v>
      </c>
      <c r="J540" s="301" t="s">
        <v>231</v>
      </c>
      <c r="K540" s="302"/>
      <c r="L540" s="34">
        <f>I544</f>
        <v>793</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309" t="s">
        <v>237</v>
      </c>
      <c r="H541" s="310"/>
      <c r="I541" s="35">
        <f>IF(E541=0,0,12-(MOD(I539,12)))</f>
        <v>12</v>
      </c>
      <c r="J541" s="301" t="s">
        <v>238</v>
      </c>
      <c r="K541" s="302"/>
      <c r="L541" s="39">
        <f>I545-I539</f>
        <v>792</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277" t="s">
        <v>242</v>
      </c>
      <c r="H542" s="43" t="s">
        <v>243</v>
      </c>
      <c r="I542" s="35">
        <f>IF(E542&lt;&gt;0,1,0)</f>
        <v>1</v>
      </c>
      <c r="J542" s="309" t="s">
        <v>244</v>
      </c>
      <c r="K542" s="310"/>
      <c r="L542" s="44">
        <f>'Cable Calculator'!BQ3</f>
        <v>120</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793</v>
      </c>
      <c r="F543" s="88"/>
      <c r="G543" s="278"/>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277" t="s">
        <v>251</v>
      </c>
      <c r="H544" s="51" t="s">
        <v>252</v>
      </c>
      <c r="I544" s="112">
        <f>E543</f>
        <v>793</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78"/>
      <c r="H545" s="47" t="s">
        <v>257</v>
      </c>
      <c r="I545" s="35">
        <f>IF(E543="","0",IF(AND(E540="EUC",E541=432), I544+(203-E542),IF(E543=0,0,(E543+(E541-E542)-1))))</f>
        <v>804</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v>6</v>
      </c>
      <c r="F550" s="32"/>
      <c r="G550" s="68" t="s">
        <v>277</v>
      </c>
      <c r="H550" s="69">
        <f>IF(I550=0,0,I550-(E550-1))</f>
        <v>799</v>
      </c>
      <c r="I550" s="70">
        <f>IF(E550=0,0,I545)</f>
        <v>804</v>
      </c>
      <c r="J550" s="71" t="s">
        <v>278</v>
      </c>
      <c r="K550" s="32"/>
      <c r="L550" s="233"/>
      <c r="M550" s="295" t="s">
        <v>773</v>
      </c>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799-804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6</v>
      </c>
    </row>
    <row r="551" spans="1:53" ht="15.75" thickBot="1" x14ac:dyDescent="0.3">
      <c r="A551" s="88"/>
      <c r="B551" s="66" t="s">
        <v>279</v>
      </c>
      <c r="C551" s="67"/>
      <c r="D551" s="102"/>
      <c r="E551" s="32">
        <v>6</v>
      </c>
      <c r="F551" s="32"/>
      <c r="G551" s="68" t="s">
        <v>277</v>
      </c>
      <c r="H551" s="69">
        <f t="shared" ref="H551:H574" si="230">IF(E551=0,0,I551-(E551-1))</f>
        <v>793</v>
      </c>
      <c r="I551" s="70">
        <f t="shared" ref="I551:I574" si="231">IF(E551=0,0,H550-1)</f>
        <v>798</v>
      </c>
      <c r="J551" s="73" t="str">
        <f>IF(C551="","--",IF(AND(C551&lt;&gt;"FST",C551&lt;&gt;"TCF",BA550&lt;&gt;0),BA550,"--"))</f>
        <v>--</v>
      </c>
      <c r="K551" s="32"/>
      <c r="L551" s="233"/>
      <c r="M551" s="295" t="s">
        <v>774</v>
      </c>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793-798</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13</v>
      </c>
      <c r="X561" s="84"/>
      <c r="Y561" s="78">
        <f>SUM(E550:E561)</f>
        <v>12</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13</v>
      </c>
      <c r="X562" s="84"/>
      <c r="Y562" s="78">
        <f>SUM(E550:E562)</f>
        <v>12</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13</v>
      </c>
      <c r="X563" s="84"/>
      <c r="Y563" s="78">
        <f>SUM(E550:E563)</f>
        <v>12</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13</v>
      </c>
      <c r="X564" s="84"/>
      <c r="Y564" s="78">
        <f>SUM(E550:E564)</f>
        <v>12</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13</v>
      </c>
      <c r="X565" s="84"/>
      <c r="Y565" s="78">
        <f>SUM(E550:E565)</f>
        <v>12</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13</v>
      </c>
      <c r="X566" s="84"/>
      <c r="Y566" s="78">
        <f>SUM(E550:E566)</f>
        <v>12</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13</v>
      </c>
      <c r="X567" s="84"/>
      <c r="Y567" s="78">
        <f>SUM(E550:E567)</f>
        <v>12</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13</v>
      </c>
      <c r="X568" s="84"/>
      <c r="Y568" s="78">
        <f>SUM(E550:E568)</f>
        <v>12</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13</v>
      </c>
      <c r="X569" s="84"/>
      <c r="Y569" s="78">
        <f>SUM(E550:E569)</f>
        <v>12</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13</v>
      </c>
      <c r="X570" s="84"/>
      <c r="Y570" s="78">
        <f>SUM(E550:E570)</f>
        <v>12</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13</v>
      </c>
      <c r="X571" s="84"/>
      <c r="Y571" s="78">
        <f>SUM(E550:E571)</f>
        <v>12</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13</v>
      </c>
      <c r="X572" s="84"/>
      <c r="Y572" s="78">
        <f>SUM(E550:E572)</f>
        <v>12</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13</v>
      </c>
      <c r="X573" s="84"/>
      <c r="Y573" s="78">
        <f>SUM(E550:E573)</f>
        <v>12</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12</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12</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1</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0" t="s">
        <v>230</v>
      </c>
      <c r="H581" s="287"/>
      <c r="I581" s="33">
        <f>E582-I580</f>
        <v>12</v>
      </c>
      <c r="J581" s="301" t="s">
        <v>231</v>
      </c>
      <c r="K581" s="302"/>
      <c r="L581" s="34">
        <f>I585</f>
        <v>649</v>
      </c>
      <c r="M581" s="196">
        <v>4</v>
      </c>
      <c r="N581" s="35">
        <f>SUM(AI581,AI592)</f>
        <v>0</v>
      </c>
      <c r="O581" s="35">
        <v>0</v>
      </c>
      <c r="P581" s="35">
        <f>SUM(AJ581,AJ592)</f>
        <v>0</v>
      </c>
      <c r="Q581" s="35">
        <v>0</v>
      </c>
      <c r="R581" s="35">
        <f>COUNTIFS($E591:$E615,"4",$F591:$F615,"Pole",$C591:$C615,"FST")</f>
        <v>0</v>
      </c>
      <c r="S581" s="35">
        <f>SUM(AL581,AK592)</f>
        <v>0</v>
      </c>
      <c r="T581" s="35">
        <v>0</v>
      </c>
      <c r="U581" s="35">
        <f>SUM(AK581,AL592)</f>
        <v>1</v>
      </c>
      <c r="V581" s="35">
        <v>0</v>
      </c>
      <c r="W581" s="34">
        <f>COUNTIFS($E591:$E615,"4",$F591:$F615,"HH",$C591:$C615,"FST")</f>
        <v>1</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f>IF($E581="EUC",COUNTIFS($C591:$C615,"FST",$E591:$E615,"4"),"0")</f>
        <v>1</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309" t="s">
        <v>237</v>
      </c>
      <c r="H582" s="310"/>
      <c r="I582" s="35">
        <f>IF(E582=0,0,12-(MOD(I580,12)))</f>
        <v>12</v>
      </c>
      <c r="J582" s="301" t="s">
        <v>238</v>
      </c>
      <c r="K582" s="302"/>
      <c r="L582" s="39">
        <f>I586-I580</f>
        <v>648</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77" t="s">
        <v>242</v>
      </c>
      <c r="H583" s="43" t="s">
        <v>243</v>
      </c>
      <c r="I583" s="35">
        <f>IF(E583&lt;&gt;0,1,0)</f>
        <v>1</v>
      </c>
      <c r="J583" s="309" t="s">
        <v>244</v>
      </c>
      <c r="K583" s="310"/>
      <c r="L583" s="44">
        <f>'Cable Calculator'!BV3</f>
        <v>245</v>
      </c>
      <c r="M583" s="196">
        <v>8</v>
      </c>
      <c r="N583" s="35">
        <f>SUM(AI583,AI594)</f>
        <v>0</v>
      </c>
      <c r="O583" s="35">
        <v>0</v>
      </c>
      <c r="P583" s="35">
        <f>SUM(AJ583,AJ594)</f>
        <v>0</v>
      </c>
      <c r="Q583" s="35">
        <v>0</v>
      </c>
      <c r="R583" s="35">
        <f>COUNTIFS($E591:$E615,"8",$F591:$F615,"Pole",$C591:$C615,"FST")</f>
        <v>0</v>
      </c>
      <c r="S583" s="35">
        <f>SUM(AL583,AK594)</f>
        <v>0</v>
      </c>
      <c r="T583" s="35">
        <v>0</v>
      </c>
      <c r="U583" s="35">
        <f>SUM(AK583,AL594)</f>
        <v>1</v>
      </c>
      <c r="V583" s="35">
        <v>0</v>
      </c>
      <c r="W583" s="34">
        <f>COUNTIFS($E591:$E615,"8",$F591:$F615,"HH",$C591:$C615,"FST")</f>
        <v>1</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1</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649</v>
      </c>
      <c r="F584" s="88"/>
      <c r="G584" s="278"/>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277" t="s">
        <v>251</v>
      </c>
      <c r="H585" s="51" t="s">
        <v>252</v>
      </c>
      <c r="I585" s="112">
        <f>E584</f>
        <v>649</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Y</v>
      </c>
      <c r="F586" s="88"/>
      <c r="G586" s="278"/>
      <c r="H586" s="47" t="s">
        <v>257</v>
      </c>
      <c r="I586" s="35">
        <f>IF(E584="","0",IF(AND(E581="EUC",E582=432), I585+(203-E583),IF(E584=0,0,(E584+(E582-E583)-1))))</f>
        <v>660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769</v>
      </c>
      <c r="E591" s="32">
        <v>4</v>
      </c>
      <c r="F591" s="32" t="s">
        <v>488</v>
      </c>
      <c r="G591" s="68" t="s">
        <v>277</v>
      </c>
      <c r="H591" s="69">
        <f>IF(I591=0,0,I591-(E591-1))</f>
        <v>657</v>
      </c>
      <c r="I591" s="70">
        <f>IF(E591=0,0,I586)</f>
        <v>660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657-660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772</v>
      </c>
      <c r="E592" s="32">
        <v>8</v>
      </c>
      <c r="F592" s="32" t="s">
        <v>488</v>
      </c>
      <c r="G592" s="68" t="s">
        <v>277</v>
      </c>
      <c r="H592" s="69">
        <f t="shared" ref="H592:H615" si="247">IF(E592=0,0,I592-(E592-1))</f>
        <v>649</v>
      </c>
      <c r="I592" s="70">
        <f t="shared" ref="I592:I615" si="248">IF(E592=0,0,H591-1)</f>
        <v>656</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0</v>
      </c>
      <c r="AE592" s="109" t="str">
        <f t="shared" si="240"/>
        <v>649-656</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23</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12</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0" t="s">
        <v>230</v>
      </c>
      <c r="H622" s="287"/>
      <c r="I622" s="33">
        <f>E623-I621</f>
        <v>12</v>
      </c>
      <c r="J622" s="301" t="s">
        <v>231</v>
      </c>
      <c r="K622" s="302"/>
      <c r="L622" s="34">
        <f>I626</f>
        <v>817</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09" t="s">
        <v>237</v>
      </c>
      <c r="H623" s="310"/>
      <c r="I623" s="35">
        <f>IF(E623=0,0,12-(MOD(I621,12)))</f>
        <v>12</v>
      </c>
      <c r="J623" s="301" t="s">
        <v>238</v>
      </c>
      <c r="K623" s="302"/>
      <c r="L623" s="39">
        <f>I627-I621</f>
        <v>828</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12</v>
      </c>
      <c r="D624" s="41" t="s">
        <v>241</v>
      </c>
      <c r="E624" s="42">
        <v>0</v>
      </c>
      <c r="F624" s="88"/>
      <c r="G624" s="277" t="s">
        <v>242</v>
      </c>
      <c r="H624" s="43" t="s">
        <v>243</v>
      </c>
      <c r="I624" s="35">
        <f>IF(E624&lt;&gt;0,1,0)</f>
        <v>0</v>
      </c>
      <c r="J624" s="309" t="s">
        <v>244</v>
      </c>
      <c r="K624" s="310"/>
      <c r="L624" s="44">
        <f>'Cable Calculator'!CA3</f>
        <v>405</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817</v>
      </c>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77" t="s">
        <v>251</v>
      </c>
      <c r="H626" s="51" t="s">
        <v>252</v>
      </c>
      <c r="I626" s="112">
        <f>E625</f>
        <v>817</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78"/>
      <c r="H627" s="47" t="s">
        <v>257</v>
      </c>
      <c r="I627" s="35">
        <f>IF(E625="","0",IF(AND(E622="EUC",E623=432), I626+(203-E624),IF(E625=0,0,(E625+(E623-E624)-1))))</f>
        <v>840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24</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770</v>
      </c>
      <c r="E632" s="32">
        <v>4</v>
      </c>
      <c r="F632" s="32" t="s">
        <v>488</v>
      </c>
      <c r="G632" s="68" t="s">
        <v>277</v>
      </c>
      <c r="H632" s="69">
        <f>IF(I632=0,0,I632-(E632-1))</f>
        <v>837</v>
      </c>
      <c r="I632" s="70">
        <f>IF(E632=0,0,I627)</f>
        <v>840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837-840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775</v>
      </c>
      <c r="E633" s="32">
        <v>4</v>
      </c>
      <c r="F633" s="32" t="s">
        <v>488</v>
      </c>
      <c r="G633" s="68" t="s">
        <v>277</v>
      </c>
      <c r="H633" s="69">
        <f t="shared" ref="H633:H656" si="264">IF(E633=0,0,I633-(E633-1))</f>
        <v>833</v>
      </c>
      <c r="I633" s="70">
        <f t="shared" ref="I633:I656" si="265">IF(E633=0,0,H632-1)</f>
        <v>836</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0</v>
      </c>
      <c r="AE633" s="109" t="str">
        <f t="shared" si="257"/>
        <v>833-836</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771</v>
      </c>
      <c r="E634" s="32">
        <v>4</v>
      </c>
      <c r="F634" s="32" t="s">
        <v>488</v>
      </c>
      <c r="G634" s="75" t="s">
        <v>277</v>
      </c>
      <c r="H634" s="69">
        <f t="shared" si="264"/>
        <v>829</v>
      </c>
      <c r="I634" s="70">
        <f t="shared" si="265"/>
        <v>832</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0</v>
      </c>
      <c r="AE634" s="109" t="str">
        <f t="shared" si="257"/>
        <v>829-832</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ColWidth="9.140625"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ColWidth="9.140625"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G16" sqref="G16"/>
    </sheetView>
  </sheetViews>
  <sheetFormatPr defaultColWidth="9.140625"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19306.300000000003</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6612.1100000000006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431.33000000000004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24</v>
      </c>
      <c r="F2" s="186">
        <f t="shared" ref="F2:F5" si="0">PRODUCT(D2:E2)</f>
        <v>2691.6000000000004</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10</v>
      </c>
      <c r="K2" s="180">
        <f>COUNTIFS('Assignment Tool'!$E$17:$E$2050, "4",'Assignment Tool'!$F$17:$F$2050,"PED", 'Assignment Tool'!$C$17:$C$2050, "FST",'Assignment Tool'!$K$17:$K$2050,"")</f>
        <v>0</v>
      </c>
      <c r="L2" s="180">
        <f>COUNTIFS('Assignment Tool'!$E$17:$E$2050, "4",'Assignment Tool'!$F$17:$F$2050,"HH", 'Assignment Tool'!$C$17:$C$2050, "FST",'Assignment Tool'!$K$17:$K$2050,"")</f>
        <v>10</v>
      </c>
      <c r="N2" s="181">
        <f>PRODUCT(SUM(G2,J2),D2)</f>
        <v>1121.5</v>
      </c>
      <c r="O2" s="180">
        <f>PRODUCT(SUM(H2:I2,K2:L2),D2)</f>
        <v>1570.1000000000001</v>
      </c>
      <c r="P2" s="183">
        <f>SUM(N2:N5,F11:F16,F27:F36,F43:F46,F51:F54,N88:N135)</f>
        <v>6612.1100000000006</v>
      </c>
      <c r="Q2" s="182">
        <f>SUM(O2:O5,F17:F26,F37:F42,F47:F50,F55:F58,F60:F67,O88:O135)</f>
        <v>19306.300000000003</v>
      </c>
      <c r="R2" s="126">
        <f>SUM(F69:F71)</f>
        <v>431.33000000000004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6</v>
      </c>
      <c r="F4" s="186">
        <f t="shared" si="0"/>
        <v>1018.6200000000001</v>
      </c>
      <c r="G4" s="181">
        <f>COUNTIFS('Assignment Tool'!$E$17:$E$2050, "8", 'Assignment Tool'!$F$17:$F$2050, "POLE", 'Assignment Tool'!$C$17:$C$2050, "FST",'Assignment Tool'!$K$17:$K$2050,"")</f>
        <v>5</v>
      </c>
      <c r="H4" s="180">
        <f>COUNTIFS('Assignment Tool'!$E$17:$E$2050, "8", 'Assignment Tool'!$F$17:$F$2050, "PED", 'Assignment Tool'!$C$17:$C$2050, "FST",'Assignment Tool'!$K$17:$K$2050,"")</f>
        <v>0</v>
      </c>
      <c r="I4" s="180">
        <f>COUNTIFS('Assignment Tool'!$E$17:$E$2050, "8", 'Assignment Tool'!$F$17:$F$2050, "HH", 'Assignment Tool'!$C$17:$C$2050, "FST",'Assignment Tool'!$K$17:$K$2050,"")</f>
        <v>1</v>
      </c>
      <c r="N4" s="181">
        <f t="shared" ref="N4:N5" si="2">PRODUCT(G4,D4)</f>
        <v>848.85</v>
      </c>
      <c r="O4" s="180">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5</v>
      </c>
      <c r="F5" s="186">
        <f t="shared" si="0"/>
        <v>1139.75</v>
      </c>
      <c r="G5" s="181">
        <f>COUNTIFS('Assignment Tool'!$E$17:$E$2050, "12", 'Assignment Tool'!$F$17:$F$2050, "POLE", 'Assignment Tool'!$C$17:$C$2050, "FST",'Assignment Tool'!$K$17:$K$2050,"")</f>
        <v>3</v>
      </c>
      <c r="H5" s="180">
        <f>COUNTIFS('Assignment Tool'!$E$17:$E$2050, "12", 'Assignment Tool'!$F$17:$F$2050, "PED", 'Assignment Tool'!$C$17:$C$2050, "FST",'Assignment Tool'!$K$17:$K$2050,"")</f>
        <v>0</v>
      </c>
      <c r="I5" s="180">
        <f>COUNTIFS('Assignment Tool'!$E$17:$E$2050, "12", 'Assignment Tool'!$F$17:$F$2050, "HH", 'Assignment Tool'!$C$17:$C$2050, "FST",'Assignment Tool'!$K$17:$K$2050,"")</f>
        <v>2</v>
      </c>
      <c r="N5" s="181">
        <f t="shared" si="2"/>
        <v>683.84999999999991</v>
      </c>
      <c r="O5" s="180">
        <f t="shared" si="3"/>
        <v>455.9</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2</v>
      </c>
      <c r="F11" s="181">
        <f>E11*D11</f>
        <v>494.36</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3</v>
      </c>
      <c r="F12" s="181">
        <f t="shared" ref="F12:F58" si="5">E12*D12</f>
        <v>645.45000000000005</v>
      </c>
      <c r="Q12" s="21"/>
      <c r="R12" s="21"/>
      <c r="Y12" s="1">
        <v>72</v>
      </c>
      <c r="AA12" s="1">
        <f t="shared" si="4"/>
        <v>132</v>
      </c>
      <c r="AC12" s="1">
        <v>900</v>
      </c>
    </row>
    <row r="13" spans="1:29" x14ac:dyDescent="0.25">
      <c r="A13" s="181">
        <v>100083493</v>
      </c>
      <c r="B13" s="181"/>
      <c r="C13" s="181" t="s">
        <v>505</v>
      </c>
      <c r="D13" s="1">
        <v>183.1</v>
      </c>
      <c r="E13" s="162">
        <f>'Construction Exempt Material'!B19</f>
        <v>6</v>
      </c>
      <c r="F13" s="181">
        <f t="shared" si="5"/>
        <v>1098.5999999999999</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13</v>
      </c>
      <c r="F17" s="180">
        <f t="shared" si="5"/>
        <v>3468.0099999999998</v>
      </c>
      <c r="Q17" s="21"/>
      <c r="Y17" s="1">
        <v>132</v>
      </c>
      <c r="AA17" s="1">
        <f t="shared" si="4"/>
        <v>192</v>
      </c>
    </row>
    <row r="18" spans="1:27" x14ac:dyDescent="0.25">
      <c r="A18" s="180">
        <v>100083594</v>
      </c>
      <c r="B18" s="180"/>
      <c r="C18" s="180" t="s">
        <v>510</v>
      </c>
      <c r="D18" s="1">
        <v>233.96</v>
      </c>
      <c r="E18" s="162">
        <f>'Construction Exempt Material'!B24</f>
        <v>3</v>
      </c>
      <c r="F18" s="180">
        <f t="shared" si="5"/>
        <v>701.88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16</v>
      </c>
      <c r="F20" s="180">
        <f t="shared" si="5"/>
        <v>3197.76</v>
      </c>
      <c r="AA20" s="1">
        <f t="shared" si="4"/>
        <v>228</v>
      </c>
    </row>
    <row r="21" spans="1:27" x14ac:dyDescent="0.25">
      <c r="A21" s="180">
        <v>200008456</v>
      </c>
      <c r="B21" s="180"/>
      <c r="C21" s="180" t="s">
        <v>513</v>
      </c>
      <c r="D21" s="1">
        <v>201.13</v>
      </c>
      <c r="E21" s="162">
        <f>'Construction Exempt Material'!B27</f>
        <v>4</v>
      </c>
      <c r="F21" s="180">
        <f t="shared" si="5"/>
        <v>804.52</v>
      </c>
      <c r="AA21" s="1">
        <f t="shared" si="4"/>
        <v>240</v>
      </c>
    </row>
    <row r="22" spans="1:27" x14ac:dyDescent="0.25">
      <c r="A22" s="180">
        <v>100089396</v>
      </c>
      <c r="B22" s="180"/>
      <c r="C22" s="180" t="s">
        <v>514</v>
      </c>
      <c r="D22" s="1">
        <v>266.77</v>
      </c>
      <c r="E22" s="162">
        <f>'Construction Exempt Material'!B28</f>
        <v>4</v>
      </c>
      <c r="F22" s="180">
        <f t="shared" si="5"/>
        <v>1067.08</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2</v>
      </c>
      <c r="F43" s="181">
        <f t="shared" si="5"/>
        <v>494.88</v>
      </c>
    </row>
    <row r="44" spans="1:6" x14ac:dyDescent="0.25">
      <c r="A44" s="181">
        <v>100088380</v>
      </c>
      <c r="B44" s="181"/>
      <c r="C44" s="181" t="s">
        <v>536</v>
      </c>
      <c r="D44" s="1">
        <v>494.87</v>
      </c>
      <c r="E44" s="162">
        <f>'Construction Exempt Material'!B50</f>
        <v>2</v>
      </c>
      <c r="F44" s="181">
        <f t="shared" si="5"/>
        <v>989.74</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2</v>
      </c>
      <c r="F47" s="180">
        <f t="shared" si="5"/>
        <v>533.54</v>
      </c>
    </row>
    <row r="48" spans="1:6" x14ac:dyDescent="0.25">
      <c r="A48" s="180">
        <v>100089547</v>
      </c>
      <c r="B48" s="180"/>
      <c r="C48" s="180" t="s">
        <v>540</v>
      </c>
      <c r="D48" s="1">
        <v>533.53</v>
      </c>
      <c r="E48" s="162">
        <f>'Construction Exempt Material'!B54</f>
        <v>1</v>
      </c>
      <c r="F48" s="180">
        <f t="shared" si="5"/>
        <v>533.53</v>
      </c>
    </row>
    <row r="49" spans="1:10" x14ac:dyDescent="0.25">
      <c r="A49" s="180">
        <v>200002565</v>
      </c>
      <c r="B49" s="180"/>
      <c r="C49" s="180" t="s">
        <v>541</v>
      </c>
      <c r="D49" s="1">
        <v>804.41</v>
      </c>
      <c r="E49" s="162">
        <f>'Construction Exempt Material'!B55</f>
        <v>1</v>
      </c>
      <c r="F49" s="180">
        <f t="shared" si="5"/>
        <v>804.41</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12</v>
      </c>
      <c r="F62" s="180">
        <f t="shared" si="6"/>
        <v>1727.28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6</v>
      </c>
      <c r="F63" s="180">
        <f t="shared" si="6"/>
        <v>2962.62</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2</v>
      </c>
      <c r="F65" s="180">
        <f t="shared" ref="F65" si="7">E65*D65</f>
        <v>1309.9000000000001</v>
      </c>
    </row>
    <row r="66" spans="1:16" x14ac:dyDescent="0.25">
      <c r="A66" s="180">
        <v>100006155</v>
      </c>
      <c r="B66" s="180"/>
      <c r="C66" s="180" t="s">
        <v>562</v>
      </c>
      <c r="D66" s="1">
        <v>87.96</v>
      </c>
      <c r="E66" s="1">
        <f>'Construction Exempt Material'!B12</f>
        <v>0</v>
      </c>
      <c r="F66" s="180">
        <f t="shared" si="6"/>
        <v>0</v>
      </c>
      <c r="G66" s="1">
        <f>SUM(I5,I124:I135,J61)</f>
        <v>2</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3</v>
      </c>
      <c r="F69" s="126">
        <f>E69*D69</f>
        <v>67.98</v>
      </c>
    </row>
    <row r="70" spans="1:16" x14ac:dyDescent="0.25">
      <c r="A70" s="1">
        <v>100069989</v>
      </c>
      <c r="B70" s="1" t="s">
        <v>565</v>
      </c>
      <c r="C70" s="1" t="s">
        <v>566</v>
      </c>
      <c r="D70" s="1">
        <v>0.65</v>
      </c>
      <c r="E70" s="1">
        <f>'Construction Exempt Material'!B69</f>
        <v>559</v>
      </c>
      <c r="F70" s="126">
        <f>E70*D70</f>
        <v>363.35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2</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2</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234.88</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Normal="100" workbookViewId="0">
      <selection activeCell="B13" sqref="B13"/>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24</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6</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5</v>
      </c>
      <c r="C8" s="156" t="s">
        <v>87</v>
      </c>
      <c r="D8" s="156">
        <v>200009003</v>
      </c>
      <c r="E8" s="156" t="s">
        <v>495</v>
      </c>
      <c r="F8" s="219"/>
      <c r="G8" s="235">
        <f>Data!E91</f>
        <v>2</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12</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6</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2</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2</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3</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6</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3</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16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2</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2</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2</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559</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ColWidth="9.140625"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2024-05-24T14:14:43Z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