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1.-TRABAJOS ONY\29.1-A02RNLQ (LOUSIANA F2)\7.-CORRECCIONES ATT\CORRECCION 2 ATT\"/>
    </mc:Choice>
  </mc:AlternateContent>
  <xr:revisionPtr revIDLastSave="0" documentId="13_ncr:1_{9FC2172E-542A-4637-A60C-A9281429C19B}" xr6:coauthVersionLast="47" xr6:coauthVersionMax="47" xr10:uidLastSave="{00000000-0000-0000-0000-000000000000}"/>
  <bookViews>
    <workbookView xWindow="28680" yWindow="-135"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15" i="29"/>
  <c r="J614" i="29"/>
  <c r="J613" i="29"/>
  <c r="J612" i="29"/>
  <c r="J611" i="29"/>
  <c r="J610" i="29"/>
  <c r="J609" i="29"/>
  <c r="J608" i="29"/>
  <c r="J607" i="29"/>
  <c r="J606" i="29"/>
  <c r="J605" i="29"/>
  <c r="J604" i="29"/>
  <c r="J603" i="29"/>
  <c r="J602" i="29"/>
  <c r="J601" i="29"/>
  <c r="J600"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30" i="29" l="1"/>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Y398" i="29"/>
  <c r="W398" i="29" s="1"/>
  <c r="Y397" i="29"/>
  <c r="W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6" i="29" l="1"/>
  <c r="AA1271" i="29"/>
  <c r="AA1312" i="29"/>
  <c r="AA1389" i="29"/>
  <c r="I172" i="29"/>
  <c r="Z858" i="29"/>
  <c r="Z940" i="29"/>
  <c r="Z982" i="29"/>
  <c r="Z1588" i="29"/>
  <c r="Z1593" i="29"/>
  <c r="AA1148" i="29"/>
  <c r="AA1188" i="29"/>
  <c r="AA1270" i="29"/>
  <c r="L1484" i="29"/>
  <c r="AA1554" i="29"/>
  <c r="Z1597" i="29"/>
  <c r="AA1639" i="29"/>
  <c r="AA1801" i="29"/>
  <c r="AB1908" i="29"/>
  <c r="AA1909" i="29" s="1"/>
  <c r="AA1925" i="29"/>
  <c r="Z1963" i="29"/>
  <c r="Z1999" i="29"/>
  <c r="AA897" i="29"/>
  <c r="Z899" i="29"/>
  <c r="AA1143" i="29"/>
  <c r="Z1546" i="29"/>
  <c r="W1588" i="29"/>
  <c r="AA1591" i="29" s="1"/>
  <c r="AA1761" i="29"/>
  <c r="Z1800" i="29"/>
  <c r="Z1962" i="29"/>
  <c r="I463" i="29"/>
  <c r="Z400" i="29"/>
  <c r="AA609" i="29"/>
  <c r="I500" i="29"/>
  <c r="I459" i="29"/>
  <c r="AA446" i="29"/>
  <c r="Z360" i="29"/>
  <c r="M464" i="29"/>
  <c r="AK471" i="29"/>
  <c r="AA281" i="29"/>
  <c r="AA163" i="29"/>
  <c r="AA160" i="29"/>
  <c r="AA164"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I398" i="29" s="1"/>
  <c r="H398" i="29" s="1"/>
  <c r="I399" i="29" s="1"/>
  <c r="H399"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B3" i="34" l="1"/>
  <c r="BW3" i="34"/>
  <c r="BM3" i="34"/>
  <c r="BH3" i="34"/>
  <c r="BG3" i="34" s="1"/>
  <c r="BG2" i="34" s="1"/>
  <c r="AX3" i="34"/>
  <c r="AS3" i="34"/>
  <c r="BW5" i="34"/>
  <c r="J5"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IO2" i="34" s="1"/>
  <c r="E12" i="29"/>
  <c r="E7" i="29"/>
  <c r="E9" i="34"/>
  <c r="E7" i="34"/>
  <c r="E6" i="34" s="1"/>
  <c r="CA3" i="34" l="1"/>
  <c r="CA2" i="34" s="1"/>
  <c r="BV3" i="34"/>
  <c r="BV2" i="34" s="1"/>
  <c r="BL3" i="34"/>
  <c r="L501" i="29" s="1"/>
  <c r="AW3" i="34"/>
  <c r="L378" i="29" s="1"/>
  <c r="AR3" i="34"/>
  <c r="AR2" i="34" s="1"/>
  <c r="L1321" i="29"/>
  <c r="L1280" i="29"/>
  <c r="EN2" i="34"/>
  <c r="L1075" i="29"/>
  <c r="ED2" i="34"/>
  <c r="DY2" i="34"/>
  <c r="L993" i="29"/>
  <c r="DE2" i="34"/>
  <c r="L829" i="29"/>
  <c r="CU2" i="34"/>
  <c r="L747" i="29"/>
  <c r="L706" i="29"/>
  <c r="L624"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83" i="29" l="1"/>
  <c r="L337" i="29"/>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502" i="29"/>
  <c r="V338" i="29"/>
  <c r="V584" i="29"/>
  <c r="V543" i="29"/>
  <c r="Q461" i="29"/>
  <c r="Q420" i="29"/>
  <c r="V379"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J524" i="29" s="1"/>
  <c r="BA522" i="29"/>
  <c r="J523" i="29" s="1"/>
  <c r="BA521" i="29"/>
  <c r="J522" i="29" s="1"/>
  <c r="BA520" i="29"/>
  <c r="J521" i="29" s="1"/>
  <c r="BA519" i="29"/>
  <c r="J520" i="29" s="1"/>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J399" i="29" s="1"/>
  <c r="BA397" i="29"/>
  <c r="J398" i="29" s="1"/>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541" i="29"/>
  <c r="AW541" i="29"/>
  <c r="AV542" i="29"/>
  <c r="AW542" i="29"/>
  <c r="AU460" i="29"/>
  <c r="AV460" i="29"/>
  <c r="AU459" i="29"/>
  <c r="AV459" i="29"/>
  <c r="AU458" i="29"/>
  <c r="AV458"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J29" i="29" s="1"/>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<sst xmlns="http://schemas.openxmlformats.org/spreadsheetml/2006/main" count="8005" uniqueCount="830">
  <si>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</si>
  <si>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</si>
  <si>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</si>
  <si>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</si>
  <si>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</si>
  <si>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</si>
  <si>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</si>
  <si>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</si>
  <si>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</si>
  <si>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</si>
  <si>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</si>
  <si>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</si>
  <si>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</si>
  <si>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</si>
  <si>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</si>
  <si>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</si>
  <si>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</si>
  <si>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</si>
  <si>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</si>
  <si>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</si>
  <si>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</si>
  <si>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</si>
  <si>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</si>
  <si>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</si>
  <si>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</si>
  <si>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</si>
  <si>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</si>
  <si>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</si>
  <si>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</si>
  <si>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</si>
  <si>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</si>
  <si>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</si>
  <si>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</si>
  <si>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</si>
  <si>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</si>
  <si>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</si>
  <si>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</si>
  <si>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</si>
  <si>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</si>
  <si>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</si>
  <si>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</si>
  <si>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</si>
  <si>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</si>
  <si>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</si>
  <si>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</si>
  <si>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</si>
  <si>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</si>
  <si>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</si>
  <si>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</si>
  <si>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</si>
  <si>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</si>
  <si>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</si>
  <si>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</si>
  <si>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</si>
  <si>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</si>
  <si>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</si>
  <si>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</si>
  <si>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</si>
  <si>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</si>
  <si>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</si>
  <si>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</si>
  <si>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</si>
  <si>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</si>
  <si>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</si>
  <si>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</si>
  <si>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</si>
  <si>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</si>
  <si>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</si>
  <si>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</si>
  <si>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</si>
  <si>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</si>
  <si>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</si>
  <si>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</si>
  <si>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</si>
  <si>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</si>
  <si>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</si>
  <si>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</si>
  <si>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</si>
  <si>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</si>
  <si>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</si>
  <si>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</si>
  <si>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</si>
  <si>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</si>
  <si>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</si>
  <si>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</si>
  <si>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</si>
  <si>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</si>
  <si>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</si>
  <si>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</si>
  <si>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</si>
  <si>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</si>
  <si>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</si>
  <si>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</si>
  <si>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</si>
  <si>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</si>
  <si>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</si>
  <si>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</si>
  <si>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</si>
  <si>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</si>
  <si>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</si>
  <si>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</si>
  <si>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</si>
  <si>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</si>
  <si>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</si>
  <si>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</si>
  <si>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</si>
  <si>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</si>
  <si>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</si>
  <si>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</si>
  <si>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</si>
  <si>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</si>
  <si>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</si>
  <si>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</si>
  <si>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</si>
  <si>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</si>
  <si>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</si>
  <si>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</si>
  <si>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</si>
  <si>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</si>
  <si>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</si>
  <si>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</si>
  <si>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</si>
  <si>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</si>
  <si>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</si>
  <si>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</si>
  <si>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</si>
  <si>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</si>
  <si>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</si>
  <si>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</si>
  <si>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</si>
  <si>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</si>
  <si>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</si>
  <si>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</si>
  <si>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</si>
  <si>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</si>
  <si>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</si>
  <si>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</si>
  <si>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</si>
  <si>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</si>
  <si>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</si>
  <si>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</si>
  <si>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</si>
  <si>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</si>
  <si>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</si>
  <si>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</si>
  <si>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</si>
  <si>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</si>
  <si>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</si>
  <si>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</si>
  <si>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</si>
  <si>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</si>
  <si>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</si>
  <si>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</si>
  <si>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</si>
  <si>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</si>
  <si>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</si>
  <si>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</si>
  <si>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</si>
  <si>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</si>
  <si>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</si>
  <si>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</si>
  <si>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</si>
  <si>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</si>
  <si>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</si>
  <si>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</si>
  <si>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</si>
  <si>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</si>
  <si>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</si>
  <si>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</si>
  <si>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</si>
  <si>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</si>
  <si>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</si>
  <si>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</si>
  <si>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</si>
  <si>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</si>
  <si>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</si>
  <si>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</si>
  <si>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</si>
  <si>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</si>
  <si>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</si>
  <si>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</si>
  <si>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</si>
  <si>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</si>
  <si>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</si>
  <si>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</si>
  <si>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</si>
  <si>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</si>
  <si>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</si>
  <si>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</si>
  <si>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</si>
  <si>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</si>
  <si>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</si>
  <si>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</si>
  <si>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</si>
  <si>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</si>
  <si>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</si>
  <si>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</si>
  <si>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</si>
  <si>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</si>
  <si>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</si>
  <si>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</si>
  <si>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</si>
  <si>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</si>
  <si>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</si>
  <si>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</si>
  <si>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</si>
  <si>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</si>
  <si>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</si>
  <si>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</si>
  <si>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</si>
  <si>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</si>
  <si>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</si>
  <si>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</si>
  <si>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</si>
  <si>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</si>
  <si>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</si>
  <si>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</si>
  <si>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</si>
  <si>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</si>
  <si>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</si>
  <si>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</si>
  <si>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</si>
  <si>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</si>
  <si>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</si>
  <si>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</si>
  <si>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</si>
  <si>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</si>
  <si>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</si>
  <si>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</si>
  <si>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</si>
  <si>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</si>
  <si>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</si>
  <si>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</si>
  <si>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</si>
  <si>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</si>
  <si>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</si>
  <si>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</si>
  <si>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</si>
  <si>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</si>
  <si>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</si>
  <si>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</si>
  <si>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</si>
  <si>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</si>
  <si>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</si>
  <si>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</si>
  <si>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</si>
  <si>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</si>
  <si>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</si>
  <si>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</si>
  <si>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</si>
  <si>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</si>
  <si>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</si>
  <si>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</si>
  <si>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</si>
  <si>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</si>
  <si>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</si>
  <si>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</si>
  <si>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</si>
  <si>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</si>
  <si>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</si>
  <si>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</si>
  <si>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</si>
  <si>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</si>
  <si>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</si>
  <si>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</si>
  <si>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</si>
  <si>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</si>
  <si>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</si>
  <si>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</si>
  <si>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</si>
  <si>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</si>
  <si>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</si>
  <si>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</si>
  <si>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</si>
  <si>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</si>
  <si>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</si>
  <si>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</si>
  <si>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</si>
  <si>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</si>
  <si>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</si>
  <si>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</si>
  <si>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</si>
  <si>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</si>
  <si>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</si>
  <si>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</si>
  <si>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</si>
  <si>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</si>
  <si>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</si>
  <si>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</si>
  <si>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</si>
  <si>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</si>
  <si>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</si>
  <si>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</si>
  <si>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</si>
  <si>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</si>
  <si>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</si>
  <si>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</si>
  <si>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</si>
  <si>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</si>
  <si>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</si>
  <si>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</si>
  <si>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</si>
  <si>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</si>
  <si>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</si>
  <si>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</si>
  <si>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</si>
  <si>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</si>
  <si>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</si>
  <si>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</si>
  <si>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</si>
  <si>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</si>
  <si>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</si>
  <si>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</si>
  <si>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</si>
  <si>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</si>
  <si>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</si>
  <si>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</si>
  <si>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</si>
  <si>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</si>
  <si>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</si>
  <si>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</si>
  <si>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</si>
  <si>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</si>
  <si>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</si>
  <si>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</si>
  <si>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</si>
  <si>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</si>
  <si>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</si>
  <si>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</si>
  <si>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</si>
  <si>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</si>
  <si>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</si>
  <si>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</si>
  <si>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</si>
  <si>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</si>
  <si>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</si>
  <si>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</si>
  <si>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</si>
  <si>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</si>
  <si>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</si>
  <si>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</si>
  <si>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</si>
  <si>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</si>
  <si>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</si>
  <si>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</si>
  <si>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</si>
  <si>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</si>
  <si>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</si>
  <si>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</si>
  <si>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</si>
  <si>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</si>
  <si>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</si>
  <si>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</si>
  <si>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</si>
  <si>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</si>
  <si>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</si>
  <si>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</si>
  <si>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</si>
  <si>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</si>
  <si>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</si>
  <si>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</si>
  <si>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</si>
  <si>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</si>
  <si>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</si>
  <si>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</si>
  <si>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</si>
  <si>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</si>
  <si>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</si>
  <si>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</si>
  <si>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</si>
  <si>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</si>
  <si>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</si>
  <si>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</si>
  <si>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</si>
  <si>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</si>
  <si>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</si>
  <si>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</si>
  <si>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</si>
  <si>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</si>
  <si>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</si>
  <si>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</si>
  <si>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</si>
  <si>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</si>
  <si>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</si>
  <si>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</si>
  <si>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</si>
  <si>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</si>
  <si>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</si>
  <si>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</si>
  <si>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</si>
  <si>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</si>
  <si>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</si>
  <si>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</si>
  <si>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</si>
  <si>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</si>
  <si>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</si>
  <si>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</si>
  <si>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</si>
  <si>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</si>
  <si>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</si>
  <si>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</si>
  <si>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</si>
  <si>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</si>
  <si>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</si>
  <si>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</si>
  <si>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</si>
  <si>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</si>
  <si>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</si>
  <si>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</si>
  <si>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</si>
  <si>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</si>
  <si>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</si>
  <si>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</si>
  <si>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</si>
  <si>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</si>
  <si>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</si>
  <si>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</si>
  <si>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</si>
  <si>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</si>
  <si>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</si>
  <si>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</si>
  <si>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</si>
  <si>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</si>
  <si>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</si>
  <si>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</si>
  <si>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</si>
  <si>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</si>
  <si>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</si>
  <si>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</si>
  <si>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</si>
  <si>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</si>
  <si>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</si>
  <si>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</si>
  <si>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</si>
  <si>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</si>
  <si>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</si>
  <si>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</si>
  <si>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</si>
  <si>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</si>
  <si>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</si>
  <si>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</si>
  <si>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</si>
  <si>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</si>
  <si>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</si>
  <si>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</si>
  <si>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</si>
  <si>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</si>
  <si>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</si>
  <si>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</si>
  <si>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</si>
  <si>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</si>
  <si>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</si>
  <si>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</si>
  <si>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</si>
  <si>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</si>
  <si>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</si>
  <si>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</si>
  <si>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</si>
  <si>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</si>
  <si>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</si>
  <si>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</si>
  <si>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</si>
  <si>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</si>
  <si>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</si>
  <si>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</si>
  <si>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</si>
  <si>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</si>
  <si>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</si>
  <si>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</si>
  <si>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</si>
  <si>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</si>
  <si>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</si>
  <si>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</si>
  <si>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</si>
  <si>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</si>
  <si>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</si>
  <si>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</si>
  <si>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</si>
  <si>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</si>
  <si>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</si>
  <si>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</si>
  <si>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</si>
  <si>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</si>
  <si>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</si>
  <si>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</si>
  <si>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</si>
  <si>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</si>
  <si>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</si>
  <si>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</si>
  <si>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</si>
  <si>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</si>
  <si>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</si>
  <si>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</si>
  <si>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</si>
  <si>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</si>
  <si>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</si>
  <si>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</si>
  <si>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</si>
  <si>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</si>
  <si>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</si>
  <si>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</si>
  <si>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</si>
  <si>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</si>
  <si>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</si>
  <si>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</si>
  <si>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</si>
  <si>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</si>
  <si>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</si>
  <si>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</si>
  <si>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</si>
  <si>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</si>
  <si>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</si>
  <si>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</si>
  <si>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</si>
  <si>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</si>
  <si>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</si>
  <si>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</si>
  <si>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</si>
  <si>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</si>
  <si>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</si>
  <si>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</si>
  <si>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</si>
  <si>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</si>
  <si>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</si>
  <si>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</si>
  <si>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</si>
  <si>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</si>
  <si>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</si>
  <si>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</si>
  <si>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</si>
  <si>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</si>
  <si>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</si>
  <si>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</si>
  <si>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</si>
  <si>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</si>
  <si>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</si>
  <si>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</si>
  <si>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</si>
  <si>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</si>
  <si>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</si>
  <si>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</si>
  <si>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</si>
  <si>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</si>
  <si>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</si>
  <si>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</si>
  <si>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</si>
  <si>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</si>
  <si>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</si>
  <si>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</si>
  <si>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</si>
  <si>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</si>
  <si>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</si>
  <si>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</si>
  <si>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</si>
  <si>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</si>
  <si>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</si>
  <si>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</si>
  <si>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</si>
  <si>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</si>
  <si>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</si>
  <si>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</si>
  <si>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</si>
  <si>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</si>
  <si>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</si>
  <si>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</si>
  <si>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</si>
  <si>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</si>
  <si>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</si>
  <si>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</si>
  <si>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</si>
  <si>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</si>
  <si>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</si>
  <si>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</si>
  <si>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</si>
  <si>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</si>
  <si>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</si>
  <si>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</si>
  <si>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</si>
  <si>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</si>
  <si>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</si>
  <si>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</si>
  <si>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</si>
  <si>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</si>
  <si>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</si>
  <si>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</si>
  <si>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</si>
  <si>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</si>
  <si>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</si>
  <si>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</si>
  <si>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</si>
  <si>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</si>
  <si>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</si>
  <si>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</si>
  <si>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</si>
  <si>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</si>
  <si>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</si>
  <si>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</si>
  <si>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</si>
  <si>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</si>
  <si>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</si>
  <si>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</si>
  <si>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</si>
  <si>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</si>
  <si>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</si>
  <si>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</si>
  <si>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</si>
  <si>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</si>
  <si>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</si>
  <si>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</si>
  <si>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</si>
  <si>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</si>
  <si>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</si>
  <si>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</si>
  <si>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</si>
  <si>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</si>
  <si>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</si>
  <si>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</si>
  <si>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</si>
  <si>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</si>
  <si>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</si>
  <si>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</si>
  <si>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</si>
  <si>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</si>
  <si>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</si>
  <si>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</si>
  <si>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</si>
  <si>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</si>
  <si>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</si>
  <si>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</si>
  <si>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</si>
  <si>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</si>
  <si>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</si>
  <si>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</si>
  <si>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</si>
  <si>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</si>
  <si>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</si>
  <si>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</si>
  <si>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</si>
  <si>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</si>
  <si>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</si>
  <si>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</si>
  <si>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</si>
  <si>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</si>
  <si>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</si>
  <si>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</si>
  <si>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</si>
  <si>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</si>
  <si>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</si>
  <si>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</si>
  <si>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</si>
  <si>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</si>
  <si>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</si>
  <si>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</si>
  <si>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</si>
  <si>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</si>
  <si>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</si>
  <si>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</si>
  <si>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</si>
  <si>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</si>
  <si>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</si>
  <si>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</si>
  <si>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</si>
  <si>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</si>
  <si>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</si>
  <si>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</si>
  <si>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</si>
  <si>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</si>
  <si>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</si>
  <si>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</si>
  <si>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</si>
  <si>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</si>
  <si>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</si>
  <si>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</si>
  <si>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</si>
  <si>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</si>
  <si>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</si>
  <si>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</si>
  <si>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</si>
  <si>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</si>
  <si>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</si>
  <si>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</si>
  <si>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</si>
  <si>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</si>
  <si>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</si>
  <si>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</si>
  <si>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</si>
  <si>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</si>
  <si>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</si>
  <si>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</si>
  <si>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</si>
  <si>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</si>
  <si>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</si>
  <si>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</si>
  <si>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</si>
  <si>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</si>
  <si>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</si>
  <si>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</si>
  <si>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</si>
  <si>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</si>
  <si>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</si>
  <si>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</si>
  <si>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</si>
  <si>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</si>
  <si>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</si>
  <si>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</si>
  <si>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</si>
  <si>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</si>
  <si>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</si>
  <si>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</si>
  <si>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</si>
  <si>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</si>
  <si>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</si>
  <si>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</si>
  <si>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</si>
  <si>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</si>
  <si>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</si>
  <si>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</si>
  <si>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</si>
  <si>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</si>
  <si>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</si>
  <si>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</si>
  <si>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</si>
  <si>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</si>
  <si>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</si>
  <si>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</si>
  <si>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</si>
  <si>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</si>
  <si>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</si>
  <si>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</si>
  <si>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</si>
  <si>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</si>
  <si>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A02RNLQ</t>
  </si>
  <si>
    <t>R 1800 W CAUSEWAY APPROACH RD</t>
  </si>
  <si>
    <t>2140PC</t>
  </si>
  <si>
    <t>PON2140PC</t>
  </si>
  <si>
    <t>F 240-1 BEAU RIVAGE DR</t>
  </si>
  <si>
    <t>F 9-1 RED CYPRESS CT</t>
  </si>
  <si>
    <t>F 13-1 RED CYPRESS CT</t>
  </si>
  <si>
    <t>F 16-1 RED CYPRESS CT</t>
  </si>
  <si>
    <t>F 245-1 SILVER MAPLE DR</t>
  </si>
  <si>
    <t>F 265-1 SILVER MAPLE DR</t>
  </si>
  <si>
    <t>F 325-1 LOTUS DR S</t>
  </si>
  <si>
    <t>OPP 330-1 LOTUS DR S</t>
  </si>
  <si>
    <t>F 330-1 BEAU RIVAGE DR</t>
  </si>
  <si>
    <t>F 350-1 BEAU RIVAGE DR</t>
  </si>
  <si>
    <t>F 35-1 BERG CT</t>
  </si>
  <si>
    <t>F 335-1 GARDEN AVE</t>
  </si>
  <si>
    <t>F 390-1 GARDEN AVE</t>
  </si>
  <si>
    <t>F 375-1 LOTUS DR S</t>
  </si>
  <si>
    <t>F 355-1 GARDEN AVE</t>
  </si>
  <si>
    <t>F 395-1 GARDEN AVE</t>
  </si>
  <si>
    <t>F 399-1 GARDEN AVE</t>
  </si>
  <si>
    <t>F 425-1 GARDEN AVE</t>
  </si>
  <si>
    <t>F 541-1 GARDEN AVE</t>
  </si>
  <si>
    <t>F 561-1 GARDEN AVE</t>
  </si>
  <si>
    <t>F 430-1 DORADO DR</t>
  </si>
  <si>
    <t>F 510-1 DORADO DR</t>
  </si>
  <si>
    <t>F 530-1 DORADO DR</t>
  </si>
  <si>
    <t>F 404-1 VENUS DR</t>
  </si>
  <si>
    <t>F 310-1 AZALEA DR</t>
  </si>
  <si>
    <t>F 364-1 AZALEA DR</t>
  </si>
  <si>
    <t>F 398-1 AZALEA DR</t>
  </si>
  <si>
    <t>F 315-1 MOSS LN</t>
  </si>
  <si>
    <t>F 335-1 MOSS LN</t>
  </si>
  <si>
    <t>F 355-1 MOSS LN</t>
  </si>
  <si>
    <t>F 530-1 LOTUS DR N</t>
  </si>
  <si>
    <t>F 510-1 LOTUS DR N</t>
  </si>
  <si>
    <t>F 490-1 LOTUS DR N</t>
  </si>
  <si>
    <t>F 470-1 LOTUS DR N</t>
  </si>
  <si>
    <t>F 430-1 LOTUS DR N</t>
  </si>
  <si>
    <t>F 325-1 JASMINE DR</t>
  </si>
  <si>
    <t>F 315-1 JASMINE DR</t>
  </si>
  <si>
    <t>OPP 340-1 GARDEN AVE</t>
  </si>
  <si>
    <t>F 110-2 BEAU RIVAGE DR</t>
  </si>
  <si>
    <t>F 130-2 BEAU RIVAGE DR</t>
  </si>
  <si>
    <t>F 150-2 BEAU RIVAGE DR</t>
  </si>
  <si>
    <t>F 170-2 BEAU RIVAGE DR</t>
  </si>
  <si>
    <t>F 190-2 BEAU RIVAGE DR</t>
  </si>
  <si>
    <t>F 210-2 BEAU RIVAGE DR</t>
  </si>
  <si>
    <t>F 230-2 BEAU RIVAGE DR</t>
  </si>
  <si>
    <t>F 5-2 RED CYPRESS CT</t>
  </si>
  <si>
    <t>F 280-2 BEAU RIVAGE DR</t>
  </si>
  <si>
    <t>F 300-2 BEAU RIVAGE DR</t>
  </si>
  <si>
    <t>F 320-2 BEAU RIVAGE DR</t>
  </si>
  <si>
    <t>F 210-2 LOTUS DR S</t>
  </si>
  <si>
    <t>F 230-2 LOTUS DR S</t>
  </si>
  <si>
    <t>F 250-2 LOTUS DR S</t>
  </si>
  <si>
    <t>F 270-2 LOTUS DR S</t>
  </si>
  <si>
    <t>F 290-2 LOTUS DR S</t>
  </si>
  <si>
    <t>F 235-2 MOSS LN</t>
  </si>
  <si>
    <t>F 235-2 GARDEN AVE</t>
  </si>
  <si>
    <t>F 255-2 GARDEN AVE</t>
  </si>
  <si>
    <t>F 295-2 GARDEN AVE</t>
  </si>
  <si>
    <t>F 275-2 GARDEN AVE</t>
  </si>
  <si>
    <t>F 420-2 HEAVENS DR</t>
  </si>
  <si>
    <t>F 412-2 HEAVENS DR</t>
  </si>
  <si>
    <t>F 406-2 HEAVENS DR</t>
  </si>
  <si>
    <t>F 280-2 AZALEA DR</t>
  </si>
  <si>
    <t>F 300-2 AZALEA DR</t>
  </si>
  <si>
    <t>F 340-2 AZALEA DR</t>
  </si>
  <si>
    <t>F 365-2 MOSS LN</t>
  </si>
  <si>
    <t>OPP 350-1 LOTUS DR S</t>
  </si>
  <si>
    <t>F 20-1 BERG CT</t>
  </si>
  <si>
    <t>F 420-1 LOTUS DR N</t>
  </si>
  <si>
    <t>F 245-1 MOSS LN</t>
  </si>
  <si>
    <t>MNVLLAMA</t>
  </si>
  <si>
    <t>F 355-2 CAMELLIA LN</t>
  </si>
  <si>
    <t>F 370-1 BEAU RIVAGE DR</t>
  </si>
  <si>
    <t>F 250-2 BEAU RIVAGE DR</t>
  </si>
  <si>
    <t>F 14-2 RED CYPRESS CT</t>
  </si>
  <si>
    <t>F 225-2 SILVER MAPLE DR</t>
  </si>
  <si>
    <t>F 380-2 BEAU RIVAGE DR</t>
  </si>
  <si>
    <t>F 400-2 BEAU RIVAGE DR</t>
  </si>
  <si>
    <t>F 375-2 BEAU RIVAGE DR</t>
  </si>
  <si>
    <t>F 30-2 BERG CT</t>
  </si>
  <si>
    <t>F 315-2 GARDEN AVE</t>
  </si>
  <si>
    <t>OPP 315-2 HYACINTH LN</t>
  </si>
  <si>
    <t>F 375-2 GARDEN AVE</t>
  </si>
  <si>
    <t>F 417-2 VENUS DR</t>
  </si>
  <si>
    <t>F 409-2 VENUS DR</t>
  </si>
  <si>
    <t>F 260-2 AZALEA DR</t>
  </si>
  <si>
    <t>F 380-2 AZALEA DR</t>
  </si>
  <si>
    <t>F 390-2 AZALEA DR</t>
  </si>
  <si>
    <t>F 275-2 MOSS LN</t>
  </si>
  <si>
    <t>F 295-2 MOSS LN</t>
  </si>
  <si>
    <t>F 365-2 JASMINE DR</t>
  </si>
  <si>
    <t>F 345-2 JASMINE DR</t>
  </si>
  <si>
    <t>F 550-2 LOTUS DR N</t>
  </si>
  <si>
    <t>F 385-2 JASMINE DR</t>
  </si>
  <si>
    <t>F 450-2 LOTUS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</si>
</sst>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222222"/>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N6" sqref="N6"/>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110-2 BEAU RIVAGE DR</v>
      </c>
      <c r="B1" s="118"/>
      <c r="C1" s="118"/>
      <c r="D1" s="118"/>
      <c r="E1" s="118"/>
      <c r="G1" t="str">
        <f>IF('Assignment Tool'!C1="","",IF('Assignment Tool'!C1="FST",'Assignment Tool'!D1,""))</f>
        <v/>
      </c>
      <c r="H1">
        <v>1</v>
      </c>
      <c r="I1">
        <v>1</v>
      </c>
      <c r="J1" t="str">
        <f t="array" ref="J1">IFERROR(INDEX($G$2:$G$2050,_xlfn.AGGREGATE(15,6,(ROW($G$2:$G$2050)-ROW($G$2)+1)/($G$2:$G$2050&lt;&gt;""),ROWS(J$1:J1))),"")</f>
        <v>F 110-2 BEAU RIVAGE DR</v>
      </c>
      <c r="K1">
        <f>IF(J1="","",INDEX('Assignment Tool'!E17:E2050,MATCH(FA_DATA!J1,'Assignment Tool'!D17:D2050,0)))</f>
        <v>4</v>
      </c>
    </row>
    <row r="2" spans="1:11" x14ac:dyDescent="0.25">
      <c r="A2" s="118" t="str">
        <f t="shared" ref="A2:A65" si="0">VLOOKUP(H2,$I$1:$J$1000,2)</f>
        <v>F 110-2 BEAU RIVAGE DR</v>
      </c>
      <c r="G2" t="str">
        <f>IF('Assignment Tool'!C2="","",IF('Assignment Tool'!C2="FST",'Assignment Tool'!D2,""))</f>
        <v/>
      </c>
      <c r="H2">
        <v>2</v>
      </c>
      <c r="I2">
        <f>IFERROR((I1+K1),"")</f>
        <v>5</v>
      </c>
      <c r="J2" t="str">
        <f t="array" ref="J2">IFERROR(INDEX($G$2:$G$2050,_xlfn.AGGREGATE(15,6,(ROW($G$2:$G$2050)-ROW($G$2)+1)/($G$2:$G$2050&lt;&gt;""),ROWS(J$1:J2))),"")</f>
        <v>F 130-2 BEAU RIVAGE DR</v>
      </c>
      <c r="K2">
        <f>IF(J2="","",INDEX('Assignment Tool'!E18:E2051,MATCH(FA_DATA!J2,'Assignment Tool'!D18:D2051,0)))</f>
        <v>4</v>
      </c>
    </row>
    <row r="3" spans="1:11" x14ac:dyDescent="0.25">
      <c r="A3" s="118" t="str">
        <f t="shared" si="0"/>
        <v>F 110-2 BEAU RIVAGE DR</v>
      </c>
      <c r="G3" t="str">
        <f>IF('Assignment Tool'!C3="","",IF('Assignment Tool'!C3="FST",'Assignment Tool'!D3,""))</f>
        <v/>
      </c>
      <c r="H3">
        <v>3</v>
      </c>
      <c r="I3">
        <f t="shared" ref="I3:I66" si="1">IFERROR((I2+K2),"")</f>
        <v>9</v>
      </c>
      <c r="J3" t="str">
        <f t="array" ref="J3">IFERROR(INDEX($G$2:$G$2050,_xlfn.AGGREGATE(15,6,(ROW($G$2:$G$2050)-ROW($G$2)+1)/($G$2:$G$2050&lt;&gt;""),ROWS(J$1:J3))),"")</f>
        <v>F 150-2 BEAU RIVAGE DR</v>
      </c>
      <c r="K3">
        <f>IF(J3="","",INDEX('Assignment Tool'!E19:E2052,MATCH(FA_DATA!J3,'Assignment Tool'!D19:D2052,0)))</f>
        <v>4</v>
      </c>
    </row>
    <row r="4" spans="1:11" x14ac:dyDescent="0.25">
      <c r="A4" s="118" t="str">
        <f t="shared" si="0"/>
        <v>F 110-2 BEAU RIVAGE DR</v>
      </c>
      <c r="G4" t="str">
        <f>IF('Assignment Tool'!C4="","",IF('Assignment Tool'!C4="FST",'Assignment Tool'!D4,""))</f>
        <v/>
      </c>
      <c r="H4">
        <v>4</v>
      </c>
      <c r="I4">
        <f t="shared" si="1"/>
        <v>13</v>
      </c>
      <c r="J4" t="str">
        <f t="array" ref="J4">IFERROR(INDEX($G$2:$G$2050,_xlfn.AGGREGATE(15,6,(ROW($G$2:$G$2050)-ROW($G$2)+1)/($G$2:$G$2050&lt;&gt;""),ROWS(J$1:J4))),"")</f>
        <v>F 170-2 BEAU RIVAGE DR</v>
      </c>
      <c r="K4">
        <f>IF(J4="","",INDEX('Assignment Tool'!E20:E2053,MATCH(FA_DATA!J4,'Assignment Tool'!D20:D2053,0)))</f>
        <v>4</v>
      </c>
    </row>
    <row r="5" spans="1:11" x14ac:dyDescent="0.25">
      <c r="A5" s="118" t="str">
        <f t="shared" si="0"/>
        <v>F 130-2 BEAU RIVAGE DR</v>
      </c>
      <c r="G5" t="str">
        <f>IF('Assignment Tool'!C5="","",IF('Assignment Tool'!C5="FST",'Assignment Tool'!D5,""))</f>
        <v/>
      </c>
      <c r="H5">
        <v>5</v>
      </c>
      <c r="I5">
        <f t="shared" si="1"/>
        <v>17</v>
      </c>
      <c r="J5" t="str">
        <f t="array" ref="J5">IFERROR(INDEX($G$2:$G$2050,_xlfn.AGGREGATE(15,6,(ROW($G$2:$G$2050)-ROW($G$2)+1)/($G$2:$G$2050&lt;&gt;""),ROWS(J$1:J5))),"")</f>
        <v>F 190-2 BEAU RIVAGE DR</v>
      </c>
      <c r="K5">
        <f>IF(J5="","",INDEX('Assignment Tool'!E21:E2054,MATCH(FA_DATA!J5,'Assignment Tool'!D21:D2054,0)))</f>
        <v>4</v>
      </c>
    </row>
    <row r="6" spans="1:11" x14ac:dyDescent="0.25">
      <c r="A6" s="118" t="str">
        <f t="shared" si="0"/>
        <v>F 130-2 BEAU RIVAGE DR</v>
      </c>
      <c r="G6" t="str">
        <f>IF('Assignment Tool'!C6="","",IF('Assignment Tool'!C6="FST",'Assignment Tool'!D6,""))</f>
        <v/>
      </c>
      <c r="H6">
        <v>6</v>
      </c>
      <c r="I6">
        <f t="shared" si="1"/>
        <v>21</v>
      </c>
      <c r="J6" t="str">
        <f t="array" ref="J6">IFERROR(INDEX($G$2:$G$2050,_xlfn.AGGREGATE(15,6,(ROW($G$2:$G$2050)-ROW($G$2)+1)/($G$2:$G$2050&lt;&gt;""),ROWS(J$1:J6))),"")</f>
        <v>F 210-2 BEAU RIVAGE DR</v>
      </c>
      <c r="K6">
        <f>IF(J6="","",INDEX('Assignment Tool'!E22:E2055,MATCH(FA_DATA!J6,'Assignment Tool'!D22:D2055,0)))</f>
        <v>4</v>
      </c>
    </row>
    <row r="7" spans="1:11" x14ac:dyDescent="0.25">
      <c r="A7" s="118" t="str">
        <f t="shared" si="0"/>
        <v>F 130-2 BEAU RIVAGE DR</v>
      </c>
      <c r="G7" t="str">
        <f>IF('Assignment Tool'!C7="","",IF('Assignment Tool'!C7="FST",'Assignment Tool'!D7,""))</f>
        <v/>
      </c>
      <c r="H7">
        <v>7</v>
      </c>
      <c r="I7">
        <f t="shared" si="1"/>
        <v>25</v>
      </c>
      <c r="J7" t="str">
        <f t="array" ref="J7">IFERROR(INDEX($G$2:$G$2050,_xlfn.AGGREGATE(15,6,(ROW($G$2:$G$2050)-ROW($G$2)+1)/($G$2:$G$2050&lt;&gt;""),ROWS(J$1:J7))),"")</f>
        <v>F 230-2 BEAU RIVAGE DR</v>
      </c>
      <c r="K7">
        <f>IF(J7="","",INDEX('Assignment Tool'!E23:E2056,MATCH(FA_DATA!J7,'Assignment Tool'!D23:D2056,0)))</f>
        <v>4</v>
      </c>
    </row>
    <row r="8" spans="1:11" x14ac:dyDescent="0.25">
      <c r="A8" s="118" t="str">
        <f t="shared" si="0"/>
        <v>F 130-2 BEAU RIVAGE DR</v>
      </c>
      <c r="G8" t="str">
        <f>IF('Assignment Tool'!C8="","",IF('Assignment Tool'!C8="FST",'Assignment Tool'!D8,""))</f>
        <v/>
      </c>
      <c r="H8">
        <v>8</v>
      </c>
      <c r="I8">
        <f t="shared" si="1"/>
        <v>29</v>
      </c>
      <c r="J8" t="str">
        <f t="array" ref="J8">IFERROR(INDEX($G$2:$G$2050,_xlfn.AGGREGATE(15,6,(ROW($G$2:$G$2050)-ROW($G$2)+1)/($G$2:$G$2050&lt;&gt;""),ROWS(J$1:J8))),"")</f>
        <v>F 240-1 BEAU RIVAGE DR</v>
      </c>
      <c r="K8">
        <f>IF(J8="","",INDEX('Assignment Tool'!E24:E2057,MATCH(FA_DATA!J8,'Assignment Tool'!D24:D2057,0)))</f>
        <v>4</v>
      </c>
    </row>
    <row r="9" spans="1:11" x14ac:dyDescent="0.25">
      <c r="A9" s="118" t="str">
        <f t="shared" si="0"/>
        <v>F 150-2 BEAU RIVAGE DR</v>
      </c>
      <c r="G9" t="str">
        <f>IF('Assignment Tool'!C9="","",IF('Assignment Tool'!C9="FST",'Assignment Tool'!D9,""))</f>
        <v/>
      </c>
      <c r="H9">
        <v>9</v>
      </c>
      <c r="I9">
        <f t="shared" si="1"/>
        <v>33</v>
      </c>
      <c r="J9" t="str">
        <f t="array" ref="J9">IFERROR(INDEX($G$2:$G$2050,_xlfn.AGGREGATE(15,6,(ROW($G$2:$G$2050)-ROW($G$2)+1)/($G$2:$G$2050&lt;&gt;""),ROWS(J$1:J9))),"")</f>
        <v>F 250-2 BEAU RIVAGE DR</v>
      </c>
      <c r="K9">
        <f>IF(J9="","",INDEX('Assignment Tool'!E25:E2058,MATCH(FA_DATA!J9,'Assignment Tool'!D25:D2058,0)))</f>
        <v>4</v>
      </c>
    </row>
    <row r="10" spans="1:11" x14ac:dyDescent="0.25">
      <c r="A10" s="118" t="str">
        <f t="shared" si="0"/>
        <v>F 150-2 BEAU RIVAGE DR</v>
      </c>
      <c r="G10" t="str">
        <f>IF('Assignment Tool'!C10="","",IF('Assignment Tool'!C10="FST",'Assignment Tool'!D10,""))</f>
        <v/>
      </c>
      <c r="H10">
        <v>10</v>
      </c>
      <c r="I10">
        <f t="shared" si="1"/>
        <v>37</v>
      </c>
      <c r="J10" t="str">
        <f t="array" ref="J10">IFERROR(INDEX($G$2:$G$2050,_xlfn.AGGREGATE(15,6,(ROW($G$2:$G$2050)-ROW($G$2)+1)/($G$2:$G$2050&lt;&gt;""),ROWS(J$1:J10))),"")</f>
        <v>F 5-2 RED CYPRESS CT</v>
      </c>
      <c r="K10">
        <f>IF(J10="","",INDEX('Assignment Tool'!E26:E2059,MATCH(FA_DATA!J10,'Assignment Tool'!D26:D2059,0)))</f>
        <v>4</v>
      </c>
    </row>
    <row r="11" spans="1:11" x14ac:dyDescent="0.25">
      <c r="A11" s="118" t="str">
        <f t="shared" si="0"/>
        <v>F 150-2 BEAU RIVAGE DR</v>
      </c>
      <c r="G11" t="str">
        <f>IF('Assignment Tool'!C11="","",IF('Assignment Tool'!C11="FST",'Assignment Tool'!D11,""))</f>
        <v/>
      </c>
      <c r="H11">
        <v>11</v>
      </c>
      <c r="I11">
        <f t="shared" si="1"/>
        <v>41</v>
      </c>
      <c r="J11" t="str">
        <f t="array" ref="J11">IFERROR(INDEX($G$2:$G$2050,_xlfn.AGGREGATE(15,6,(ROW($G$2:$G$2050)-ROW($G$2)+1)/($G$2:$G$2050&lt;&gt;""),ROWS(J$1:J11))),"")</f>
        <v>F 9-1 RED CYPRESS CT</v>
      </c>
      <c r="K11">
        <f>IF(J11="","",INDEX('Assignment Tool'!E27:E2060,MATCH(FA_DATA!J11,'Assignment Tool'!D27:D2060,0)))</f>
        <v>4</v>
      </c>
    </row>
    <row r="12" spans="1:11" x14ac:dyDescent="0.25">
      <c r="A12" s="118" t="str">
        <f t="shared" si="0"/>
        <v>F 150-2 BEAU RIVAGE DR</v>
      </c>
      <c r="G12" t="str">
        <f>IF('Assignment Tool'!C12="","",IF('Assignment Tool'!C12="FST",'Assignment Tool'!D12,""))</f>
        <v/>
      </c>
      <c r="H12">
        <v>12</v>
      </c>
      <c r="I12">
        <f t="shared" si="1"/>
        <v>45</v>
      </c>
      <c r="J12" t="str">
        <f t="array" ref="J12">IFERROR(INDEX($G$2:$G$2050,_xlfn.AGGREGATE(15,6,(ROW($G$2:$G$2050)-ROW($G$2)+1)/($G$2:$G$2050&lt;&gt;""),ROWS(J$1:J12))),"")</f>
        <v>F 13-1 RED CYPRESS CT</v>
      </c>
      <c r="K12">
        <f>IF(J12="","",INDEX('Assignment Tool'!E28:E2061,MATCH(FA_DATA!J12,'Assignment Tool'!D28:D2061,0)))</f>
        <v>8</v>
      </c>
    </row>
    <row r="13" spans="1:11" x14ac:dyDescent="0.25">
      <c r="A13" s="118" t="str">
        <f t="shared" si="0"/>
        <v>F 170-2 BEAU RIVAGE DR</v>
      </c>
      <c r="G13" t="str">
        <f>IF('Assignment Tool'!C13="","",IF('Assignment Tool'!C13="FST",'Assignment Tool'!D13,""))</f>
        <v/>
      </c>
      <c r="H13">
        <v>13</v>
      </c>
      <c r="I13">
        <f t="shared" si="1"/>
        <v>53</v>
      </c>
      <c r="J13" t="str">
        <f t="array" ref="J13">IFERROR(INDEX($G$2:$G$2050,_xlfn.AGGREGATE(15,6,(ROW($G$2:$G$2050)-ROW($G$2)+1)/($G$2:$G$2050&lt;&gt;""),ROWS(J$1:J13))),"")</f>
        <v>F 16-1 RED CYPRESS CT</v>
      </c>
      <c r="K13">
        <f>IF(J13="","",INDEX('Assignment Tool'!E29:E2062,MATCH(FA_DATA!J13,'Assignment Tool'!D29:D2062,0)))</f>
        <v>4</v>
      </c>
    </row>
    <row r="14" spans="1:11" x14ac:dyDescent="0.25">
      <c r="A14" s="118" t="str">
        <f t="shared" si="0"/>
        <v>F 170-2 BEAU RIVAGE DR</v>
      </c>
      <c r="G14" t="str">
        <f>IF('Assignment Tool'!C14="","",IF('Assignment Tool'!C14="FST",'Assignment Tool'!D14,""))</f>
        <v/>
      </c>
      <c r="H14">
        <v>14</v>
      </c>
      <c r="I14">
        <f t="shared" si="1"/>
        <v>57</v>
      </c>
      <c r="J14" t="str">
        <f t="array" ref="J14">IFERROR(INDEX($G$2:$G$2050,_xlfn.AGGREGATE(15,6,(ROW($G$2:$G$2050)-ROW($G$2)+1)/($G$2:$G$2050&lt;&gt;""),ROWS(J$1:J14))),"")</f>
        <v>F 14-2 RED CYPRESS CT</v>
      </c>
      <c r="K14">
        <f>IF(J14="","",INDEX('Assignment Tool'!E30:E2063,MATCH(FA_DATA!J14,'Assignment Tool'!D30:D2063,0)))</f>
        <v>4</v>
      </c>
    </row>
    <row r="15" spans="1:11" x14ac:dyDescent="0.25">
      <c r="A15" s="118" t="str">
        <f t="shared" si="0"/>
        <v>F 170-2 BEAU RIVAGE DR</v>
      </c>
      <c r="G15" t="str">
        <f>IF('Assignment Tool'!C15="","",IF('Assignment Tool'!C15="FST",'Assignment Tool'!D15,""))</f>
        <v/>
      </c>
      <c r="H15">
        <v>15</v>
      </c>
      <c r="I15">
        <f t="shared" si="1"/>
        <v>61</v>
      </c>
      <c r="J15" t="str">
        <f t="array" ref="J15">IFERROR(INDEX($G$2:$G$2050,_xlfn.AGGREGATE(15,6,(ROW($G$2:$G$2050)-ROW($G$2)+1)/($G$2:$G$2050&lt;&gt;""),ROWS(J$1:J15))),"")</f>
        <v>F 225-2 SILVER MAPLE DR</v>
      </c>
      <c r="K15">
        <f>IF(J15="","",INDEX('Assignment Tool'!E31:E2064,MATCH(FA_DATA!J15,'Assignment Tool'!D31:D2064,0)))</f>
        <v>4</v>
      </c>
    </row>
    <row r="16" spans="1:11" x14ac:dyDescent="0.25">
      <c r="A16" s="118" t="str">
        <f t="shared" si="0"/>
        <v>F 170-2 BEAU RIVAGE DR</v>
      </c>
      <c r="G16" t="str">
        <f>IF('Assignment Tool'!C16="","",IF('Assignment Tool'!C16="FST",'Assignment Tool'!D16,""))</f>
        <v/>
      </c>
      <c r="H16">
        <v>16</v>
      </c>
      <c r="I16">
        <f t="shared" si="1"/>
        <v>65</v>
      </c>
      <c r="J16" t="str">
        <f t="array" ref="J16">IFERROR(INDEX($G$2:$G$2050,_xlfn.AGGREGATE(15,6,(ROW($G$2:$G$2050)-ROW($G$2)+1)/($G$2:$G$2050&lt;&gt;""),ROWS(J$1:J16))),"")</f>
        <v>F 245-1 SILVER MAPLE DR</v>
      </c>
      <c r="K16">
        <f>IF(J16="","",INDEX('Assignment Tool'!E32:E2065,MATCH(FA_DATA!J16,'Assignment Tool'!D32:D2065,0)))</f>
        <v>4</v>
      </c>
    </row>
    <row r="17" spans="1:11" x14ac:dyDescent="0.25">
      <c r="A17" s="118" t="str">
        <f t="shared" si="0"/>
        <v>F 190-2 BEAU RIVAGE DR</v>
      </c>
      <c r="G17" t="str">
        <f>IF('Assignment Tool'!C17="","",IF('Assignment Tool'!C17="FST",'Assignment Tool'!D17,""))</f>
        <v>F 110-2 BEAU RIVAGE DR</v>
      </c>
      <c r="H17">
        <v>17</v>
      </c>
      <c r="I17">
        <f t="shared" si="1"/>
        <v>69</v>
      </c>
      <c r="J17" t="str">
        <f t="array" ref="J17">IFERROR(INDEX($G$2:$G$2050,_xlfn.AGGREGATE(15,6,(ROW($G$2:$G$2050)-ROW($G$2)+1)/($G$2:$G$2050&lt;&gt;""),ROWS(J$1:J17))),"")</f>
        <v>F 265-1 SILVER MAPLE DR</v>
      </c>
      <c r="K17">
        <f>IF(J17="","",INDEX('Assignment Tool'!E33:E2066,MATCH(FA_DATA!J17,'Assignment Tool'!D33:D2066,0)))</f>
        <v>4</v>
      </c>
    </row>
    <row r="18" spans="1:11" x14ac:dyDescent="0.25">
      <c r="A18" s="118" t="str">
        <f t="shared" si="0"/>
        <v>F 190-2 BEAU RIVAGE DR</v>
      </c>
      <c r="G18" t="str">
        <f>IF('Assignment Tool'!C18="","",IF('Assignment Tool'!C18="FST",'Assignment Tool'!D18,""))</f>
        <v>F 130-2 BEAU RIVAGE DR</v>
      </c>
      <c r="H18">
        <v>18</v>
      </c>
      <c r="I18">
        <f t="shared" si="1"/>
        <v>73</v>
      </c>
      <c r="J18" t="str">
        <f t="array" ref="J18">IFERROR(INDEX($G$2:$G$2050,_xlfn.AGGREGATE(15,6,(ROW($G$2:$G$2050)-ROW($G$2)+1)/($G$2:$G$2050&lt;&gt;""),ROWS(J$1:J18))),"")</f>
        <v>F 325-1 LOTUS DR S</v>
      </c>
      <c r="K18">
        <f>IF(J18="","",INDEX('Assignment Tool'!E34:E2067,MATCH(FA_DATA!J18,'Assignment Tool'!D34:D2067,0)))</f>
        <v>4</v>
      </c>
    </row>
    <row r="19" spans="1:11" x14ac:dyDescent="0.25">
      <c r="A19" s="118" t="str">
        <f t="shared" si="0"/>
        <v>F 190-2 BEAU RIVAGE DR</v>
      </c>
      <c r="G19" t="str">
        <f>IF('Assignment Tool'!C19="","",IF('Assignment Tool'!C19="FST",'Assignment Tool'!D19,""))</f>
        <v>F 150-2 BEAU RIVAGE DR</v>
      </c>
      <c r="H19">
        <v>19</v>
      </c>
      <c r="I19">
        <f t="shared" si="1"/>
        <v>77</v>
      </c>
      <c r="J19" t="str">
        <f t="array" ref="J19">IFERROR(INDEX($G$2:$G$2050,_xlfn.AGGREGATE(15,6,(ROW($G$2:$G$2050)-ROW($G$2)+1)/($G$2:$G$2050&lt;&gt;""),ROWS(J$1:J19))),"")</f>
        <v>OPP 330-1 LOTUS DR S</v>
      </c>
      <c r="K19">
        <f>IF(J19="","",INDEX('Assignment Tool'!E35:E2068,MATCH(FA_DATA!J19,'Assignment Tool'!D35:D2068,0)))</f>
        <v>4</v>
      </c>
    </row>
    <row r="20" spans="1:11" x14ac:dyDescent="0.25">
      <c r="A20" s="118" t="str">
        <f t="shared" si="0"/>
        <v>F 190-2 BEAU RIVAGE DR</v>
      </c>
      <c r="G20" t="str">
        <f>IF('Assignment Tool'!C20="","",IF('Assignment Tool'!C20="FST",'Assignment Tool'!D20,""))</f>
        <v>F 170-2 BEAU RIVAGE DR</v>
      </c>
      <c r="H20">
        <v>20</v>
      </c>
      <c r="I20">
        <f t="shared" si="1"/>
        <v>81</v>
      </c>
      <c r="J20" t="str">
        <f t="array" ref="J20">IFERROR(INDEX($G$2:$G$2050,_xlfn.AGGREGATE(15,6,(ROW($G$2:$G$2050)-ROW($G$2)+1)/($G$2:$G$2050&lt;&gt;""),ROWS(J$1:J20))),"")</f>
        <v>OPP 350-1 LOTUS DR S</v>
      </c>
      <c r="K20">
        <f>IF(J20="","",INDEX('Assignment Tool'!E36:E2069,MATCH(FA_DATA!J20,'Assignment Tool'!D36:D2069,0)))</f>
        <v>4</v>
      </c>
    </row>
    <row r="21" spans="1:11" x14ac:dyDescent="0.25">
      <c r="A21" s="118" t="str">
        <f t="shared" si="0"/>
        <v>F 210-2 BEAU RIVAGE DR</v>
      </c>
      <c r="G21" t="str">
        <f>IF('Assignment Tool'!C21="","",IF('Assignment Tool'!C21="FST",'Assignment Tool'!D21,""))</f>
        <v>F 190-2 BEAU RIVAGE DR</v>
      </c>
      <c r="H21">
        <v>21</v>
      </c>
      <c r="I21">
        <f t="shared" si="1"/>
        <v>85</v>
      </c>
      <c r="J21" t="str">
        <f t="array" ref="J21">IFERROR(INDEX($G$2:$G$2050,_xlfn.AGGREGATE(15,6,(ROW($G$2:$G$2050)-ROW($G$2)+1)/($G$2:$G$2050&lt;&gt;""),ROWS(J$1:J21))),"")</f>
        <v>F 280-2 BEAU RIVAGE DR</v>
      </c>
      <c r="K21">
        <f>IF(J21="","",INDEX('Assignment Tool'!E37:E2070,MATCH(FA_DATA!J21,'Assignment Tool'!D37:D2070,0)))</f>
        <v>4</v>
      </c>
    </row>
    <row r="22" spans="1:11" x14ac:dyDescent="0.25">
      <c r="A22" s="118" t="str">
        <f t="shared" si="0"/>
        <v>F 210-2 BEAU RIVAGE DR</v>
      </c>
      <c r="G22" t="str">
        <f>IF('Assignment Tool'!C22="","",IF('Assignment Tool'!C22="FST",'Assignment Tool'!D22,""))</f>
        <v>F 210-2 BEAU RIVAGE DR</v>
      </c>
      <c r="H22">
        <v>22</v>
      </c>
      <c r="I22">
        <f t="shared" si="1"/>
        <v>89</v>
      </c>
      <c r="J22" t="str">
        <f t="array" ref="J22">IFERROR(INDEX($G$2:$G$2050,_xlfn.AGGREGATE(15,6,(ROW($G$2:$G$2050)-ROW($G$2)+1)/($G$2:$G$2050&lt;&gt;""),ROWS(J$1:J22))),"")</f>
        <v>F 300-2 BEAU RIVAGE DR</v>
      </c>
      <c r="K22">
        <f>IF(J22="","",INDEX('Assignment Tool'!E38:E2071,MATCH(FA_DATA!J22,'Assignment Tool'!D38:D2071,0)))</f>
        <v>8</v>
      </c>
    </row>
    <row r="23" spans="1:11" x14ac:dyDescent="0.25">
      <c r="A23" s="118" t="str">
        <f t="shared" si="0"/>
        <v>F 210-2 BEAU RIVAGE DR</v>
      </c>
      <c r="G23" t="str">
        <f>IF('Assignment Tool'!C23="","",IF('Assignment Tool'!C23="FST",'Assignment Tool'!D23,""))</f>
        <v/>
      </c>
      <c r="H23">
        <v>23</v>
      </c>
      <c r="I23">
        <f t="shared" si="1"/>
        <v>97</v>
      </c>
      <c r="J23" t="str">
        <f t="array" ref="J23">IFERROR(INDEX($G$2:$G$2050,_xlfn.AGGREGATE(15,6,(ROW($G$2:$G$2050)-ROW($G$2)+1)/($G$2:$G$2050&lt;&gt;""),ROWS(J$1:J23))),"")</f>
        <v>F 320-2 BEAU RIVAGE DR</v>
      </c>
      <c r="K23">
        <f>IF(J23="","",INDEX('Assignment Tool'!E39:E2072,MATCH(FA_DATA!J23,'Assignment Tool'!D39:D2072,0)))</f>
        <v>4</v>
      </c>
    </row>
    <row r="24" spans="1:11" x14ac:dyDescent="0.25">
      <c r="A24" s="118" t="str">
        <f t="shared" si="0"/>
        <v>F 210-2 BEAU RIVAGE DR</v>
      </c>
      <c r="G24" t="str">
        <f>IF('Assignment Tool'!C24="","",IF('Assignment Tool'!C24="FST",'Assignment Tool'!D24,""))</f>
        <v/>
      </c>
      <c r="H24">
        <v>24</v>
      </c>
      <c r="I24">
        <f t="shared" si="1"/>
        <v>101</v>
      </c>
      <c r="J24" t="str">
        <f t="array" ref="J24">IFERROR(INDEX($G$2:$G$2050,_xlfn.AGGREGATE(15,6,(ROW($G$2:$G$2050)-ROW($G$2)+1)/($G$2:$G$2050&lt;&gt;""),ROWS(J$1:J24))),"")</f>
        <v>F 330-1 BEAU RIVAGE DR</v>
      </c>
      <c r="K24">
        <f>IF(J24="","",INDEX('Assignment Tool'!E40:E2073,MATCH(FA_DATA!J24,'Assignment Tool'!D40:D2073,0)))</f>
        <v>4</v>
      </c>
    </row>
    <row r="25" spans="1:11" x14ac:dyDescent="0.25">
      <c r="A25" s="118" t="str">
        <f t="shared" si="0"/>
        <v>F 230-2 BEAU RIVAGE DR</v>
      </c>
      <c r="G25" t="str">
        <f>IF('Assignment Tool'!C25="","",IF('Assignment Tool'!C25="FST",'Assignment Tool'!D25,""))</f>
        <v>F 230-2 BEAU RIVAGE DR</v>
      </c>
      <c r="H25">
        <v>25</v>
      </c>
      <c r="I25">
        <f t="shared" si="1"/>
        <v>105</v>
      </c>
      <c r="J25" t="str">
        <f t="array" ref="J25">IFERROR(INDEX($G$2:$G$2050,_xlfn.AGGREGATE(15,6,(ROW($G$2:$G$2050)-ROW($G$2)+1)/($G$2:$G$2050&lt;&gt;""),ROWS(J$1:J25))),"")</f>
        <v>F 350-1 BEAU RIVAGE DR</v>
      </c>
      <c r="K25">
        <f>IF(J25="","",INDEX('Assignment Tool'!E41:E2074,MATCH(FA_DATA!J25,'Assignment Tool'!D41:D2074,0)))</f>
        <v>4</v>
      </c>
    </row>
    <row r="26" spans="1:11" x14ac:dyDescent="0.25">
      <c r="A26" s="118" t="str">
        <f t="shared" si="0"/>
        <v>F 230-2 BEAU RIVAGE DR</v>
      </c>
      <c r="G26" t="str">
        <f>IF('Assignment Tool'!C26="","",IF('Assignment Tool'!C26="FST",'Assignment Tool'!D26,""))</f>
        <v>F 240-1 BEAU RIVAGE DR</v>
      </c>
      <c r="H26">
        <v>26</v>
      </c>
      <c r="I26">
        <f t="shared" si="1"/>
        <v>109</v>
      </c>
      <c r="J26" t="str">
        <f t="array" ref="J26">IFERROR(INDEX($G$2:$G$2050,_xlfn.AGGREGATE(15,6,(ROW($G$2:$G$2050)-ROW($G$2)+1)/($G$2:$G$2050&lt;&gt;""),ROWS(J$1:J26))),"")</f>
        <v>F 35-1 BERG CT</v>
      </c>
      <c r="K26">
        <f>IF(J26="","",INDEX('Assignment Tool'!E42:E2075,MATCH(FA_DATA!J26,'Assignment Tool'!D42:D2075,0)))</f>
        <v>4</v>
      </c>
    </row>
    <row r="27" spans="1:11" x14ac:dyDescent="0.25">
      <c r="A27" s="118" t="str">
        <f t="shared" si="0"/>
        <v>F 230-2 BEAU RIVAGE DR</v>
      </c>
      <c r="G27" t="str">
        <f>IF('Assignment Tool'!C27="","",IF('Assignment Tool'!C27="FST",'Assignment Tool'!D27,""))</f>
        <v>F 250-2 BEAU RIVAGE DR</v>
      </c>
      <c r="H27">
        <v>27</v>
      </c>
      <c r="I27">
        <f t="shared" si="1"/>
        <v>113</v>
      </c>
      <c r="J27" t="str">
        <f t="array" ref="J27">IFERROR(INDEX($G$2:$G$2050,_xlfn.AGGREGATE(15,6,(ROW($G$2:$G$2050)-ROW($G$2)+1)/($G$2:$G$2050&lt;&gt;""),ROWS(J$1:J27))),"")</f>
        <v>F 30-2 BERG CT</v>
      </c>
      <c r="K27">
        <f>IF(J27="","",INDEX('Assignment Tool'!E43:E2076,MATCH(FA_DATA!J27,'Assignment Tool'!D43:D2076,0)))</f>
        <v>4</v>
      </c>
    </row>
    <row r="28" spans="1:11" x14ac:dyDescent="0.25">
      <c r="A28" s="118" t="str">
        <f t="shared" si="0"/>
        <v>F 230-2 BEAU RIVAGE DR</v>
      </c>
      <c r="G28" t="str">
        <f>IF('Assignment Tool'!C28="","",IF('Assignment Tool'!C28="FST",'Assignment Tool'!D28,""))</f>
        <v/>
      </c>
      <c r="H28">
        <v>28</v>
      </c>
      <c r="I28">
        <f t="shared" si="1"/>
        <v>117</v>
      </c>
      <c r="J28" t="str">
        <f t="array" ref="J28">IFERROR(INDEX($G$2:$G$2050,_xlfn.AGGREGATE(15,6,(ROW($G$2:$G$2050)-ROW($G$2)+1)/($G$2:$G$2050&lt;&gt;""),ROWS(J$1:J28))),"")</f>
        <v>F 20-1 BERG CT</v>
      </c>
      <c r="K28">
        <f>IF(J28="","",INDEX('Assignment Tool'!E44:E2077,MATCH(FA_DATA!J28,'Assignment Tool'!D44:D2077,0)))</f>
        <v>4</v>
      </c>
    </row>
    <row r="29" spans="1:11" x14ac:dyDescent="0.25">
      <c r="A29" s="118" t="str">
        <f t="shared" si="0"/>
        <v>F 240-1 BEAU RIVAGE DR</v>
      </c>
      <c r="G29" t="str">
        <f>IF('Assignment Tool'!C29="","",IF('Assignment Tool'!C29="FST",'Assignment Tool'!D29,""))</f>
        <v/>
      </c>
      <c r="H29">
        <v>29</v>
      </c>
      <c r="I29">
        <f t="shared" si="1"/>
        <v>121</v>
      </c>
      <c r="J29" t="str">
        <f t="array" ref="J29">IFERROR(INDEX($G$2:$G$2050,_xlfn.AGGREGATE(15,6,(ROW($G$2:$G$2050)-ROW($G$2)+1)/($G$2:$G$2050&lt;&gt;""),ROWS(J$1:J29))),"")</f>
        <v>F 235-2 MOSS LN</v>
      </c>
      <c r="K29">
        <f>IF(J29="","",INDEX('Assignment Tool'!E45:E2078,MATCH(FA_DATA!J29,'Assignment Tool'!D45:D2078,0)))</f>
        <v>4</v>
      </c>
    </row>
    <row r="30" spans="1:11" x14ac:dyDescent="0.25">
      <c r="A30" s="118" t="str">
        <f t="shared" si="0"/>
        <v>F 240-1 BEAU RIVAGE DR</v>
      </c>
      <c r="G30" t="str">
        <f>IF('Assignment Tool'!C30="","",IF('Assignment Tool'!C30="FST",'Assignment Tool'!D30,""))</f>
        <v/>
      </c>
      <c r="H30">
        <v>30</v>
      </c>
      <c r="I30">
        <f t="shared" si="1"/>
        <v>125</v>
      </c>
      <c r="J30" t="str">
        <f t="array" ref="J30">IFERROR(INDEX($G$2:$G$2050,_xlfn.AGGREGATE(15,6,(ROW($G$2:$G$2050)-ROW($G$2)+1)/($G$2:$G$2050&lt;&gt;""),ROWS(J$1:J30))),"")</f>
        <v>F 245-1 MOSS LN</v>
      </c>
      <c r="K30">
        <f>IF(J30="","",INDEX('Assignment Tool'!E46:E2079,MATCH(FA_DATA!J30,'Assignment Tool'!D46:D2079,0)))</f>
        <v>8</v>
      </c>
    </row>
    <row r="31" spans="1:11" x14ac:dyDescent="0.25">
      <c r="A31" s="118" t="str">
        <f t="shared" si="0"/>
        <v>F 240-1 BEAU RIVAGE DR</v>
      </c>
      <c r="G31" t="str">
        <f>IF('Assignment Tool'!C31="","",IF('Assignment Tool'!C31="FST",'Assignment Tool'!D31,""))</f>
        <v/>
      </c>
      <c r="H31">
        <v>31</v>
      </c>
      <c r="I31">
        <f t="shared" si="1"/>
        <v>133</v>
      </c>
      <c r="J31" t="str">
        <f t="array" ref="J31">IFERROR(INDEX($G$2:$G$2050,_xlfn.AGGREGATE(15,6,(ROW($G$2:$G$2050)-ROW($G$2)+1)/($G$2:$G$2050&lt;&gt;""),ROWS(J$1:J31))),"")</f>
        <v>F 235-2 GARDEN AVE</v>
      </c>
      <c r="K31">
        <f>IF(J31="","",INDEX('Assignment Tool'!E47:E2080,MATCH(FA_DATA!J31,'Assignment Tool'!D47:D2080,0)))</f>
        <v>4</v>
      </c>
    </row>
    <row r="32" spans="1:11" x14ac:dyDescent="0.25">
      <c r="A32" s="118" t="str">
        <f t="shared" si="0"/>
        <v>F 240-1 BEAU RIVAGE DR</v>
      </c>
      <c r="G32" t="str">
        <f>IF('Assignment Tool'!C32="","",IF('Assignment Tool'!C32="FST",'Assignment Tool'!D32,""))</f>
        <v/>
      </c>
      <c r="H32">
        <v>32</v>
      </c>
      <c r="I32">
        <f t="shared" si="1"/>
        <v>137</v>
      </c>
      <c r="J32" t="str">
        <f t="array" ref="J32">IFERROR(INDEX($G$2:$G$2050,_xlfn.AGGREGATE(15,6,(ROW($G$2:$G$2050)-ROW($G$2)+1)/($G$2:$G$2050&lt;&gt;""),ROWS(J$1:J32))),"")</f>
        <v>F 255-2 GARDEN AVE</v>
      </c>
      <c r="K32">
        <f>IF(J32="","",INDEX('Assignment Tool'!E48:E2081,MATCH(FA_DATA!J32,'Assignment Tool'!D48:D2081,0)))</f>
        <v>4</v>
      </c>
    </row>
    <row r="33" spans="1:11" x14ac:dyDescent="0.25">
      <c r="A33" s="118" t="str">
        <f t="shared" si="0"/>
        <v>F 250-2 BEAU RIVAGE DR</v>
      </c>
      <c r="G33" t="str">
        <f>IF('Assignment Tool'!C33="","",IF('Assignment Tool'!C33="FST",'Assignment Tool'!D33,""))</f>
        <v/>
      </c>
      <c r="H33">
        <v>33</v>
      </c>
      <c r="I33">
        <f t="shared" si="1"/>
        <v>141</v>
      </c>
      <c r="J33" t="str">
        <f t="array" ref="J33">IFERROR(INDEX($G$2:$G$2050,_xlfn.AGGREGATE(15,6,(ROW($G$2:$G$2050)-ROW($G$2)+1)/($G$2:$G$2050&lt;&gt;""),ROWS(J$1:J33))),"")</f>
        <v>F 275-2 GARDEN AVE</v>
      </c>
      <c r="K33">
        <f>IF(J33="","",INDEX('Assignment Tool'!E49:E2082,MATCH(FA_DATA!J33,'Assignment Tool'!D49:D2082,0)))</f>
        <v>4</v>
      </c>
    </row>
    <row r="34" spans="1:11" x14ac:dyDescent="0.25">
      <c r="A34" s="118" t="str">
        <f t="shared" si="0"/>
        <v>F 250-2 BEAU RIVAGE DR</v>
      </c>
      <c r="G34" t="str">
        <f>IF('Assignment Tool'!C34="","",IF('Assignment Tool'!C34="FST",'Assignment Tool'!D34,""))</f>
        <v/>
      </c>
      <c r="H34">
        <v>34</v>
      </c>
      <c r="I34">
        <f t="shared" si="1"/>
        <v>145</v>
      </c>
      <c r="J34" t="str">
        <f t="array" ref="J34">IFERROR(INDEX($G$2:$G$2050,_xlfn.AGGREGATE(15,6,(ROW($G$2:$G$2050)-ROW($G$2)+1)/($G$2:$G$2050&lt;&gt;""),ROWS(J$1:J34))),"")</f>
        <v>F 295-2 GARDEN AVE</v>
      </c>
      <c r="K34">
        <f>IF(J34="","",INDEX('Assignment Tool'!E50:E2083,MATCH(FA_DATA!J34,'Assignment Tool'!D50:D2083,0)))</f>
        <v>4</v>
      </c>
    </row>
    <row r="35" spans="1:11" x14ac:dyDescent="0.25">
      <c r="A35" s="118" t="str">
        <f t="shared" si="0"/>
        <v>F 250-2 BEAU RIVAGE DR</v>
      </c>
      <c r="G35" t="str">
        <f>IF('Assignment Tool'!C35="","",IF('Assignment Tool'!C35="FST",'Assignment Tool'!D35,""))</f>
        <v/>
      </c>
      <c r="H35">
        <v>35</v>
      </c>
      <c r="I35">
        <f t="shared" si="1"/>
        <v>149</v>
      </c>
      <c r="J35" t="str">
        <f t="array" ref="J35">IFERROR(INDEX($G$2:$G$2050,_xlfn.AGGREGATE(15,6,(ROW($G$2:$G$2050)-ROW($G$2)+1)/($G$2:$G$2050&lt;&gt;""),ROWS(J$1:J35))),"")</f>
        <v>F 315-2 GARDEN AVE</v>
      </c>
      <c r="K35">
        <f>IF(J35="","",INDEX('Assignment Tool'!E51:E2084,MATCH(FA_DATA!J35,'Assignment Tool'!D51:D2084,0)))</f>
        <v>4</v>
      </c>
    </row>
    <row r="36" spans="1:11" x14ac:dyDescent="0.25">
      <c r="A36" s="118" t="str">
        <f t="shared" si="0"/>
        <v>F 250-2 BEAU RIVAGE DR</v>
      </c>
      <c r="G36" t="str">
        <f>IF('Assignment Tool'!C36="","",IF('Assignment Tool'!C36="FST",'Assignment Tool'!D36,""))</f>
        <v/>
      </c>
      <c r="H36">
        <v>36</v>
      </c>
      <c r="I36">
        <f t="shared" si="1"/>
        <v>153</v>
      </c>
      <c r="J36" t="str">
        <f t="array" ref="J36">IFERROR(INDEX($G$2:$G$2050,_xlfn.AGGREGATE(15,6,(ROW($G$2:$G$2050)-ROW($G$2)+1)/($G$2:$G$2050&lt;&gt;""),ROWS(J$1:J36))),"")</f>
        <v>F 335-1 GARDEN AVE</v>
      </c>
      <c r="K36">
        <f>IF(J36="","",INDEX('Assignment Tool'!E52:E2085,MATCH(FA_DATA!J36,'Assignment Tool'!D52:D2085,0)))</f>
        <v>8</v>
      </c>
    </row>
    <row r="37" spans="1:11" x14ac:dyDescent="0.25">
      <c r="A37" s="118" t="str">
        <f t="shared" si="0"/>
        <v>F 5-2 RED CYPRESS CT</v>
      </c>
      <c r="G37" t="str">
        <f>IF('Assignment Tool'!C37="","",IF('Assignment Tool'!C37="FST",'Assignment Tool'!D37,""))</f>
        <v/>
      </c>
      <c r="H37">
        <v>37</v>
      </c>
      <c r="I37">
        <f t="shared" si="1"/>
        <v>161</v>
      </c>
      <c r="J37" t="str">
        <f t="array" ref="J37">IFERROR(INDEX($G$2:$G$2050,_xlfn.AGGREGATE(15,6,(ROW($G$2:$G$2050)-ROW($G$2)+1)/($G$2:$G$2050&lt;&gt;""),ROWS(J$1:J37))),"")</f>
        <v>OPP 340-1 GARDEN AVE</v>
      </c>
      <c r="K37">
        <f>IF(J37="","",INDEX('Assignment Tool'!E53:E2086,MATCH(FA_DATA!J37,'Assignment Tool'!D53:D2086,0)))</f>
        <v>8</v>
      </c>
    </row>
    <row r="38" spans="1:11" x14ac:dyDescent="0.25">
      <c r="A38" s="118" t="str">
        <f t="shared" si="0"/>
        <v>F 5-2 RED CYPRESS CT</v>
      </c>
      <c r="G38" t="str">
        <f>IF('Assignment Tool'!C38="","",IF('Assignment Tool'!C38="FST",'Assignment Tool'!D38,""))</f>
        <v/>
      </c>
      <c r="H38">
        <v>38</v>
      </c>
      <c r="I38">
        <f t="shared" si="1"/>
        <v>169</v>
      </c>
      <c r="J38" t="str">
        <f t="array" ref="J38">IFERROR(INDEX($G$2:$G$2050,_xlfn.AGGREGATE(15,6,(ROW($G$2:$G$2050)-ROW($G$2)+1)/($G$2:$G$2050&lt;&gt;""),ROWS(J$1:J38))),"")</f>
        <v>OPP 315-2 HYACINTH LN</v>
      </c>
      <c r="K38">
        <f>IF(J38="","",INDEX('Assignment Tool'!E54:E2087,MATCH(FA_DATA!J38,'Assignment Tool'!D54:D2087,0)))</f>
        <v>4</v>
      </c>
    </row>
    <row r="39" spans="1:11" x14ac:dyDescent="0.25">
      <c r="A39" s="118" t="str">
        <f t="shared" si="0"/>
        <v>F 5-2 RED CYPRESS CT</v>
      </c>
      <c r="G39" t="str">
        <f>IF('Assignment Tool'!C39="","",IF('Assignment Tool'!C39="FST",'Assignment Tool'!D39,""))</f>
        <v/>
      </c>
      <c r="H39">
        <v>39</v>
      </c>
      <c r="I39">
        <f t="shared" si="1"/>
        <v>173</v>
      </c>
      <c r="J39" t="str">
        <f t="array" ref="J39">IFERROR(INDEX($G$2:$G$2050,_xlfn.AGGREGATE(15,6,(ROW($G$2:$G$2050)-ROW($G$2)+1)/($G$2:$G$2050&lt;&gt;""),ROWS(J$1:J39))),"")</f>
        <v>F 355-2 CAMELLIA LN</v>
      </c>
      <c r="K39">
        <f>IF(J39="","",INDEX('Assignment Tool'!E55:E2088,MATCH(FA_DATA!J39,'Assignment Tool'!D55:D2088,0)))</f>
        <v>4</v>
      </c>
    </row>
    <row r="40" spans="1:11" x14ac:dyDescent="0.25">
      <c r="A40" s="118" t="str">
        <f t="shared" si="0"/>
        <v>F 5-2 RED CYPRESS CT</v>
      </c>
      <c r="G40" t="str">
        <f>IF('Assignment Tool'!C40="","",IF('Assignment Tool'!C40="FST",'Assignment Tool'!D40,""))</f>
        <v/>
      </c>
      <c r="H40">
        <v>40</v>
      </c>
      <c r="I40">
        <f t="shared" si="1"/>
        <v>177</v>
      </c>
      <c r="J40" t="str">
        <f t="array" ref="J40">IFERROR(INDEX($G$2:$G$2050,_xlfn.AGGREGATE(15,6,(ROW($G$2:$G$2050)-ROW($G$2)+1)/($G$2:$G$2050&lt;&gt;""),ROWS(J$1:J40))),"")</f>
        <v>F 375-1 LOTUS DR S</v>
      </c>
      <c r="K40">
        <f>IF(J40="","",INDEX('Assignment Tool'!E56:E2089,MATCH(FA_DATA!J40,'Assignment Tool'!D56:D2089,0)))</f>
        <v>8</v>
      </c>
    </row>
    <row r="41" spans="1:11" x14ac:dyDescent="0.25">
      <c r="A41" s="118" t="str">
        <f t="shared" si="0"/>
        <v>F 9-1 RED CYPRESS CT</v>
      </c>
      <c r="G41" t="str">
        <f>IF('Assignment Tool'!C41="","",IF('Assignment Tool'!C41="FST",'Assignment Tool'!D41,""))</f>
        <v/>
      </c>
      <c r="H41">
        <v>41</v>
      </c>
      <c r="I41">
        <f t="shared" si="1"/>
        <v>185</v>
      </c>
      <c r="J41" t="str">
        <f t="array" ref="J41">IFERROR(INDEX($G$2:$G$2050,_xlfn.AGGREGATE(15,6,(ROW($G$2:$G$2050)-ROW($G$2)+1)/($G$2:$G$2050&lt;&gt;""),ROWS(J$1:J41))),"")</f>
        <v>F 390-1 GARDEN AVE</v>
      </c>
      <c r="K41">
        <f>IF(J41="","",INDEX('Assignment Tool'!E57:E2090,MATCH(FA_DATA!J41,'Assignment Tool'!D57:D2090,0)))</f>
        <v>8</v>
      </c>
    </row>
    <row r="42" spans="1:11" x14ac:dyDescent="0.25">
      <c r="A42" s="118" t="str">
        <f t="shared" si="0"/>
        <v>F 9-1 RED CYPRESS CT</v>
      </c>
      <c r="G42" t="str">
        <f>IF('Assignment Tool'!C42="","",IF('Assignment Tool'!C42="FST",'Assignment Tool'!D42,""))</f>
        <v/>
      </c>
      <c r="H42">
        <v>42</v>
      </c>
      <c r="I42">
        <f t="shared" si="1"/>
        <v>193</v>
      </c>
      <c r="J42" t="str">
        <f t="array" ref="J42">IFERROR(INDEX($G$2:$G$2050,_xlfn.AGGREGATE(15,6,(ROW($G$2:$G$2050)-ROW($G$2)+1)/($G$2:$G$2050&lt;&gt;""),ROWS(J$1:J42))),"")</f>
        <v>F 355-1 GARDEN AVE</v>
      </c>
      <c r="K42">
        <f>IF(J42="","",INDEX('Assignment Tool'!E58:E2091,MATCH(FA_DATA!J42,'Assignment Tool'!D58:D2091,0)))</f>
        <v>4</v>
      </c>
    </row>
    <row r="43" spans="1:11" x14ac:dyDescent="0.25">
      <c r="A43" s="118" t="str">
        <f t="shared" si="0"/>
        <v>F 9-1 RED CYPRESS CT</v>
      </c>
      <c r="G43" t="str">
        <f>IF('Assignment Tool'!C43="","",IF('Assignment Tool'!C43="FST",'Assignment Tool'!D43,""))</f>
        <v/>
      </c>
      <c r="H43">
        <v>43</v>
      </c>
      <c r="I43">
        <f t="shared" si="1"/>
        <v>197</v>
      </c>
      <c r="J43" t="str">
        <f t="array" ref="J43">IFERROR(INDEX($G$2:$G$2050,_xlfn.AGGREGATE(15,6,(ROW($G$2:$G$2050)-ROW($G$2)+1)/($G$2:$G$2050&lt;&gt;""),ROWS(J$1:J43))),"")</f>
        <v>F 375-2 GARDEN AVE</v>
      </c>
      <c r="K43">
        <f>IF(J43="","",INDEX('Assignment Tool'!E59:E2092,MATCH(FA_DATA!J43,'Assignment Tool'!D59:D2092,0)))</f>
        <v>4</v>
      </c>
    </row>
    <row r="44" spans="1:11" x14ac:dyDescent="0.25">
      <c r="A44" s="118" t="str">
        <f t="shared" si="0"/>
        <v>F 9-1 RED CYPRESS CT</v>
      </c>
      <c r="G44" t="str">
        <f>IF('Assignment Tool'!C44="","",IF('Assignment Tool'!C44="FST",'Assignment Tool'!D44,""))</f>
        <v/>
      </c>
      <c r="H44">
        <v>44</v>
      </c>
      <c r="I44">
        <f t="shared" si="1"/>
        <v>201</v>
      </c>
      <c r="J44" t="str">
        <f t="array" ref="J44">IFERROR(INDEX($G$2:$G$2050,_xlfn.AGGREGATE(15,6,(ROW($G$2:$G$2050)-ROW($G$2)+1)/($G$2:$G$2050&lt;&gt;""),ROWS(J$1:J44))),"")</f>
        <v>F 395-1 GARDEN AVE</v>
      </c>
      <c r="K44">
        <f>IF(J44="","",INDEX('Assignment Tool'!E60:E2093,MATCH(FA_DATA!J44,'Assignment Tool'!D60:D2093,0)))</f>
        <v>4</v>
      </c>
    </row>
    <row r="45" spans="1:11" x14ac:dyDescent="0.25">
      <c r="A45" s="118" t="str">
        <f t="shared" si="0"/>
        <v>F 13-1 RED CYPRESS CT</v>
      </c>
      <c r="G45" t="str">
        <f>IF('Assignment Tool'!C45="","",IF('Assignment Tool'!C45="FST",'Assignment Tool'!D45,""))</f>
        <v/>
      </c>
      <c r="H45">
        <v>45</v>
      </c>
      <c r="I45">
        <f t="shared" si="1"/>
        <v>205</v>
      </c>
      <c r="J45" t="str">
        <f t="array" ref="J45">IFERROR(INDEX($G$2:$G$2050,_xlfn.AGGREGATE(15,6,(ROW($G$2:$G$2050)-ROW($G$2)+1)/($G$2:$G$2050&lt;&gt;""),ROWS(J$1:J45))),"")</f>
        <v>F 399-1 GARDEN AVE</v>
      </c>
      <c r="K45">
        <f>IF(J45="","",INDEX('Assignment Tool'!E61:E2094,MATCH(FA_DATA!J45,'Assignment Tool'!D61:D2094,0)))</f>
        <v>4</v>
      </c>
    </row>
    <row r="46" spans="1:11" x14ac:dyDescent="0.25">
      <c r="A46" s="118" t="str">
        <f t="shared" si="0"/>
        <v>F 13-1 RED CYPRESS CT</v>
      </c>
      <c r="G46" t="str">
        <f>IF('Assignment Tool'!C46="","",IF('Assignment Tool'!C46="FST",'Assignment Tool'!D46,""))</f>
        <v/>
      </c>
      <c r="H46">
        <v>46</v>
      </c>
      <c r="I46">
        <f t="shared" si="1"/>
        <v>209</v>
      </c>
      <c r="J46" t="str">
        <f t="array" ref="J46">IFERROR(INDEX($G$2:$G$2050,_xlfn.AGGREGATE(15,6,(ROW($G$2:$G$2050)-ROW($G$2)+1)/($G$2:$G$2050&lt;&gt;""),ROWS(J$1:J46))),"")</f>
        <v>F 425-1 GARDEN AVE</v>
      </c>
      <c r="K46">
        <f>IF(J46="","",INDEX('Assignment Tool'!E62:E2095,MATCH(FA_DATA!J46,'Assignment Tool'!D62:D2095,0)))</f>
        <v>8</v>
      </c>
    </row>
    <row r="47" spans="1:11" x14ac:dyDescent="0.25">
      <c r="A47" s="118" t="str">
        <f t="shared" si="0"/>
        <v>F 13-1 RED CYPRESS CT</v>
      </c>
      <c r="G47" t="str">
        <f>IF('Assignment Tool'!C47="","",IF('Assignment Tool'!C47="FST",'Assignment Tool'!D47,""))</f>
        <v/>
      </c>
      <c r="H47">
        <v>47</v>
      </c>
      <c r="I47">
        <f t="shared" si="1"/>
        <v>217</v>
      </c>
      <c r="J47" t="str">
        <f t="array" ref="J47">IFERROR(INDEX($G$2:$G$2050,_xlfn.AGGREGATE(15,6,(ROW($G$2:$G$2050)-ROW($G$2)+1)/($G$2:$G$2050&lt;&gt;""),ROWS(J$1:J47))),"")</f>
        <v>F 541-1 GARDEN AVE</v>
      </c>
      <c r="K47">
        <f>IF(J47="","",INDEX('Assignment Tool'!E63:E2096,MATCH(FA_DATA!J47,'Assignment Tool'!D63:D2096,0)))</f>
        <v>4</v>
      </c>
    </row>
    <row r="48" spans="1:11" x14ac:dyDescent="0.25">
      <c r="A48" s="118" t="str">
        <f t="shared" si="0"/>
        <v>F 13-1 RED CYPRESS CT</v>
      </c>
      <c r="G48" t="str">
        <f>IF('Assignment Tool'!C48="","",IF('Assignment Tool'!C48="FST",'Assignment Tool'!D48,""))</f>
        <v/>
      </c>
      <c r="H48">
        <v>48</v>
      </c>
      <c r="I48">
        <f t="shared" si="1"/>
        <v>221</v>
      </c>
      <c r="J48" t="str">
        <f t="array" ref="J48">IFERROR(INDEX($G$2:$G$2050,_xlfn.AGGREGATE(15,6,(ROW($G$2:$G$2050)-ROW($G$2)+1)/($G$2:$G$2050&lt;&gt;""),ROWS(J$1:J48))),"")</f>
        <v>F 561-1 GARDEN AVE</v>
      </c>
      <c r="K48">
        <f>IF(J48="","",INDEX('Assignment Tool'!E64:E2097,MATCH(FA_DATA!J48,'Assignment Tool'!D64:D2097,0)))</f>
        <v>4</v>
      </c>
    </row>
    <row r="49" spans="1:11" x14ac:dyDescent="0.25">
      <c r="A49" s="118" t="str">
        <f t="shared" si="0"/>
        <v>F 13-1 RED CYPRESS CT</v>
      </c>
      <c r="G49" t="str">
        <f>IF('Assignment Tool'!C49="","",IF('Assignment Tool'!C49="FST",'Assignment Tool'!D49,""))</f>
        <v/>
      </c>
      <c r="H49">
        <v>49</v>
      </c>
      <c r="I49">
        <f t="shared" si="1"/>
        <v>225</v>
      </c>
      <c r="J49" t="str">
        <f t="array" ref="J49">IFERROR(INDEX($G$2:$G$2050,_xlfn.AGGREGATE(15,6,(ROW($G$2:$G$2050)-ROW($G$2)+1)/($G$2:$G$2050&lt;&gt;""),ROWS(J$1:J49))),"")</f>
        <v>F 417-2 VENUS DR</v>
      </c>
      <c r="K49">
        <f>IF(J49="","",INDEX('Assignment Tool'!E65:E2098,MATCH(FA_DATA!J49,'Assignment Tool'!D65:D2098,0)))</f>
        <v>8</v>
      </c>
    </row>
    <row r="50" spans="1:11" x14ac:dyDescent="0.25">
      <c r="A50" s="118" t="str">
        <f t="shared" si="0"/>
        <v>F 13-1 RED CYPRESS CT</v>
      </c>
      <c r="G50" t="str">
        <f>IF('Assignment Tool'!C50="","",IF('Assignment Tool'!C50="FST",'Assignment Tool'!D50,""))</f>
        <v/>
      </c>
      <c r="H50">
        <v>50</v>
      </c>
      <c r="I50">
        <f t="shared" si="1"/>
        <v>233</v>
      </c>
      <c r="J50" t="str">
        <f t="array" ref="J50">IFERROR(INDEX($G$2:$G$2050,_xlfn.AGGREGATE(15,6,(ROW($G$2:$G$2050)-ROW($G$2)+1)/($G$2:$G$2050&lt;&gt;""),ROWS(J$1:J50))),"")</f>
        <v>F 409-2 VENUS DR</v>
      </c>
      <c r="K50">
        <f>IF(J50="","",INDEX('Assignment Tool'!E66:E2099,MATCH(FA_DATA!J50,'Assignment Tool'!D66:D2099,0)))</f>
        <v>8</v>
      </c>
    </row>
    <row r="51" spans="1:11" x14ac:dyDescent="0.25">
      <c r="A51" s="118" t="str">
        <f t="shared" si="0"/>
        <v>F 13-1 RED CYPRESS CT</v>
      </c>
      <c r="G51" t="str">
        <f>IF('Assignment Tool'!C51="","",IF('Assignment Tool'!C51="FST",'Assignment Tool'!D51,""))</f>
        <v/>
      </c>
      <c r="H51">
        <v>51</v>
      </c>
      <c r="I51">
        <f t="shared" si="1"/>
        <v>241</v>
      </c>
      <c r="J51" t="str">
        <f t="array" ref="J51">IFERROR(INDEX($G$2:$G$2050,_xlfn.AGGREGATE(15,6,(ROW($G$2:$G$2050)-ROW($G$2)+1)/($G$2:$G$2050&lt;&gt;""),ROWS(J$1:J51))),"")</f>
        <v>F 420-2 HEAVENS DR</v>
      </c>
      <c r="K51">
        <f>IF(J51="","",INDEX('Assignment Tool'!E67:E2100,MATCH(FA_DATA!J51,'Assignment Tool'!D67:D2100,0)))</f>
        <v>4</v>
      </c>
    </row>
    <row r="52" spans="1:11" x14ac:dyDescent="0.25">
      <c r="A52" s="118" t="str">
        <f t="shared" si="0"/>
        <v>F 13-1 RED CYPRESS CT</v>
      </c>
      <c r="G52" t="str">
        <f>IF('Assignment Tool'!C52="","",IF('Assignment Tool'!C52="FST",'Assignment Tool'!D52,""))</f>
        <v/>
      </c>
      <c r="H52">
        <v>52</v>
      </c>
      <c r="I52">
        <f t="shared" si="1"/>
        <v>245</v>
      </c>
      <c r="J52" t="str">
        <f t="array" ref="J52">IFERROR(INDEX($G$2:$G$2050,_xlfn.AGGREGATE(15,6,(ROW($G$2:$G$2050)-ROW($G$2)+1)/($G$2:$G$2050&lt;&gt;""),ROWS(J$1:J52))),"")</f>
        <v>F 412-2 HEAVENS DR</v>
      </c>
      <c r="K52">
        <f>IF(J52="","",INDEX('Assignment Tool'!E68:E2101,MATCH(FA_DATA!J52,'Assignment Tool'!D68:D2101,0)))</f>
        <v>4</v>
      </c>
    </row>
    <row r="53" spans="1:11" x14ac:dyDescent="0.25">
      <c r="A53" s="118" t="str">
        <f t="shared" si="0"/>
        <v>F 16-1 RED CYPRESS CT</v>
      </c>
      <c r="G53" t="str">
        <f>IF('Assignment Tool'!C53="","",IF('Assignment Tool'!C53="FST",'Assignment Tool'!D53,""))</f>
        <v/>
      </c>
      <c r="H53">
        <v>53</v>
      </c>
      <c r="I53">
        <f t="shared" si="1"/>
        <v>249</v>
      </c>
      <c r="J53" t="str">
        <f t="array" ref="J53">IFERROR(INDEX($G$2:$G$2050,_xlfn.AGGREGATE(15,6,(ROW($G$2:$G$2050)-ROW($G$2)+1)/($G$2:$G$2050&lt;&gt;""),ROWS(J$1:J53))),"")</f>
        <v>F 406-2 HEAVENS DR</v>
      </c>
      <c r="K53">
        <f>IF(J53="","",INDEX('Assignment Tool'!E69:E2102,MATCH(FA_DATA!J53,'Assignment Tool'!D69:D2102,0)))</f>
        <v>8</v>
      </c>
    </row>
    <row r="54" spans="1:11" x14ac:dyDescent="0.25">
      <c r="A54" s="118" t="str">
        <f t="shared" si="0"/>
        <v>F 16-1 RED CYPRESS CT</v>
      </c>
      <c r="G54" t="str">
        <f>IF('Assignment Tool'!C54="","",IF('Assignment Tool'!C54="FST",'Assignment Tool'!D54,""))</f>
        <v/>
      </c>
      <c r="H54">
        <v>54</v>
      </c>
      <c r="I54">
        <f t="shared" si="1"/>
        <v>257</v>
      </c>
      <c r="J54" t="str">
        <f t="array" ref="J54">IFERROR(INDEX($G$2:$G$2050,_xlfn.AGGREGATE(15,6,(ROW($G$2:$G$2050)-ROW($G$2)+1)/($G$2:$G$2050&lt;&gt;""),ROWS(J$1:J54))),"")</f>
        <v>F 430-1 DORADO DR</v>
      </c>
      <c r="K54">
        <f>IF(J54="","",INDEX('Assignment Tool'!E70:E2103,MATCH(FA_DATA!J54,'Assignment Tool'!D70:D2103,0)))</f>
        <v>8</v>
      </c>
    </row>
    <row r="55" spans="1:11" x14ac:dyDescent="0.25">
      <c r="A55" s="118" t="str">
        <f t="shared" si="0"/>
        <v>F 16-1 RED CYPRESS CT</v>
      </c>
      <c r="G55" t="str">
        <f>IF('Assignment Tool'!C55="","",IF('Assignment Tool'!C55="FST",'Assignment Tool'!D55,""))</f>
        <v/>
      </c>
      <c r="H55">
        <v>55</v>
      </c>
      <c r="I55">
        <f t="shared" si="1"/>
        <v>265</v>
      </c>
      <c r="J55" t="str">
        <f t="array" ref="J55">IFERROR(INDEX($G$2:$G$2050,_xlfn.AGGREGATE(15,6,(ROW($G$2:$G$2050)-ROW($G$2)+1)/($G$2:$G$2050&lt;&gt;""),ROWS(J$1:J55))),"")</f>
        <v>F 510-1 DORADO DR</v>
      </c>
      <c r="K55">
        <f>IF(J55="","",INDEX('Assignment Tool'!E71:E2104,MATCH(FA_DATA!J55,'Assignment Tool'!D71:D2104,0)))</f>
        <v>4</v>
      </c>
    </row>
    <row r="56" spans="1:11" x14ac:dyDescent="0.25">
      <c r="A56" s="118" t="str">
        <f t="shared" si="0"/>
        <v>F 16-1 RED CYPRESS CT</v>
      </c>
      <c r="G56" t="str">
        <f>IF('Assignment Tool'!C56="","",IF('Assignment Tool'!C56="FST",'Assignment Tool'!D56,""))</f>
        <v/>
      </c>
      <c r="H56">
        <v>56</v>
      </c>
      <c r="I56">
        <f t="shared" si="1"/>
        <v>269</v>
      </c>
      <c r="J56" t="str">
        <f t="array" ref="J56">IFERROR(INDEX($G$2:$G$2050,_xlfn.AGGREGATE(15,6,(ROW($G$2:$G$2050)-ROW($G$2)+1)/($G$2:$G$2050&lt;&gt;""),ROWS(J$1:J56))),"")</f>
        <v>F 530-1 DORADO DR</v>
      </c>
      <c r="K56">
        <f>IF(J56="","",INDEX('Assignment Tool'!E72:E2105,MATCH(FA_DATA!J56,'Assignment Tool'!D72:D2105,0)))</f>
        <v>4</v>
      </c>
    </row>
    <row r="57" spans="1:11" x14ac:dyDescent="0.25">
      <c r="A57" s="118" t="str">
        <f t="shared" si="0"/>
        <v>F 14-2 RED CYPRESS CT</v>
      </c>
      <c r="G57" t="str">
        <f>IF('Assignment Tool'!C57="","",IF('Assignment Tool'!C57="FST",'Assignment Tool'!D57,""))</f>
        <v/>
      </c>
      <c r="H57">
        <v>57</v>
      </c>
      <c r="I57">
        <f t="shared" si="1"/>
        <v>273</v>
      </c>
      <c r="J57" t="str">
        <f t="array" ref="J57">IFERROR(INDEX($G$2:$G$2050,_xlfn.AGGREGATE(15,6,(ROW($G$2:$G$2050)-ROW($G$2)+1)/($G$2:$G$2050&lt;&gt;""),ROWS(J$1:J57))),"")</f>
        <v>F 404-1 VENUS DR</v>
      </c>
      <c r="K57">
        <f>IF(J57="","",INDEX('Assignment Tool'!E73:E2106,MATCH(FA_DATA!J57,'Assignment Tool'!D73:D2106,0)))</f>
        <v>4</v>
      </c>
    </row>
    <row r="58" spans="1:11" x14ac:dyDescent="0.25">
      <c r="A58" s="118" t="str">
        <f t="shared" si="0"/>
        <v>F 14-2 RED CYPRESS CT</v>
      </c>
      <c r="G58" t="str">
        <f>IF('Assignment Tool'!C58="","",IF('Assignment Tool'!C58="FST",'Assignment Tool'!D58,""))</f>
        <v>F 5-2 RED CYPRESS CT</v>
      </c>
      <c r="H58">
        <v>58</v>
      </c>
      <c r="I58">
        <f t="shared" si="1"/>
        <v>277</v>
      </c>
      <c r="J58" t="str">
        <f t="array" ref="J58">IFERROR(INDEX($G$2:$G$2050,_xlfn.AGGREGATE(15,6,(ROW($G$2:$G$2050)-ROW($G$2)+1)/($G$2:$G$2050&lt;&gt;""),ROWS(J$1:J58))),"")</f>
        <v>F 260-2 AZALEA DR</v>
      </c>
      <c r="K58">
        <f>IF(J58="","",INDEX('Assignment Tool'!E74:E2107,MATCH(FA_DATA!J58,'Assignment Tool'!D74:D2107,0)))</f>
        <v>4</v>
      </c>
    </row>
    <row r="59" spans="1:11" x14ac:dyDescent="0.25">
      <c r="A59" s="118" t="str">
        <f t="shared" si="0"/>
        <v>F 14-2 RED CYPRESS CT</v>
      </c>
      <c r="G59" t="str">
        <f>IF('Assignment Tool'!C59="","",IF('Assignment Tool'!C59="FST",'Assignment Tool'!D59,""))</f>
        <v>F 9-1 RED CYPRESS CT</v>
      </c>
      <c r="H59">
        <v>59</v>
      </c>
      <c r="I59">
        <f t="shared" si="1"/>
        <v>281</v>
      </c>
      <c r="J59" t="str">
        <f t="array" ref="J59">IFERROR(INDEX($G$2:$G$2050,_xlfn.AGGREGATE(15,6,(ROW($G$2:$G$2050)-ROW($G$2)+1)/($G$2:$G$2050&lt;&gt;""),ROWS(J$1:J59))),"")</f>
        <v>F 280-2 AZALEA DR</v>
      </c>
      <c r="K59">
        <f>IF(J59="","",INDEX('Assignment Tool'!E75:E2108,MATCH(FA_DATA!J59,'Assignment Tool'!D75:D2108,0)))</f>
        <v>4</v>
      </c>
    </row>
    <row r="60" spans="1:11" x14ac:dyDescent="0.25">
      <c r="A60" s="118" t="str">
        <f t="shared" si="0"/>
        <v>F 14-2 RED CYPRESS CT</v>
      </c>
      <c r="G60" t="str">
        <f>IF('Assignment Tool'!C60="","",IF('Assignment Tool'!C60="FST",'Assignment Tool'!D60,""))</f>
        <v>F 13-1 RED CYPRESS CT</v>
      </c>
      <c r="H60">
        <v>60</v>
      </c>
      <c r="I60">
        <f t="shared" si="1"/>
        <v>285</v>
      </c>
      <c r="J60" t="str">
        <f t="array" ref="J60">IFERROR(INDEX($G$2:$G$2050,_xlfn.AGGREGATE(15,6,(ROW($G$2:$G$2050)-ROW($G$2)+1)/($G$2:$G$2050&lt;&gt;""),ROWS(J$1:J60))),"")</f>
        <v>F 300-2 AZALEA DR</v>
      </c>
      <c r="K60">
        <f>IF(J60="","",INDEX('Assignment Tool'!E76:E2109,MATCH(FA_DATA!J60,'Assignment Tool'!D76:D2109,0)))</f>
        <v>4</v>
      </c>
    </row>
    <row r="61" spans="1:11" x14ac:dyDescent="0.25">
      <c r="A61" s="118" t="str">
        <f t="shared" si="0"/>
        <v>F 225-2 SILVER MAPLE DR</v>
      </c>
      <c r="G61" t="str">
        <f>IF('Assignment Tool'!C61="","",IF('Assignment Tool'!C61="FST",'Assignment Tool'!D61,""))</f>
        <v>F 16-1 RED CYPRESS CT</v>
      </c>
      <c r="H61">
        <v>61</v>
      </c>
      <c r="I61">
        <f t="shared" si="1"/>
        <v>289</v>
      </c>
      <c r="J61" t="str">
        <f t="array" ref="J61">IFERROR(INDEX($G$2:$G$2050,_xlfn.AGGREGATE(15,6,(ROW($G$2:$G$2050)-ROW($G$2)+1)/($G$2:$G$2050&lt;&gt;""),ROWS(J$1:J61))),"")</f>
        <v>F 310-1 AZALEA DR</v>
      </c>
      <c r="K61">
        <f>IF(J61="","",INDEX('Assignment Tool'!E77:E2110,MATCH(FA_DATA!J61,'Assignment Tool'!D77:D2110,0)))</f>
        <v>4</v>
      </c>
    </row>
    <row r="62" spans="1:11" x14ac:dyDescent="0.25">
      <c r="A62" s="118" t="str">
        <f t="shared" si="0"/>
        <v>F 225-2 SILVER MAPLE DR</v>
      </c>
      <c r="G62" t="str">
        <f>IF('Assignment Tool'!C62="","",IF('Assignment Tool'!C62="FST",'Assignment Tool'!D62,""))</f>
        <v>F 14-2 RED CYPRESS CT</v>
      </c>
      <c r="H62">
        <v>62</v>
      </c>
      <c r="I62">
        <f t="shared" si="1"/>
        <v>293</v>
      </c>
      <c r="J62" t="str">
        <f t="array" ref="J62">IFERROR(INDEX($G$2:$G$2050,_xlfn.AGGREGATE(15,6,(ROW($G$2:$G$2050)-ROW($G$2)+1)/($G$2:$G$2050&lt;&gt;""),ROWS(J$1:J62))),"")</f>
        <v>F 340-2 AZALEA DR</v>
      </c>
      <c r="K62">
        <f>IF(J62="","",INDEX('Assignment Tool'!E78:E2111,MATCH(FA_DATA!J62,'Assignment Tool'!D78:D2111,0)))</f>
        <v>4</v>
      </c>
    </row>
    <row r="63" spans="1:11" x14ac:dyDescent="0.25">
      <c r="A63" s="118" t="str">
        <f t="shared" si="0"/>
        <v>F 225-2 SILVER MAPLE DR</v>
      </c>
      <c r="G63" t="str">
        <f>IF('Assignment Tool'!C63="","",IF('Assignment Tool'!C63="FST",'Assignment Tool'!D63,""))</f>
        <v/>
      </c>
      <c r="H63">
        <v>63</v>
      </c>
      <c r="I63">
        <f t="shared" si="1"/>
        <v>297</v>
      </c>
      <c r="J63" t="str">
        <f t="array" ref="J63">IFERROR(INDEX($G$2:$G$2050,_xlfn.AGGREGATE(15,6,(ROW($G$2:$G$2050)-ROW($G$2)+1)/($G$2:$G$2050&lt;&gt;""),ROWS(J$1:J63))),"")</f>
        <v>F 364-1 AZALEA DR</v>
      </c>
      <c r="K63">
        <f>IF(J63="","",INDEX('Assignment Tool'!E79:E2112,MATCH(FA_DATA!J63,'Assignment Tool'!D79:D2112,0)))</f>
        <v>4</v>
      </c>
    </row>
    <row r="64" spans="1:11" x14ac:dyDescent="0.25">
      <c r="A64" s="118" t="str">
        <f t="shared" si="0"/>
        <v>F 225-2 SILVER MAPLE DR</v>
      </c>
      <c r="G64" t="str">
        <f>IF('Assignment Tool'!C64="","",IF('Assignment Tool'!C64="FST",'Assignment Tool'!D64,""))</f>
        <v/>
      </c>
      <c r="H64">
        <v>64</v>
      </c>
      <c r="I64">
        <f t="shared" si="1"/>
        <v>301</v>
      </c>
      <c r="J64" t="str">
        <f t="array" ref="J64">IFERROR(INDEX($G$2:$G$2050,_xlfn.AGGREGATE(15,6,(ROW($G$2:$G$2050)-ROW($G$2)+1)/($G$2:$G$2050&lt;&gt;""),ROWS(J$1:J64))),"")</f>
        <v>F 380-2 AZALEA DR</v>
      </c>
      <c r="K64">
        <f>IF(J64="","",INDEX('Assignment Tool'!E80:E2113,MATCH(FA_DATA!J64,'Assignment Tool'!D80:D2113,0)))</f>
        <v>4</v>
      </c>
    </row>
    <row r="65" spans="1:11" x14ac:dyDescent="0.25">
      <c r="A65" s="118" t="str">
        <f t="shared" si="0"/>
        <v>F 245-1 SILVER MAPLE DR</v>
      </c>
      <c r="G65" t="str">
        <f>IF('Assignment Tool'!C65="","",IF('Assignment Tool'!C65="FST",'Assignment Tool'!D65,""))</f>
        <v/>
      </c>
      <c r="H65">
        <v>65</v>
      </c>
      <c r="I65">
        <f t="shared" si="1"/>
        <v>305</v>
      </c>
      <c r="J65" t="str">
        <f t="array" ref="J65">IFERROR(INDEX($G$2:$G$2050,_xlfn.AGGREGATE(15,6,(ROW($G$2:$G$2050)-ROW($G$2)+1)/($G$2:$G$2050&lt;&gt;""),ROWS(J$1:J65))),"")</f>
        <v>F 390-2 AZALEA DR</v>
      </c>
      <c r="K65">
        <f>IF(J65="","",INDEX('Assignment Tool'!E81:E2114,MATCH(FA_DATA!J65,'Assignment Tool'!D81:D2114,0)))</f>
        <v>4</v>
      </c>
    </row>
    <row r="66" spans="1:11" x14ac:dyDescent="0.25">
      <c r="A66" s="118" t="str">
        <f t="shared" ref="A66:A129" si="2">VLOOKUP(H66,$I$1:$J$1000,2)</f>
        <v>F 245-1 SILVER MAPLE DR</v>
      </c>
      <c r="G66" t="str">
        <f>IF('Assignment Tool'!C66="","",IF('Assignment Tool'!C66="FST",'Assignment Tool'!D66,""))</f>
        <v/>
      </c>
      <c r="H66">
        <v>66</v>
      </c>
      <c r="I66">
        <f t="shared" si="1"/>
        <v>309</v>
      </c>
      <c r="J66" t="str">
        <f t="array" ref="J66">IFERROR(INDEX($G$2:$G$2050,_xlfn.AGGREGATE(15,6,(ROW($G$2:$G$2050)-ROW($G$2)+1)/($G$2:$G$2050&lt;&gt;""),ROWS(J$1:J66))),"")</f>
        <v>F 398-1 AZALEA DR</v>
      </c>
      <c r="K66">
        <f>IF(J66="","",INDEX('Assignment Tool'!E82:E2115,MATCH(FA_DATA!J66,'Assignment Tool'!D82:D2115,0)))</f>
        <v>4</v>
      </c>
    </row>
    <row r="67" spans="1:11" x14ac:dyDescent="0.25">
      <c r="A67" s="118" t="str">
        <f t="shared" si="2"/>
        <v>F 245-1 SILVER MAPLE DR</v>
      </c>
      <c r="G67" t="str">
        <f>IF('Assignment Tool'!C67="","",IF('Assignment Tool'!C67="FST",'Assignment Tool'!D67,""))</f>
        <v/>
      </c>
      <c r="H67">
        <v>67</v>
      </c>
      <c r="I67">
        <f t="shared" ref="I67:I130" si="3">IFERROR((I66+K66),"")</f>
        <v>313</v>
      </c>
      <c r="J67" t="str">
        <f t="array" ref="J67">IFERROR(INDEX($G$2:$G$2050,_xlfn.AGGREGATE(15,6,(ROW($G$2:$G$2050)-ROW($G$2)+1)/($G$2:$G$2050&lt;&gt;""),ROWS(J$1:J67))),"")</f>
        <v>F 275-2 MOSS LN</v>
      </c>
      <c r="K67">
        <f>IF(J67="","",INDEX('Assignment Tool'!E83:E2116,MATCH(FA_DATA!J67,'Assignment Tool'!D83:D2116,0)))</f>
        <v>4</v>
      </c>
    </row>
    <row r="68" spans="1:11" x14ac:dyDescent="0.25">
      <c r="A68" s="118" t="str">
        <f t="shared" si="2"/>
        <v>F 245-1 SILVER MAPLE DR</v>
      </c>
      <c r="G68" t="str">
        <f>IF('Assignment Tool'!C68="","",IF('Assignment Tool'!C68="FST",'Assignment Tool'!D68,""))</f>
        <v/>
      </c>
      <c r="H68">
        <v>68</v>
      </c>
      <c r="I68">
        <f t="shared" si="3"/>
        <v>317</v>
      </c>
      <c r="J68" t="str">
        <f t="array" ref="J68">IFERROR(INDEX($G$2:$G$2050,_xlfn.AGGREGATE(15,6,(ROW($G$2:$G$2050)-ROW($G$2)+1)/($G$2:$G$2050&lt;&gt;""),ROWS(J$1:J68))),"")</f>
        <v>F 295-2 MOSS LN</v>
      </c>
      <c r="K68">
        <f>IF(J68="","",INDEX('Assignment Tool'!E84:E2117,MATCH(FA_DATA!J68,'Assignment Tool'!D84:D2117,0)))</f>
        <v>4</v>
      </c>
    </row>
    <row r="69" spans="1:11" x14ac:dyDescent="0.25">
      <c r="A69" s="118" t="str">
        <f t="shared" si="2"/>
        <v>F 265-1 SILVER MAPLE DR</v>
      </c>
      <c r="G69" t="str">
        <f>IF('Assignment Tool'!C69="","",IF('Assignment Tool'!C69="FST",'Assignment Tool'!D69,""))</f>
        <v/>
      </c>
      <c r="H69">
        <v>69</v>
      </c>
      <c r="I69">
        <f t="shared" si="3"/>
        <v>321</v>
      </c>
      <c r="J69" t="str">
        <f t="array" ref="J69">IFERROR(INDEX($G$2:$G$2050,_xlfn.AGGREGATE(15,6,(ROW($G$2:$G$2050)-ROW($G$2)+1)/($G$2:$G$2050&lt;&gt;""),ROWS(J$1:J69))),"")</f>
        <v>F 315-1 MOSS LN</v>
      </c>
      <c r="K69">
        <f>IF(J69="","",INDEX('Assignment Tool'!E85:E2118,MATCH(FA_DATA!J69,'Assignment Tool'!D85:D2118,0)))</f>
        <v>4</v>
      </c>
    </row>
    <row r="70" spans="1:11" x14ac:dyDescent="0.25">
      <c r="A70" s="118" t="str">
        <f t="shared" si="2"/>
        <v>F 265-1 SILVER MAPLE DR</v>
      </c>
      <c r="G70" t="str">
        <f>IF('Assignment Tool'!C70="","",IF('Assignment Tool'!C70="FST",'Assignment Tool'!D70,""))</f>
        <v/>
      </c>
      <c r="H70">
        <v>70</v>
      </c>
      <c r="I70">
        <f t="shared" si="3"/>
        <v>325</v>
      </c>
      <c r="J70" t="str">
        <f t="array" ref="J70">IFERROR(INDEX($G$2:$G$2050,_xlfn.AGGREGATE(15,6,(ROW($G$2:$G$2050)-ROW($G$2)+1)/($G$2:$G$2050&lt;&gt;""),ROWS(J$1:J70))),"")</f>
        <v>F 335-1 MOSS LN</v>
      </c>
      <c r="K70">
        <f>IF(J70="","",INDEX('Assignment Tool'!E86:E2119,MATCH(FA_DATA!J70,'Assignment Tool'!D86:D2119,0)))</f>
        <v>4</v>
      </c>
    </row>
    <row r="71" spans="1:11" x14ac:dyDescent="0.25">
      <c r="A71" s="118" t="str">
        <f t="shared" si="2"/>
        <v>F 265-1 SILVER MAPLE DR</v>
      </c>
      <c r="G71" t="str">
        <f>IF('Assignment Tool'!C71="","",IF('Assignment Tool'!C71="FST",'Assignment Tool'!D71,""))</f>
        <v/>
      </c>
      <c r="H71">
        <v>71</v>
      </c>
      <c r="I71">
        <f t="shared" si="3"/>
        <v>329</v>
      </c>
      <c r="J71" t="str">
        <f t="array" ref="J71">IFERROR(INDEX($G$2:$G$2050,_xlfn.AGGREGATE(15,6,(ROW($G$2:$G$2050)-ROW($G$2)+1)/($G$2:$G$2050&lt;&gt;""),ROWS(J$1:J71))),"")</f>
        <v>F 355-1 MOSS LN</v>
      </c>
      <c r="K71">
        <f>IF(J71="","",INDEX('Assignment Tool'!E87:E2120,MATCH(FA_DATA!J71,'Assignment Tool'!D87:D2120,0)))</f>
        <v>4</v>
      </c>
    </row>
    <row r="72" spans="1:11" x14ac:dyDescent="0.25">
      <c r="A72" s="118" t="str">
        <f t="shared" si="2"/>
        <v>F 265-1 SILVER MAPLE DR</v>
      </c>
      <c r="G72" t="str">
        <f>IF('Assignment Tool'!C72="","",IF('Assignment Tool'!C72="FST",'Assignment Tool'!D72,""))</f>
        <v/>
      </c>
      <c r="H72">
        <v>72</v>
      </c>
      <c r="I72">
        <f t="shared" si="3"/>
        <v>333</v>
      </c>
      <c r="J72" t="str">
        <f t="array" ref="J72">IFERROR(INDEX($G$2:$G$2050,_xlfn.AGGREGATE(15,6,(ROW($G$2:$G$2050)-ROW($G$2)+1)/($G$2:$G$2050&lt;&gt;""),ROWS(J$1:J72))),"")</f>
        <v>F 365-2 MOSS LN</v>
      </c>
      <c r="K72">
        <f>IF(J72="","",INDEX('Assignment Tool'!E88:E2121,MATCH(FA_DATA!J72,'Assignment Tool'!D88:D2121,0)))</f>
        <v>4</v>
      </c>
    </row>
    <row r="73" spans="1:11" x14ac:dyDescent="0.25">
      <c r="A73" s="118" t="str">
        <f t="shared" si="2"/>
        <v>F 325-1 LOTUS DR S</v>
      </c>
      <c r="G73" t="str">
        <f>IF('Assignment Tool'!C73="","",IF('Assignment Tool'!C73="FST",'Assignment Tool'!D73,""))</f>
        <v/>
      </c>
      <c r="H73">
        <v>73</v>
      </c>
      <c r="I73">
        <f t="shared" si="3"/>
        <v>337</v>
      </c>
      <c r="J73" t="str">
        <f t="array" ref="J73">IFERROR(INDEX($G$2:$G$2050,_xlfn.AGGREGATE(15,6,(ROW($G$2:$G$2050)-ROW($G$2)+1)/($G$2:$G$2050&lt;&gt;""),ROWS(J$1:J73))),"")</f>
        <v>F 385-2 JASMINE DR</v>
      </c>
      <c r="K73">
        <f>IF(J73="","",INDEX('Assignment Tool'!E89:E2122,MATCH(FA_DATA!J73,'Assignment Tool'!D89:D2122,0)))</f>
        <v>4</v>
      </c>
    </row>
    <row r="74" spans="1:11" x14ac:dyDescent="0.25">
      <c r="A74" s="118" t="str">
        <f t="shared" si="2"/>
        <v>F 325-1 LOTUS DR S</v>
      </c>
      <c r="G74" t="str">
        <f>IF('Assignment Tool'!C74="","",IF('Assignment Tool'!C74="FST",'Assignment Tool'!D74,""))</f>
        <v/>
      </c>
      <c r="H74">
        <v>74</v>
      </c>
      <c r="I74">
        <f t="shared" si="3"/>
        <v>341</v>
      </c>
      <c r="J74" t="str">
        <f t="array" ref="J74">IFERROR(INDEX($G$2:$G$2050,_xlfn.AGGREGATE(15,6,(ROW($G$2:$G$2050)-ROW($G$2)+1)/($G$2:$G$2050&lt;&gt;""),ROWS(J$1:J74))),"")</f>
        <v>F 365-2 JASMINE DR</v>
      </c>
      <c r="K74">
        <f>IF(J74="","",INDEX('Assignment Tool'!E90:E2123,MATCH(FA_DATA!J74,'Assignment Tool'!D90:D2123,0)))</f>
        <v>4</v>
      </c>
    </row>
    <row r="75" spans="1:11" x14ac:dyDescent="0.25">
      <c r="A75" s="118" t="str">
        <f t="shared" si="2"/>
        <v>F 325-1 LOTUS DR S</v>
      </c>
      <c r="G75" t="str">
        <f>IF('Assignment Tool'!C75="","",IF('Assignment Tool'!C75="FST",'Assignment Tool'!D75,""))</f>
        <v/>
      </c>
      <c r="H75">
        <v>75</v>
      </c>
      <c r="I75">
        <f t="shared" si="3"/>
        <v>345</v>
      </c>
      <c r="J75" t="str">
        <f t="array" ref="J75">IFERROR(INDEX($G$2:$G$2050,_xlfn.AGGREGATE(15,6,(ROW($G$2:$G$2050)-ROW($G$2)+1)/($G$2:$G$2050&lt;&gt;""),ROWS(J$1:J75))),"")</f>
        <v>F 345-2 JASMINE DR</v>
      </c>
      <c r="K75">
        <f>IF(J75="","",INDEX('Assignment Tool'!E91:E2124,MATCH(FA_DATA!J75,'Assignment Tool'!D91:D2124,0)))</f>
        <v>4</v>
      </c>
    </row>
    <row r="76" spans="1:11" x14ac:dyDescent="0.25">
      <c r="A76" s="118" t="str">
        <f t="shared" si="2"/>
        <v>F 325-1 LOTUS DR S</v>
      </c>
      <c r="G76" t="str">
        <f>IF('Assignment Tool'!C76="","",IF('Assignment Tool'!C76="FST",'Assignment Tool'!D76,""))</f>
        <v/>
      </c>
      <c r="H76">
        <v>76</v>
      </c>
      <c r="I76">
        <f t="shared" si="3"/>
        <v>349</v>
      </c>
      <c r="J76" t="str">
        <f t="array" ref="J76">IFERROR(INDEX($G$2:$G$2050,_xlfn.AGGREGATE(15,6,(ROW($G$2:$G$2050)-ROW($G$2)+1)/($G$2:$G$2050&lt;&gt;""),ROWS(J$1:J76))),"")</f>
        <v>F 325-1 JASMINE DR</v>
      </c>
      <c r="K76">
        <f>IF(J76="","",INDEX('Assignment Tool'!E92:E2125,MATCH(FA_DATA!J76,'Assignment Tool'!D92:D2125,0)))</f>
        <v>4</v>
      </c>
    </row>
    <row r="77" spans="1:11" x14ac:dyDescent="0.25">
      <c r="A77" s="118" t="str">
        <f t="shared" si="2"/>
        <v>OPP 330-1 LOTUS DR S</v>
      </c>
      <c r="G77" t="str">
        <f>IF('Assignment Tool'!C77="","",IF('Assignment Tool'!C77="FST",'Assignment Tool'!D77,""))</f>
        <v/>
      </c>
      <c r="H77">
        <v>77</v>
      </c>
      <c r="I77">
        <f t="shared" si="3"/>
        <v>353</v>
      </c>
      <c r="J77" t="str">
        <f t="array" ref="J77">IFERROR(INDEX($G$2:$G$2050,_xlfn.AGGREGATE(15,6,(ROW($G$2:$G$2050)-ROW($G$2)+1)/($G$2:$G$2050&lt;&gt;""),ROWS(J$1:J77))),"")</f>
        <v>F 315-1 JASMINE DR</v>
      </c>
      <c r="K77">
        <f>IF(J77="","",INDEX('Assignment Tool'!E93:E2126,MATCH(FA_DATA!J77,'Assignment Tool'!D93:D2126,0)))</f>
        <v>8</v>
      </c>
    </row>
    <row r="78" spans="1:11" x14ac:dyDescent="0.25">
      <c r="A78" s="118" t="str">
        <f t="shared" si="2"/>
        <v>OPP 330-1 LOTUS DR S</v>
      </c>
      <c r="G78" t="str">
        <f>IF('Assignment Tool'!C78="","",IF('Assignment Tool'!C78="FST",'Assignment Tool'!D78,""))</f>
        <v/>
      </c>
      <c r="H78">
        <v>78</v>
      </c>
      <c r="I78">
        <f t="shared" si="3"/>
        <v>361</v>
      </c>
      <c r="J78" t="str">
        <f t="array" ref="J78">IFERROR(INDEX($G$2:$G$2050,_xlfn.AGGREGATE(15,6,(ROW($G$2:$G$2050)-ROW($G$2)+1)/($G$2:$G$2050&lt;&gt;""),ROWS(J$1:J78))),"")</f>
        <v>F 370-1 BEAU RIVAGE DR</v>
      </c>
      <c r="K78">
        <f>IF(J78="","",INDEX('Assignment Tool'!E94:E2127,MATCH(FA_DATA!J78,'Assignment Tool'!D94:D2127,0)))</f>
        <v>4</v>
      </c>
    </row>
    <row r="79" spans="1:11" x14ac:dyDescent="0.25">
      <c r="A79" s="118" t="str">
        <f t="shared" si="2"/>
        <v>OPP 330-1 LOTUS DR S</v>
      </c>
      <c r="G79" t="str">
        <f>IF('Assignment Tool'!C79="","",IF('Assignment Tool'!C79="FST",'Assignment Tool'!D79,""))</f>
        <v/>
      </c>
      <c r="H79">
        <v>79</v>
      </c>
      <c r="I79">
        <f t="shared" si="3"/>
        <v>365</v>
      </c>
      <c r="J79" t="str">
        <f t="array" ref="J79">IFERROR(INDEX($G$2:$G$2050,_xlfn.AGGREGATE(15,6,(ROW($G$2:$G$2050)-ROW($G$2)+1)/($G$2:$G$2050&lt;&gt;""),ROWS(J$1:J79))),"")</f>
        <v>F 380-2 BEAU RIVAGE DR</v>
      </c>
      <c r="K79">
        <f>IF(J79="","",INDEX('Assignment Tool'!E95:E2128,MATCH(FA_DATA!J79,'Assignment Tool'!D95:D2128,0)))</f>
        <v>4</v>
      </c>
    </row>
    <row r="80" spans="1:11" x14ac:dyDescent="0.25">
      <c r="A80" s="118" t="str">
        <f t="shared" si="2"/>
        <v>OPP 330-1 LOTUS DR S</v>
      </c>
      <c r="G80" t="str">
        <f>IF('Assignment Tool'!C80="","",IF('Assignment Tool'!C80="FST",'Assignment Tool'!D80,""))</f>
        <v/>
      </c>
      <c r="H80">
        <v>80</v>
      </c>
      <c r="I80">
        <f t="shared" si="3"/>
        <v>369</v>
      </c>
      <c r="J80" t="str">
        <f t="array" ref="J80">IFERROR(INDEX($G$2:$G$2050,_xlfn.AGGREGATE(15,6,(ROW($G$2:$G$2050)-ROW($G$2)+1)/($G$2:$G$2050&lt;&gt;""),ROWS(J$1:J80))),"")</f>
        <v>F 400-2 BEAU RIVAGE DR</v>
      </c>
      <c r="K80">
        <f>IF(J80="","",INDEX('Assignment Tool'!E96:E2129,MATCH(FA_DATA!J80,'Assignment Tool'!D96:D2129,0)))</f>
        <v>4</v>
      </c>
    </row>
    <row r="81" spans="1:11" x14ac:dyDescent="0.25">
      <c r="A81" s="118" t="str">
        <f t="shared" si="2"/>
        <v>OPP 350-1 LOTUS DR S</v>
      </c>
      <c r="G81" t="str">
        <f>IF('Assignment Tool'!C81="","",IF('Assignment Tool'!C81="FST",'Assignment Tool'!D81,""))</f>
        <v/>
      </c>
      <c r="H81">
        <v>81</v>
      </c>
      <c r="I81">
        <f t="shared" si="3"/>
        <v>373</v>
      </c>
      <c r="J81" t="str">
        <f t="array" ref="J81">IFERROR(INDEX($G$2:$G$2050,_xlfn.AGGREGATE(15,6,(ROW($G$2:$G$2050)-ROW($G$2)+1)/($G$2:$G$2050&lt;&gt;""),ROWS(J$1:J81))),"")</f>
        <v>F 375-2 BEAU RIVAGE DR</v>
      </c>
      <c r="K81">
        <f>IF(J81="","",INDEX('Assignment Tool'!E97:E2130,MATCH(FA_DATA!J81,'Assignment Tool'!D97:D2130,0)))</f>
        <v>4</v>
      </c>
    </row>
    <row r="82" spans="1:11" x14ac:dyDescent="0.25">
      <c r="A82" s="118" t="str">
        <f t="shared" si="2"/>
        <v>OPP 350-1 LOTUS DR S</v>
      </c>
      <c r="G82" t="str">
        <f>IF('Assignment Tool'!C82="","",IF('Assignment Tool'!C82="FST",'Assignment Tool'!D82,""))</f>
        <v/>
      </c>
      <c r="H82">
        <v>82</v>
      </c>
      <c r="I82">
        <f t="shared" si="3"/>
        <v>377</v>
      </c>
      <c r="J82" t="str">
        <f t="array" ref="J82">IFERROR(INDEX($G$2:$G$2050,_xlfn.AGGREGATE(15,6,(ROW($G$2:$G$2050)-ROW($G$2)+1)/($G$2:$G$2050&lt;&gt;""),ROWS(J$1:J82))),"")</f>
        <v>F 210-2 LOTUS DR S</v>
      </c>
      <c r="K82">
        <f>IF(J82="","",INDEX('Assignment Tool'!E98:E2131,MATCH(FA_DATA!J82,'Assignment Tool'!D98:D2131,0)))</f>
        <v>4</v>
      </c>
    </row>
    <row r="83" spans="1:11" x14ac:dyDescent="0.25">
      <c r="A83" s="118" t="str">
        <f t="shared" si="2"/>
        <v>OPP 350-1 LOTUS DR S</v>
      </c>
      <c r="G83" t="str">
        <f>IF('Assignment Tool'!C83="","",IF('Assignment Tool'!C83="FST",'Assignment Tool'!D83,""))</f>
        <v/>
      </c>
      <c r="H83">
        <v>83</v>
      </c>
      <c r="I83">
        <f t="shared" si="3"/>
        <v>381</v>
      </c>
      <c r="J83" t="str">
        <f t="array" ref="J83">IFERROR(INDEX($G$2:$G$2050,_xlfn.AGGREGATE(15,6,(ROW($G$2:$G$2050)-ROW($G$2)+1)/($G$2:$G$2050&lt;&gt;""),ROWS(J$1:J83))),"")</f>
        <v>F 230-2 LOTUS DR S</v>
      </c>
      <c r="K83">
        <f>IF(J83="","",INDEX('Assignment Tool'!E99:E2132,MATCH(FA_DATA!J83,'Assignment Tool'!D99:D2132,0)))</f>
        <v>4</v>
      </c>
    </row>
    <row r="84" spans="1:11" x14ac:dyDescent="0.25">
      <c r="A84" s="118" t="str">
        <f t="shared" si="2"/>
        <v>OPP 350-1 LOTUS DR S</v>
      </c>
      <c r="G84" t="str">
        <f>IF('Assignment Tool'!C84="","",IF('Assignment Tool'!C84="FST",'Assignment Tool'!D84,""))</f>
        <v/>
      </c>
      <c r="H84">
        <v>84</v>
      </c>
      <c r="I84">
        <f t="shared" si="3"/>
        <v>385</v>
      </c>
      <c r="J84" t="str">
        <f t="array" ref="J84">IFERROR(INDEX($G$2:$G$2050,_xlfn.AGGREGATE(15,6,(ROW($G$2:$G$2050)-ROW($G$2)+1)/($G$2:$G$2050&lt;&gt;""),ROWS(J$1:J84))),"")</f>
        <v>F 250-2 LOTUS DR S</v>
      </c>
      <c r="K84">
        <f>IF(J84="","",INDEX('Assignment Tool'!E100:E2133,MATCH(FA_DATA!J84,'Assignment Tool'!D100:D2133,0)))</f>
        <v>4</v>
      </c>
    </row>
    <row r="85" spans="1:11" x14ac:dyDescent="0.25">
      <c r="A85" s="118" t="str">
        <f t="shared" si="2"/>
        <v>F 280-2 BEAU RIVAGE DR</v>
      </c>
      <c r="G85" t="str">
        <f>IF('Assignment Tool'!C85="","",IF('Assignment Tool'!C85="FST",'Assignment Tool'!D85,""))</f>
        <v/>
      </c>
      <c r="H85">
        <v>85</v>
      </c>
      <c r="I85">
        <f t="shared" si="3"/>
        <v>389</v>
      </c>
      <c r="J85" t="str">
        <f t="array" ref="J85">IFERROR(INDEX($G$2:$G$2050,_xlfn.AGGREGATE(15,6,(ROW($G$2:$G$2050)-ROW($G$2)+1)/($G$2:$G$2050&lt;&gt;""),ROWS(J$1:J85))),"")</f>
        <v>F 270-2 LOTUS DR S</v>
      </c>
      <c r="K85">
        <f>IF(J85="","",INDEX('Assignment Tool'!E101:E2134,MATCH(FA_DATA!J85,'Assignment Tool'!D101:D2134,0)))</f>
        <v>4</v>
      </c>
    </row>
    <row r="86" spans="1:11" x14ac:dyDescent="0.25">
      <c r="A86" s="118" t="str">
        <f t="shared" si="2"/>
        <v>F 280-2 BEAU RIVAGE DR</v>
      </c>
      <c r="G86" t="str">
        <f>IF('Assignment Tool'!C86="","",IF('Assignment Tool'!C86="FST",'Assignment Tool'!D86,""))</f>
        <v/>
      </c>
      <c r="H86">
        <v>86</v>
      </c>
      <c r="I86">
        <f t="shared" si="3"/>
        <v>393</v>
      </c>
      <c r="J86" t="str">
        <f t="array" ref="J86">IFERROR(INDEX($G$2:$G$2050,_xlfn.AGGREGATE(15,6,(ROW($G$2:$G$2050)-ROW($G$2)+1)/($G$2:$G$2050&lt;&gt;""),ROWS(J$1:J86))),"")</f>
        <v>F 290-2 LOTUS DR S</v>
      </c>
      <c r="K86">
        <f>IF(J86="","",INDEX('Assignment Tool'!E102:E2135,MATCH(FA_DATA!J86,'Assignment Tool'!D102:D2135,0)))</f>
        <v>4</v>
      </c>
    </row>
    <row r="87" spans="1:11" x14ac:dyDescent="0.25">
      <c r="A87" s="118" t="str">
        <f t="shared" si="2"/>
        <v>F 280-2 BEAU RIVAGE DR</v>
      </c>
      <c r="G87" t="str">
        <f>IF('Assignment Tool'!C87="","",IF('Assignment Tool'!C87="FST",'Assignment Tool'!D87,""))</f>
        <v/>
      </c>
      <c r="H87">
        <v>87</v>
      </c>
      <c r="I87">
        <f t="shared" si="3"/>
        <v>397</v>
      </c>
      <c r="J87" t="str">
        <f t="array" ref="J87">IFERROR(INDEX($G$2:$G$2050,_xlfn.AGGREGATE(15,6,(ROW($G$2:$G$2050)-ROW($G$2)+1)/($G$2:$G$2050&lt;&gt;""),ROWS(J$1:J87))),"")</f>
        <v>F 550-2 LOTUS DR N</v>
      </c>
      <c r="K87">
        <f>IF(J87="","",INDEX('Assignment Tool'!E103:E2136,MATCH(FA_DATA!J87,'Assignment Tool'!D103:D2136,0)))</f>
        <v>4</v>
      </c>
    </row>
    <row r="88" spans="1:11" x14ac:dyDescent="0.25">
      <c r="A88" s="118" t="str">
        <f t="shared" si="2"/>
        <v>F 280-2 BEAU RIVAGE DR</v>
      </c>
      <c r="G88" t="str">
        <f>IF('Assignment Tool'!C88="","",IF('Assignment Tool'!C88="FST",'Assignment Tool'!D88,""))</f>
        <v/>
      </c>
      <c r="H88">
        <v>88</v>
      </c>
      <c r="I88">
        <f t="shared" si="3"/>
        <v>401</v>
      </c>
      <c r="J88" t="str">
        <f t="array" ref="J88">IFERROR(INDEX($G$2:$G$2050,_xlfn.AGGREGATE(15,6,(ROW($G$2:$G$2050)-ROW($G$2)+1)/($G$2:$G$2050&lt;&gt;""),ROWS(J$1:J88))),"")</f>
        <v>F 530-1 LOTUS DR N</v>
      </c>
      <c r="K88">
        <f>IF(J88="","",INDEX('Assignment Tool'!E104:E2137,MATCH(FA_DATA!J88,'Assignment Tool'!D104:D2137,0)))</f>
        <v>4</v>
      </c>
    </row>
    <row r="89" spans="1:11" x14ac:dyDescent="0.25">
      <c r="A89" s="118" t="str">
        <f t="shared" si="2"/>
        <v>F 300-2 BEAU RIVAGE DR</v>
      </c>
      <c r="G89" t="str">
        <f>IF('Assignment Tool'!C89="","",IF('Assignment Tool'!C89="FST",'Assignment Tool'!D89,""))</f>
        <v/>
      </c>
      <c r="H89">
        <v>89</v>
      </c>
      <c r="I89">
        <f t="shared" si="3"/>
        <v>405</v>
      </c>
      <c r="J89" t="str">
        <f t="array" ref="J89">IFERROR(INDEX($G$2:$G$2050,_xlfn.AGGREGATE(15,6,(ROW($G$2:$G$2050)-ROW($G$2)+1)/($G$2:$G$2050&lt;&gt;""),ROWS(J$1:J89))),"")</f>
        <v>F 510-1 LOTUS DR N</v>
      </c>
      <c r="K89">
        <f>IF(J89="","",INDEX('Assignment Tool'!E105:E2138,MATCH(FA_DATA!J89,'Assignment Tool'!D105:D2138,0)))</f>
        <v>4</v>
      </c>
    </row>
    <row r="90" spans="1:11" x14ac:dyDescent="0.25">
      <c r="A90" s="118" t="str">
        <f t="shared" si="2"/>
        <v>F 300-2 BEAU RIVAGE DR</v>
      </c>
      <c r="G90" t="str">
        <f>IF('Assignment Tool'!C90="","",IF('Assignment Tool'!C90="FST",'Assignment Tool'!D90,""))</f>
        <v/>
      </c>
      <c r="H90">
        <v>90</v>
      </c>
      <c r="I90">
        <f t="shared" si="3"/>
        <v>409</v>
      </c>
      <c r="J90" t="str">
        <f t="array" ref="J90">IFERROR(INDEX($G$2:$G$2050,_xlfn.AGGREGATE(15,6,(ROW($G$2:$G$2050)-ROW($G$2)+1)/($G$2:$G$2050&lt;&gt;""),ROWS(J$1:J90))),"")</f>
        <v>F 490-1 LOTUS DR N</v>
      </c>
      <c r="K90">
        <f>IF(J90="","",INDEX('Assignment Tool'!E106:E2139,MATCH(FA_DATA!J90,'Assignment Tool'!D106:D2139,0)))</f>
        <v>4</v>
      </c>
    </row>
    <row r="91" spans="1:11" x14ac:dyDescent="0.25">
      <c r="A91" s="118" t="str">
        <f t="shared" si="2"/>
        <v>F 300-2 BEAU RIVAGE DR</v>
      </c>
      <c r="G91" t="str">
        <f>IF('Assignment Tool'!C91="","",IF('Assignment Tool'!C91="FST",'Assignment Tool'!D91,""))</f>
        <v/>
      </c>
      <c r="H91">
        <v>91</v>
      </c>
      <c r="I91">
        <f t="shared" si="3"/>
        <v>413</v>
      </c>
      <c r="J91" t="str">
        <f t="array" ref="J91">IFERROR(INDEX($G$2:$G$2050,_xlfn.AGGREGATE(15,6,(ROW($G$2:$G$2050)-ROW($G$2)+1)/($G$2:$G$2050&lt;&gt;""),ROWS(J$1:J91))),"")</f>
        <v>F 470-1 LOTUS DR N</v>
      </c>
      <c r="K91">
        <f>IF(J91="","",INDEX('Assignment Tool'!E107:E2140,MATCH(FA_DATA!J91,'Assignment Tool'!D107:D2140,0)))</f>
        <v>4</v>
      </c>
    </row>
    <row r="92" spans="1:11" x14ac:dyDescent="0.25">
      <c r="A92" s="118" t="str">
        <f t="shared" si="2"/>
        <v>F 300-2 BEAU RIVAGE DR</v>
      </c>
      <c r="G92" t="str">
        <f>IF('Assignment Tool'!C92="","",IF('Assignment Tool'!C92="FST",'Assignment Tool'!D92,""))</f>
        <v/>
      </c>
      <c r="H92">
        <v>92</v>
      </c>
      <c r="I92">
        <f t="shared" si="3"/>
        <v>417</v>
      </c>
      <c r="J92" t="str">
        <f t="array" ref="J92">IFERROR(INDEX($G$2:$G$2050,_xlfn.AGGREGATE(15,6,(ROW($G$2:$G$2050)-ROW($G$2)+1)/($G$2:$G$2050&lt;&gt;""),ROWS(J$1:J92))),"")</f>
        <v>F 450-2 LOTUS DR N</v>
      </c>
      <c r="K92">
        <f>IF(J92="","",INDEX('Assignment Tool'!E108:E2141,MATCH(FA_DATA!J92,'Assignment Tool'!D108:D2141,0)))</f>
        <v>8</v>
      </c>
    </row>
    <row r="93" spans="1:11" x14ac:dyDescent="0.25">
      <c r="A93" s="118" t="str">
        <f t="shared" si="2"/>
        <v>F 300-2 BEAU RIVAGE DR</v>
      </c>
      <c r="G93" t="str">
        <f>IF('Assignment Tool'!C93="","",IF('Assignment Tool'!C93="FST",'Assignment Tool'!D93,""))</f>
        <v/>
      </c>
      <c r="H93">
        <v>93</v>
      </c>
      <c r="I93">
        <f t="shared" si="3"/>
        <v>425</v>
      </c>
      <c r="J93" t="str">
        <f t="array" ref="J93">IFERROR(INDEX($G$2:$G$2050,_xlfn.AGGREGATE(15,6,(ROW($G$2:$G$2050)-ROW($G$2)+1)/($G$2:$G$2050&lt;&gt;""),ROWS(J$1:J93))),"")</f>
        <v>F 430-1 LOTUS DR N</v>
      </c>
      <c r="K93">
        <f>IF(J93="","",INDEX('Assignment Tool'!E109:E2142,MATCH(FA_DATA!J93,'Assignment Tool'!D109:D2142,0)))</f>
        <v>4</v>
      </c>
    </row>
    <row r="94" spans="1:11" x14ac:dyDescent="0.25">
      <c r="A94" s="118" t="str">
        <f t="shared" si="2"/>
        <v>F 300-2 BEAU RIVAGE DR</v>
      </c>
      <c r="G94" t="str">
        <f>IF('Assignment Tool'!C94="","",IF('Assignment Tool'!C94="FST",'Assignment Tool'!D94,""))</f>
        <v/>
      </c>
      <c r="H94">
        <v>94</v>
      </c>
      <c r="I94">
        <f t="shared" si="3"/>
        <v>429</v>
      </c>
      <c r="J94" t="str">
        <f t="array" ref="J94">IFERROR(INDEX($G$2:$G$2050,_xlfn.AGGREGATE(15,6,(ROW($G$2:$G$2050)-ROW($G$2)+1)/($G$2:$G$2050&lt;&gt;""),ROWS(J$1:J94))),"")</f>
        <v>F 420-1 LOTUS DR N</v>
      </c>
      <c r="K94">
        <f>IF(J94="","",INDEX('Assignment Tool'!E110:E2143,MATCH(FA_DATA!J94,'Assignment Tool'!D110:D2143,0)))</f>
        <v>4</v>
      </c>
    </row>
    <row r="95" spans="1:11" x14ac:dyDescent="0.25">
      <c r="A95" s="118" t="str">
        <f t="shared" si="2"/>
        <v>F 300-2 BEAU RIVAGE DR</v>
      </c>
      <c r="G95" t="str">
        <f>IF('Assignment Tool'!C95="","",IF('Assignment Tool'!C95="FST",'Assignment Tool'!D95,""))</f>
        <v/>
      </c>
      <c r="H95">
        <v>95</v>
      </c>
      <c r="I95">
        <f t="shared" si="3"/>
        <v>433</v>
      </c>
      <c r="J95" t="str">
        <f t="array" ref="J95">IFERROR(INDEX($G$2:$G$2050,_xlfn.AGGREGATE(15,6,(ROW($G$2:$G$2050)-ROW($G$2)+1)/($G$2:$G$2050&lt;&gt;""),ROWS(J$1:J95))),"")</f>
        <v/>
      </c>
      <c r="K95" t="str">
        <f>IF(J95="","",INDEX('Assignment Tool'!E111:E2144,MATCH(FA_DATA!J95,'Assignment Tool'!D111:D2144,0)))</f>
        <v/>
      </c>
    </row>
    <row r="96" spans="1:11" x14ac:dyDescent="0.25">
      <c r="A96" s="118" t="str">
        <f t="shared" si="2"/>
        <v>F 300-2 BEAU RIVAGE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320-2 BEAU RIVAGE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320-2 BEAU RIVAGE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320-2 BEAU RIVAGE DR</v>
      </c>
      <c r="G99" t="str">
        <f>IF('Assignment Tool'!C99="","",IF('Assignment Tool'!C99="FST",'Assignment Tool'!D99,""))</f>
        <v>F 225-2 SILVER MAPLE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320-2 BEAU RIVAGE DR</v>
      </c>
      <c r="G100" t="str">
        <f>IF('Assignment Tool'!C100="","",IF('Assignment Tool'!C100="FST",'Assignment Tool'!D100,""))</f>
        <v>F 245-1 SILVER MAPLE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330-1 BEAU RIVAGE DR</v>
      </c>
      <c r="G101" t="str">
        <f>IF('Assignment Tool'!C101="","",IF('Assignment Tool'!C101="FST",'Assignment Tool'!D101,""))</f>
        <v>F 265-1 SILVER MAPLE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330-1 BEAU RIVAGE DR</v>
      </c>
      <c r="G102" t="str">
        <f>IF('Assignment Tool'!C102="","",IF('Assignment Tool'!C102="FST",'Assignment Tool'!D102,""))</f>
        <v>F 325-1 LOTUS DR S</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330-1 BEAU RIVAGE DR</v>
      </c>
      <c r="G103" t="str">
        <f>IF('Assignment Tool'!C103="","",IF('Assignment Tool'!C103="FST",'Assignment Tool'!D103,""))</f>
        <v>OPP 330-1 LOTUS DR S</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330-1 BEAU RIVAGE DR</v>
      </c>
      <c r="G104" t="str">
        <f>IF('Assignment Tool'!C104="","",IF('Assignment Tool'!C104="FST",'Assignment Tool'!D104,""))</f>
        <v>OPP 350-1 LOTUS DR S</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350-1 BEAU RIVAGE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350-1 BEAU RIVAGE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350-1 BEAU RIVAGE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350-1 BEAU RIVAGE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35-1 BERG CT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35-1 BERG CT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35-1 BERG CT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35-1 BERG CT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30-2 BERG CT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30-2 BERG CT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30-2 BERG CT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30-2 BERG CT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20-1 BERG CT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20-1 BERG CT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20-1 BERG CT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20-1 BERG CT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235-2 MOSS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235-2 MOSS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235-2 MOSS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235-2 MOSS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245-1 MOSS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245-1 MOSS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245-1 MOSS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245-1 MOSS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245-1 MOSS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245-1 MOSS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245-1 MOSS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245-1 MOSS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235-2 GARDEN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235-2 GARDEN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235-2 GARDEN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235-2 GARDEN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255-2 GARDEN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255-2 GARDEN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255-2 GARDEN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255-2 GARDEN AVE</v>
      </c>
      <c r="G140" t="str">
        <f>IF('Assignment Tool'!C140="","",IF('Assignment Tool'!C140="FST",'Assignment Tool'!D140,""))</f>
        <v>F 280-2 BEAU RIVAGE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275-2 GARDEN AVE</v>
      </c>
      <c r="G141" t="str">
        <f>IF('Assignment Tool'!C141="","",IF('Assignment Tool'!C141="FST",'Assignment Tool'!D141,""))</f>
        <v>F 300-2 BEAU RIVAGE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275-2 GARDEN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275-2 GARDEN AVE</v>
      </c>
      <c r="G143" t="str">
        <f>IF('Assignment Tool'!C143="","",IF('Assignment Tool'!C143="FST",'Assignment Tool'!D143,""))</f>
        <v>F 320-2 BEAU RIVAGE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275-2 GARDEN AVE</v>
      </c>
      <c r="G144" t="str">
        <f>IF('Assignment Tool'!C144="","",IF('Assignment Tool'!C144="FST",'Assignment Tool'!D144,""))</f>
        <v>F 330-1 BEAU RIVAGE DR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295-2 GARDEN AVE</v>
      </c>
      <c r="G145" t="str">
        <f>IF('Assignment Tool'!C145="","",IF('Assignment Tool'!C145="FST",'Assignment Tool'!D145,""))</f>
        <v>F 350-1 BEAU RIVAGE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295-2 GARDEN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295-2 GARDEN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295-2 GARDEN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315-2 GARDEN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315-2 GARDEN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315-2 GARDEN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315-2 GARDEN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335-1 GARDEN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335-1 GARDEN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335-1 GARDEN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335-1 GARDEN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335-1 GARDEN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335-1 GARDEN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335-1 GARDEN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335-1 GARDEN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340-1 GARDEN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340-1 GARDEN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340-1 GARDEN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340-1 GARDEN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OPP 340-1 GARDEN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OPP 340-1 GARDEN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OPP 340-1 GARDEN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OPP 340-1 GARDEN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315-2 HYACINTH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315-2 HYACINTH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315-2 HYACINTH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315-2 HYACINTH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355-2 CAMELLIA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355-2 CAMELLIA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355-2 CAMELLIA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355-2 CAMELLIA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375-1 LOTUS DR S</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375-1 LOTUS DR S</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375-1 LOTUS DR S</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375-1 LOTUS DR S</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375-1 LOTUS DR S</v>
      </c>
      <c r="G181" t="str">
        <f>IF('Assignment Tool'!C181="","",IF('Assignment Tool'!C181="FST",'Assignment Tool'!D181,""))</f>
        <v>F 35-1 BERG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375-1 LOTUS DR S</v>
      </c>
      <c r="G182" t="str">
        <f>IF('Assignment Tool'!C182="","",IF('Assignment Tool'!C182="FST",'Assignment Tool'!D182,""))</f>
        <v>F 30-2 BERG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375-1 LOTUS DR S</v>
      </c>
      <c r="G183" t="str">
        <f>IF('Assignment Tool'!C183="","",IF('Assignment Tool'!C183="FST",'Assignment Tool'!D183,""))</f>
        <v>F 20-1 BERG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375-1 LOTUS DR S</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390-1 GARDEN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390-1 GARDEN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390-1 GARDEN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390-1 GARDEN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390-1 GARDEN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390-1 GARDEN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390-1 GARDEN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390-1 GARDEN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355-1 GARDEN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355-1 GARDEN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355-1 GARDEN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355-1 GARDEN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375-2 GARDEN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375-2 GARDEN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375-2 GARDEN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375-2 GARDEN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395-1 GARDEN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395-1 GARDEN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395-1 GARDEN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395-1 GARDEN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399-1 GARDEN AVE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399-1 GARDEN AVE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399-1 GARDEN AVE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399-1 GARDEN AVE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425-1 GARDEN AVE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425-1 GARDEN AVE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425-1 GARDEN AVE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425-1 GARDEN AVE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425-1 GARDEN AVE</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425-1 GARDEN AVE</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425-1 GARDEN AVE</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425-1 GARDEN AVE</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541-1 GARDEN AVE</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541-1 GARDEN AVE</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541-1 GARDEN AVE</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541-1 GARDEN AVE</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561-1 GARDEN AVE</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561-1 GARDEN AVE</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561-1 GARDEN AVE</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561-1 GARDEN AVE</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417-2 VENUS DR</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417-2 VENUS DR</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417-2 VENUS DR</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417-2 VENUS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417-2 VENUS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417-2 VENUS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417-2 VENUS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417-2 VENUS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409-2 VENUS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409-2 VENUS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409-2 VENUS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409-2 VENUS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409-2 VENUS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409-2 VENUS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409-2 VENUS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409-2 VENUS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420-2 HEAVENS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420-2 HEAVENS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420-2 HEAVENS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420-2 HEAVENS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412-2 HEAVENS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412-2 HEAVENS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412-2 HEAVENS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412-2 HEAVENS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406-2 HEAVENS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406-2 HEAVENS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406-2 HEAVENS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406-2 HEAVENS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406-2 HEAVENS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406-2 HEAVENS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406-2 HEAVENS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406-2 HEAVENS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430-1 DORADO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430-1 DORADO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430-1 DORADO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430-1 DORADO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430-1 DORADO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430-1 DORADO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430-1 DORADO DR</v>
      </c>
      <c r="G263" t="str">
        <f>IF('Assignment Tool'!C263="","",IF('Assignment Tool'!C263="FST",'Assignment Tool'!D263,""))</f>
        <v>F 235-2 MOSS LN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430-1 DORADO DR</v>
      </c>
      <c r="G264" t="str">
        <f>IF('Assignment Tool'!C264="","",IF('Assignment Tool'!C264="FST",'Assignment Tool'!D264,""))</f>
        <v>F 245-1 MOSS LN</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510-1 DORADO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510-1 DORADO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510-1 DORADO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510-1 DORADO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530-1 DORADO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530-1 DORADO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530-1 DORADO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530-1 DORADO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404-1 VENUS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404-1 VENUS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404-1 VENUS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404-1 VENUS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260-2 AZALEA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260-2 AZALEA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260-2 AZALEA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260-2 AZALEA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280-2 AZALEA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280-2 AZALEA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280-2 AZALEA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280-2 AZALEA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300-2 AZALEA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300-2 AZALEA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300-2 AZALEA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300-2 AZALEA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310-1 AZALEA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310-1 AZALEA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310-1 AZALEA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310-1 AZALEA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340-2 AZALEA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340-2 AZALEA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340-2 AZALEA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340-2 AZALEA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364-1 AZALEA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364-1 AZALEA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364-1 AZALEA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364-1 AZALEA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380-2 AZALEA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380-2 AZALEA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380-2 AZALEA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380-2 AZALEA DR</v>
      </c>
      <c r="G304" t="str">
        <f>IF('Assignment Tool'!C304="","",IF('Assignment Tool'!C304="FST",'Assignment Tool'!D304,""))</f>
        <v>F 235-2 GARDEN AVE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390-2 AZALEA DR</v>
      </c>
      <c r="G305" t="str">
        <f>IF('Assignment Tool'!C305="","",IF('Assignment Tool'!C305="FST",'Assignment Tool'!D305,""))</f>
        <v>F 255-2 GARDEN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390-2 AZALEA DR</v>
      </c>
      <c r="G306" t="str">
        <f>IF('Assignment Tool'!C306="","",IF('Assignment Tool'!C306="FST",'Assignment Tool'!D306,""))</f>
        <v>F 275-2 GARDEN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390-2 AZALEA DR</v>
      </c>
      <c r="G307" t="str">
        <f>IF('Assignment Tool'!C307="","",IF('Assignment Tool'!C307="FST",'Assignment Tool'!D307,""))</f>
        <v>F 295-2 GARDEN AVE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390-2 AZALEA DR</v>
      </c>
      <c r="G308" t="str">
        <f>IF('Assignment Tool'!C308="","",IF('Assignment Tool'!C308="FST",'Assignment Tool'!D308,""))</f>
        <v>F 315-2 GARDEN AVE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398-1 AZALEA DR</v>
      </c>
      <c r="G309" t="str">
        <f>IF('Assignment Tool'!C309="","",IF('Assignment Tool'!C309="FST",'Assignment Tool'!D309,""))</f>
        <v>F 335-1 GARDEN AVE</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398-1 AZALEA DR</v>
      </c>
      <c r="G310" t="str">
        <f>IF('Assignment Tool'!C310="","",IF('Assignment Tool'!C310="FST",'Assignment Tool'!D310,""))</f>
        <v>OPP 340-1 GARDEN AVE</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398-1 AZALEA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398-1 AZALEA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275-2 MOSS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275-2 MOSS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275-2 MOSS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275-2 MOSS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295-2 MOSS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295-2 MOSS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295-2 MOSS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295-2 MOSS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315-1 MOSS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315-1 MOSS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315-1 MOSS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315-1 MOSS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335-1 MOSS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335-1 MOSS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335-1 MOSS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335-1 MOSS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355-1 MOSS LN</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355-1 MOSS LN</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355-1 MOSS LN</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355-1 MOSS LN</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365-2 MOSS LN</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365-2 MOSS LN</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365-2 MOSS LN</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365-2 MOSS LN</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385-2 JASMINE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385-2 JASMINE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385-2 JASMINE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385-2 JASMINE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365-2 JASMINE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365-2 JASMINE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365-2 JASMINE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365-2 JASMINE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345-2 JASMINE DR</v>
      </c>
      <c r="G345" t="str">
        <f>IF('Assignment Tool'!C345="","",IF('Assignment Tool'!C345="FST",'Assignment Tool'!D345,""))</f>
        <v>OPP 315-2 HYACINTH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345-2 JASMINE DR</v>
      </c>
      <c r="G346" t="str">
        <f>IF('Assignment Tool'!C346="","",IF('Assignment Tool'!C346="FST",'Assignment Tool'!D346,""))</f>
        <v>F 355-2 CAMELLIA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345-2 JASMINE DR</v>
      </c>
      <c r="G347" t="str">
        <f>IF('Assignment Tool'!C347="","",IF('Assignment Tool'!C347="FST",'Assignment Tool'!D347,""))</f>
        <v>F 375-1 LOTUS DR S</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345-2 JASMINE DR</v>
      </c>
      <c r="G348" t="str">
        <f>IF('Assignment Tool'!C348="","",IF('Assignment Tool'!C348="FST",'Assignment Tool'!D348,""))</f>
        <v>F 390-1 GARDEN AVE</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325-1 JASMINE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325-1 JASMINE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325-1 JASMINE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325-1 JASMINE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315-1 JASMINE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315-1 JASMINE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315-1 JASMINE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315-1 JASMINE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315-1 JASMINE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315-1 JASMINE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315-1 JASMINE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315-1 JASMINE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370-1 BEAU RIVAGE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370-1 BEAU RIVAGE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370-1 BEAU RIVAGE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370-1 BEAU RIVAGE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380-2 BEAU RIVAGE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380-2 BEAU RIVAGE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380-2 BEAU RIVAGE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380-2 BEAU RIVAGE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400-2 BEAU RIVAGE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400-2 BEAU RIVAGE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400-2 BEAU RIVAGE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400-2 BEAU RIVAGE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375-2 BEAU RIVAGE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375-2 BEAU RIVAGE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375-2 BEAU RIVAGE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375-2 BEAU RIVAGE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210-2 LOTUS DR S</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210-2 LOTUS DR S</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210-2 LOTUS DR S</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210-2 LOTUS DR S</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230-2 LOTUS DR S</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230-2 LOTUS DR S</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230-2 LOTUS DR S</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230-2 LOTUS DR S</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250-2 LOTUS DR S</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250-2 LOTUS DR S</v>
      </c>
      <c r="G386" t="str">
        <f>IF('Assignment Tool'!C386="","",IF('Assignment Tool'!C386="FST",'Assignment Tool'!D386,""))</f>
        <v>F 355-1 GARDEN AVE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250-2 LOTUS DR S</v>
      </c>
      <c r="G387" t="str">
        <f>IF('Assignment Tool'!C387="","",IF('Assignment Tool'!C387="FST",'Assignment Tool'!D387,""))</f>
        <v>F 375-2 GARDEN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250-2 LOTUS DR S</v>
      </c>
      <c r="G388" t="str">
        <f>IF('Assignment Tool'!C388="","",IF('Assignment Tool'!C388="FST",'Assignment Tool'!D388,""))</f>
        <v>F 395-1 GARDEN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270-2 LOTUS DR S</v>
      </c>
      <c r="G389" t="str">
        <f>IF('Assignment Tool'!C389="","",IF('Assignment Tool'!C389="FST",'Assignment Tool'!D389,""))</f>
        <v>F 399-1 GARDEN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270-2 LOTUS DR S</v>
      </c>
      <c r="G390" t="str">
        <f>IF('Assignment Tool'!C390="","",IF('Assignment Tool'!C390="FST",'Assignment Tool'!D390,""))</f>
        <v>F 425-1 GARDEN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270-2 LOTUS DR S</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270-2 LOTUS DR S</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290-2 LOTUS DR S</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290-2 LOTUS DR S</v>
      </c>
      <c r="G394" t="str">
        <f>IF('Assignment Tool'!C394="","",IF('Assignment Tool'!C394="FST",'Assignment Tool'!D394,""))</f>
        <v>F 541-1 GARDEN AVE</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290-2 LOTUS DR S</v>
      </c>
      <c r="G395" t="str">
        <f>IF('Assignment Tool'!C395="","",IF('Assignment Tool'!C395="FST",'Assignment Tool'!D395,""))</f>
        <v>F 561-1 GARDEN AVE</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290-2 LOTUS DR S</v>
      </c>
      <c r="G396" t="str">
        <f>IF('Assignment Tool'!C396="","",IF('Assignment Tool'!C396="FST",'Assignment Tool'!D396,""))</f>
        <v>F 417-2 VENUS DR</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550-2 LOTUS DR N</v>
      </c>
      <c r="G397" t="str">
        <f>IF('Assignment Tool'!C397="","",IF('Assignment Tool'!C397="FST",'Assignment Tool'!D397,""))</f>
        <v>F 409-2 VENUS DR</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550-2 LOTUS DR N</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550-2 LOTUS DR N</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550-2 LOTUS DR N</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530-1 LOTUS DR N</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530-1 LOTUS DR N</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530-1 LOTUS DR N</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530-1 LOTUS DR N</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510-1 LOTUS DR N</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510-1 LOTUS DR N</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510-1 LOTUS DR N</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510-1 LOTUS DR N</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490-1 LOTUS DR 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490-1 LOTUS DR 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490-1 LOTUS DR 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490-1 LOTUS DR 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470-1 LOTUS DR 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470-1 LOTUS DR 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470-1 LOTUS DR 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470-1 LOTUS DR 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450-2 LOTUS DR 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450-2 LOTUS DR 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450-2 LOTUS DR 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450-2 LOTUS DR 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450-2 LOTUS DR 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450-2 LOTUS DR 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450-2 LOTUS DR 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450-2 LOTUS DR 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430-1 LOTUS DR 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430-1 LOTUS DR 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430-1 LOTUS DR N</v>
      </c>
      <c r="G427" t="str">
        <f>IF('Assignment Tool'!C427="","",IF('Assignment Tool'!C427="FST",'Assignment Tool'!D427,""))</f>
        <v>F 420-2 HEAVENS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430-1 LOTUS DR N</v>
      </c>
      <c r="G428" t="str">
        <f>IF('Assignment Tool'!C428="","",IF('Assignment Tool'!C428="FST",'Assignment Tool'!D428,""))</f>
        <v>F 412-2 HEAVENS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420-1 LOTUS DR N</v>
      </c>
      <c r="G429" t="str">
        <f>IF('Assignment Tool'!C429="","",IF('Assignment Tool'!C429="FST",'Assignment Tool'!D429,""))</f>
        <v>F 406-2 HEAVENS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420-1 LOTUS DR N</v>
      </c>
      <c r="G430" t="str">
        <f>IF('Assignment Tool'!C430="","",IF('Assignment Tool'!C430="FST",'Assignment Tool'!D430,""))</f>
        <v>F 430-1 DORADO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420-1 LOTUS DR N</v>
      </c>
      <c r="G431" t="str">
        <f>IF('Assignment Tool'!C431="","",IF('Assignment Tool'!C431="FST",'Assignment Tool'!D431,""))</f>
        <v>F 510-1 DORADO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420-1 LOTUS DR N</v>
      </c>
      <c r="G432" t="str">
        <f>IF('Assignment Tool'!C432="","",IF('Assignment Tool'!C432="FST",'Assignment Tool'!D432,""))</f>
        <v>F 530-1 DORADO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F 404-1 VENUS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260-2 AZALEA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280-2 AZALEA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300-2 AZALEA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310-1 AZALEA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340-2 AZALEA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364-1 AZALEA DR</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380-2 AZALEA DR</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F 390-2 AZALEA DR</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F 398-1 AZALEA DR</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275-2 MOSS LN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295-2 MOSS LN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315-1 MOSS LN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335-1 MOSS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355-1 MOSS LN</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F 365-2 MOSS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385-2 JASMINE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365-2 JASMINE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345-2 JASMINE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325-1 JASMINE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315-1 JASMINE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370-1 BEAU RIVAGE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380-2 BEAU RIVAGE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400-2 BEAU RIVAGE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375-2 BEAU RIVAGE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210-2 LOTUS DR S</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230-2 LOTUS DR S</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250-2 LOTUS DR S</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270-2 LOTUS DR S</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290-2 LOTUS DR S</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550-2 LOTUS DR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530-1 LOTUS DR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510-1 LOTUS DR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F 490-1 LOTUS DR 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F 470-1 LOTUS DR 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F 450-2 LOTUS DR 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F 430-1 LOTUS DR 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F 420-1 LOTUS DR 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3" activePane="bottomRight" state="frozen"/>
      <selection pane="topRight" activeCell="A9" sqref="A9"/>
      <selection pane="bottomLeft" activeCell="A9" sqref="A9"/>
      <selection pane="bottomRight" activeCell="A26" sqref="A26:XFD2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3</v>
      </c>
      <c r="C5" s="4">
        <v>74</v>
      </c>
      <c r="D5" s="4">
        <v>74</v>
      </c>
      <c r="E5" s="4">
        <v>177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3</v>
      </c>
      <c r="C6" s="4">
        <v>74</v>
      </c>
      <c r="D6" s="4">
        <v>74</v>
      </c>
      <c r="E6" s="4">
        <v>74</v>
      </c>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2</v>
      </c>
      <c r="C7" s="4">
        <v>74</v>
      </c>
      <c r="D7" s="4">
        <v>72</v>
      </c>
      <c r="E7" s="4"/>
      <c r="F7" s="4"/>
      <c r="G7" s="4"/>
      <c r="H7" s="4"/>
      <c r="I7" s="4"/>
      <c r="J7" s="4"/>
      <c r="K7" s="4"/>
      <c r="L7" s="4"/>
      <c r="M7" s="4"/>
      <c r="N7" s="4"/>
      <c r="O7" s="4"/>
      <c r="P7" s="4"/>
      <c r="Q7" s="4"/>
      <c r="R7" s="4"/>
      <c r="S7" s="4"/>
      <c r="T7" s="4"/>
      <c r="U7" s="4"/>
      <c r="V7" s="4"/>
      <c r="W7" s="4">
        <v>85</v>
      </c>
      <c r="X7" s="4"/>
      <c r="Y7" s="4"/>
      <c r="Z7" s="4"/>
      <c r="AA7" s="4"/>
      <c r="AB7" s="4"/>
      <c r="AC7" s="4"/>
      <c r="AD7" s="4"/>
      <c r="AE7" s="4"/>
      <c r="AF7" s="4"/>
      <c r="AG7" s="4"/>
      <c r="AH7" s="4"/>
      <c r="AI7" s="4"/>
      <c r="AJ7" s="4"/>
      <c r="AK7" s="4"/>
      <c r="AL7" s="4"/>
      <c r="AM7" s="4"/>
      <c r="AN7" s="4"/>
      <c r="AO7" s="4"/>
      <c r="AP7" s="4"/>
    </row>
    <row r="8" spans="1:42" x14ac:dyDescent="0.25">
      <c r="A8" s="6">
        <v>9</v>
      </c>
      <c r="B8" s="5">
        <v>1</v>
      </c>
      <c r="C8" s="4">
        <v>71</v>
      </c>
      <c r="D8" s="4"/>
      <c r="E8" s="4"/>
      <c r="F8" s="4"/>
      <c r="G8" s="4"/>
      <c r="H8" s="4"/>
      <c r="I8" s="4"/>
      <c r="J8" s="4"/>
      <c r="K8" s="4"/>
      <c r="L8" s="4"/>
      <c r="M8" s="4"/>
      <c r="N8" s="4"/>
      <c r="O8" s="4"/>
      <c r="P8" s="4"/>
      <c r="Q8" s="4"/>
      <c r="R8" s="4"/>
      <c r="S8" s="4"/>
      <c r="T8" s="4"/>
      <c r="U8" s="4"/>
      <c r="V8" s="4"/>
      <c r="W8" s="4">
        <v>21</v>
      </c>
      <c r="X8" s="4"/>
      <c r="Y8" s="4"/>
      <c r="Z8" s="4"/>
      <c r="AA8" s="4"/>
      <c r="AB8" s="4"/>
      <c r="AC8" s="4"/>
      <c r="AD8" s="4"/>
      <c r="AE8" s="4"/>
      <c r="AF8" s="4"/>
      <c r="AG8" s="4"/>
      <c r="AH8" s="4"/>
      <c r="AI8" s="4"/>
      <c r="AJ8" s="4"/>
      <c r="AK8" s="4"/>
      <c r="AL8" s="4"/>
      <c r="AM8" s="4"/>
      <c r="AN8" s="4"/>
      <c r="AO8" s="4"/>
      <c r="AP8" s="4"/>
    </row>
    <row r="9" spans="1:42" x14ac:dyDescent="0.25">
      <c r="A9" s="6">
        <v>10</v>
      </c>
      <c r="B9" s="5">
        <v>3</v>
      </c>
      <c r="C9" s="4">
        <v>72</v>
      </c>
      <c r="D9" s="4">
        <v>72</v>
      </c>
      <c r="E9" s="4">
        <v>70</v>
      </c>
      <c r="F9" s="4"/>
      <c r="G9" s="4"/>
      <c r="H9" s="4"/>
      <c r="I9" s="4"/>
      <c r="J9" s="4"/>
      <c r="K9" s="4"/>
      <c r="L9" s="4"/>
      <c r="M9" s="4"/>
      <c r="N9" s="4"/>
      <c r="O9" s="4"/>
      <c r="P9" s="4"/>
      <c r="Q9" s="4"/>
      <c r="R9" s="4"/>
      <c r="S9" s="4"/>
      <c r="T9" s="4"/>
      <c r="U9" s="4"/>
      <c r="V9" s="4"/>
      <c r="W9" s="4">
        <v>40</v>
      </c>
      <c r="X9" s="4">
        <v>40</v>
      </c>
      <c r="Y9" s="4">
        <v>97</v>
      </c>
      <c r="Z9" s="4"/>
      <c r="AA9" s="4"/>
      <c r="AB9" s="4"/>
      <c r="AC9" s="4"/>
      <c r="AD9" s="4"/>
      <c r="AE9" s="4"/>
      <c r="AF9" s="4"/>
      <c r="AG9" s="4"/>
      <c r="AH9" s="4"/>
      <c r="AI9" s="4"/>
      <c r="AJ9" s="4"/>
      <c r="AK9" s="4"/>
      <c r="AL9" s="4"/>
      <c r="AM9" s="4"/>
      <c r="AN9" s="4"/>
      <c r="AO9" s="4"/>
      <c r="AP9" s="4"/>
    </row>
    <row r="10" spans="1:42" x14ac:dyDescent="0.25">
      <c r="A10" s="6">
        <v>11</v>
      </c>
      <c r="B10" s="5">
        <v>4</v>
      </c>
      <c r="C10" s="4">
        <v>70</v>
      </c>
      <c r="D10" s="4">
        <v>70</v>
      </c>
      <c r="E10" s="4">
        <v>72</v>
      </c>
      <c r="F10" s="4">
        <v>72</v>
      </c>
      <c r="G10" s="4"/>
      <c r="H10" s="4"/>
      <c r="I10" s="4"/>
      <c r="J10" s="4"/>
      <c r="K10" s="4"/>
      <c r="L10" s="4"/>
      <c r="M10" s="4"/>
      <c r="N10" s="4"/>
      <c r="O10" s="4"/>
      <c r="P10" s="4"/>
      <c r="Q10" s="4"/>
      <c r="R10" s="4"/>
      <c r="S10" s="4"/>
      <c r="T10" s="4"/>
      <c r="U10" s="4"/>
      <c r="V10" s="4"/>
      <c r="W10" s="4">
        <v>72</v>
      </c>
      <c r="X10" s="4">
        <v>15</v>
      </c>
      <c r="Y10" s="4"/>
      <c r="Z10" s="4"/>
      <c r="AA10" s="4"/>
      <c r="AB10" s="4"/>
      <c r="AC10" s="4"/>
      <c r="AD10" s="4"/>
      <c r="AE10" s="4"/>
      <c r="AF10" s="4"/>
      <c r="AG10" s="4"/>
      <c r="AH10" s="4"/>
      <c r="AI10" s="4"/>
      <c r="AJ10" s="4"/>
      <c r="AK10" s="4"/>
      <c r="AL10" s="4"/>
      <c r="AM10" s="4"/>
      <c r="AN10" s="4"/>
      <c r="AO10" s="4"/>
      <c r="AP10" s="4"/>
    </row>
    <row r="11" spans="1:42" ht="15.75" customHeight="1" x14ac:dyDescent="0.25">
      <c r="A11" s="6"/>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72</v>
      </c>
      <c r="D12" s="4"/>
      <c r="E12" s="4"/>
      <c r="F12" s="4"/>
      <c r="G12" s="4"/>
      <c r="H12" s="4"/>
      <c r="I12" s="4"/>
      <c r="J12" s="4"/>
      <c r="K12" s="4"/>
      <c r="L12" s="4"/>
      <c r="M12" s="4"/>
      <c r="N12" s="4"/>
      <c r="O12" s="4"/>
      <c r="P12" s="4"/>
      <c r="Q12" s="4"/>
      <c r="R12" s="4"/>
      <c r="S12" s="4"/>
      <c r="T12" s="4"/>
      <c r="U12" s="4"/>
      <c r="V12" s="4"/>
      <c r="W12" s="4">
        <v>32</v>
      </c>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74</v>
      </c>
      <c r="D13" s="4">
        <v>74</v>
      </c>
      <c r="E13" s="4">
        <v>72</v>
      </c>
      <c r="F13" s="4">
        <v>72</v>
      </c>
      <c r="G13" s="4"/>
      <c r="H13" s="4"/>
      <c r="I13" s="4"/>
      <c r="J13" s="4"/>
      <c r="K13" s="4"/>
      <c r="L13" s="4"/>
      <c r="M13" s="4"/>
      <c r="N13" s="4"/>
      <c r="O13" s="4"/>
      <c r="P13" s="4"/>
      <c r="Q13" s="4"/>
      <c r="R13" s="4"/>
      <c r="S13" s="4"/>
      <c r="T13" s="4"/>
      <c r="U13" s="4"/>
      <c r="V13" s="4"/>
      <c r="W13" s="4">
        <v>13</v>
      </c>
      <c r="X13" s="4">
        <v>13</v>
      </c>
      <c r="Y13" s="4"/>
      <c r="Z13" s="4"/>
      <c r="AA13" s="4"/>
      <c r="AB13" s="4"/>
      <c r="AC13" s="4"/>
      <c r="AD13" s="4"/>
      <c r="AE13" s="4"/>
      <c r="AF13" s="4"/>
      <c r="AG13" s="4"/>
      <c r="AH13" s="4"/>
      <c r="AI13" s="4"/>
      <c r="AJ13" s="4"/>
      <c r="AK13" s="4"/>
      <c r="AL13" s="4"/>
      <c r="AM13" s="4"/>
      <c r="AN13" s="4"/>
      <c r="AO13" s="4"/>
      <c r="AP13" s="4"/>
    </row>
    <row r="14" spans="1:42" x14ac:dyDescent="0.25">
      <c r="A14" s="6">
        <v>15</v>
      </c>
      <c r="B14" s="5">
        <v>4</v>
      </c>
      <c r="C14" s="4">
        <v>88</v>
      </c>
      <c r="D14" s="4">
        <v>88</v>
      </c>
      <c r="E14" s="4">
        <v>107</v>
      </c>
      <c r="F14" s="4">
        <v>105</v>
      </c>
      <c r="G14" s="4"/>
      <c r="H14" s="4"/>
      <c r="I14" s="4"/>
      <c r="J14" s="4"/>
      <c r="K14" s="4"/>
      <c r="L14" s="4"/>
      <c r="M14" s="4"/>
      <c r="N14" s="4"/>
      <c r="O14" s="4"/>
      <c r="P14" s="4"/>
      <c r="Q14" s="4"/>
      <c r="R14" s="4"/>
      <c r="S14" s="4"/>
      <c r="T14" s="4"/>
      <c r="U14" s="4"/>
      <c r="V14" s="4"/>
      <c r="W14" s="4">
        <v>22</v>
      </c>
      <c r="X14" s="4">
        <v>32</v>
      </c>
      <c r="Y14" s="4">
        <v>66</v>
      </c>
      <c r="Z14" s="4"/>
      <c r="AA14" s="4"/>
      <c r="AB14" s="4"/>
      <c r="AC14" s="4"/>
      <c r="AD14" s="4"/>
      <c r="AE14" s="4"/>
      <c r="AF14" s="4"/>
      <c r="AG14" s="4"/>
      <c r="AH14" s="4"/>
      <c r="AI14" s="4"/>
      <c r="AJ14" s="4"/>
      <c r="AK14" s="4"/>
      <c r="AL14" s="4"/>
      <c r="AM14" s="4"/>
      <c r="AN14" s="4"/>
      <c r="AO14" s="4"/>
      <c r="AP14" s="4"/>
    </row>
    <row r="15" spans="1:42" x14ac:dyDescent="0.25">
      <c r="A15" s="6">
        <v>16</v>
      </c>
      <c r="B15" s="5">
        <v>3</v>
      </c>
      <c r="C15" s="4">
        <v>104</v>
      </c>
      <c r="D15" s="4">
        <v>104</v>
      </c>
      <c r="E15" s="4">
        <v>104</v>
      </c>
      <c r="F15" s="4"/>
      <c r="G15" s="4"/>
      <c r="H15" s="4"/>
      <c r="I15" s="4"/>
      <c r="J15" s="4"/>
      <c r="K15" s="4"/>
      <c r="L15" s="4"/>
      <c r="M15" s="4"/>
      <c r="N15" s="4"/>
      <c r="O15" s="4"/>
      <c r="P15" s="4"/>
      <c r="Q15" s="4"/>
      <c r="R15" s="4"/>
      <c r="S15" s="4"/>
      <c r="T15" s="4"/>
      <c r="U15" s="4"/>
      <c r="V15" s="4"/>
      <c r="W15" s="4">
        <v>184</v>
      </c>
      <c r="X15" s="4">
        <v>52</v>
      </c>
      <c r="Y15" s="4">
        <v>45</v>
      </c>
      <c r="Z15" s="4"/>
      <c r="AA15" s="4"/>
      <c r="AB15" s="4"/>
      <c r="AC15" s="4"/>
      <c r="AD15" s="4"/>
      <c r="AE15" s="4"/>
      <c r="AF15" s="4"/>
      <c r="AG15" s="4"/>
      <c r="AH15" s="4"/>
      <c r="AI15" s="4"/>
      <c r="AJ15" s="4"/>
      <c r="AK15" s="4"/>
      <c r="AL15" s="4"/>
      <c r="AM15" s="4"/>
      <c r="AN15" s="4"/>
      <c r="AO15" s="4"/>
      <c r="AP15" s="4"/>
    </row>
    <row r="16" spans="1:42" x14ac:dyDescent="0.25">
      <c r="A16" s="6">
        <v>17</v>
      </c>
      <c r="B16" s="5">
        <v>4</v>
      </c>
      <c r="C16" s="4">
        <v>58</v>
      </c>
      <c r="D16" s="4">
        <v>58</v>
      </c>
      <c r="E16" s="4">
        <v>58</v>
      </c>
      <c r="F16" s="4">
        <v>60</v>
      </c>
      <c r="G16" s="4"/>
      <c r="H16" s="4"/>
      <c r="I16" s="4"/>
      <c r="J16" s="4"/>
      <c r="K16" s="4"/>
      <c r="L16" s="4"/>
      <c r="M16" s="4"/>
      <c r="N16" s="4"/>
      <c r="O16" s="4"/>
      <c r="P16" s="4"/>
      <c r="Q16" s="4"/>
      <c r="R16" s="4"/>
      <c r="S16" s="4"/>
      <c r="T16" s="4"/>
      <c r="U16" s="4"/>
      <c r="V16" s="4"/>
      <c r="W16" s="4">
        <v>132</v>
      </c>
      <c r="X16" s="4">
        <v>82</v>
      </c>
      <c r="Y16" s="4">
        <v>101</v>
      </c>
      <c r="Z16" s="4"/>
      <c r="AA16" s="4"/>
      <c r="AB16" s="4"/>
      <c r="AC16" s="4"/>
      <c r="AD16" s="4"/>
      <c r="AE16" s="4"/>
      <c r="AF16" s="4"/>
      <c r="AG16" s="4"/>
      <c r="AH16" s="4"/>
      <c r="AI16" s="4"/>
      <c r="AJ16" s="4"/>
      <c r="AK16" s="4"/>
      <c r="AL16" s="4"/>
      <c r="AM16" s="4"/>
      <c r="AN16" s="4"/>
      <c r="AO16" s="4"/>
      <c r="AP16" s="4"/>
    </row>
    <row r="17" spans="1:42" x14ac:dyDescent="0.25">
      <c r="A17" s="6">
        <v>18</v>
      </c>
      <c r="B17" s="5">
        <v>1</v>
      </c>
      <c r="C17" s="4">
        <v>104</v>
      </c>
      <c r="D17" s="4"/>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3</v>
      </c>
      <c r="C24" s="4">
        <v>72</v>
      </c>
      <c r="D24" s="4">
        <v>74</v>
      </c>
      <c r="E24" s="4">
        <v>74</v>
      </c>
      <c r="F24" s="4"/>
      <c r="G24" s="4"/>
      <c r="H24" s="4"/>
      <c r="I24" s="4"/>
      <c r="J24" s="4"/>
      <c r="K24" s="4"/>
      <c r="L24" s="4"/>
      <c r="M24" s="4"/>
      <c r="N24" s="4"/>
      <c r="O24" s="4"/>
      <c r="P24" s="4"/>
      <c r="Q24" s="4"/>
      <c r="R24" s="4"/>
      <c r="S24" s="4"/>
      <c r="T24" s="4"/>
      <c r="U24" s="4"/>
      <c r="V24" s="4"/>
      <c r="W24" s="4">
        <v>75</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72</v>
      </c>
      <c r="D25" s="4">
        <v>72</v>
      </c>
      <c r="E25" s="4"/>
      <c r="F25" s="4"/>
      <c r="G25" s="4"/>
      <c r="H25" s="4"/>
      <c r="I25" s="4"/>
      <c r="J25" s="4"/>
      <c r="K25" s="4"/>
      <c r="L25" s="4"/>
      <c r="M25" s="4"/>
      <c r="N25" s="4"/>
      <c r="O25" s="4"/>
      <c r="P25" s="4"/>
      <c r="Q25" s="4"/>
      <c r="R25" s="4"/>
      <c r="S25" s="4"/>
      <c r="T25" s="4"/>
      <c r="U25" s="4"/>
      <c r="V25" s="4"/>
      <c r="W25" s="4">
        <v>55</v>
      </c>
      <c r="X25" s="4">
        <v>89</v>
      </c>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66</v>
      </c>
      <c r="D26" s="4">
        <v>66</v>
      </c>
      <c r="E26" s="4"/>
      <c r="F26" s="4"/>
      <c r="G26" s="4"/>
      <c r="H26" s="4"/>
      <c r="I26" s="4"/>
      <c r="J26" s="4"/>
      <c r="K26" s="4"/>
      <c r="L26" s="4"/>
      <c r="M26" s="4"/>
      <c r="N26" s="4"/>
      <c r="O26" s="4"/>
      <c r="P26" s="4"/>
      <c r="Q26" s="4"/>
      <c r="R26" s="4"/>
      <c r="S26" s="4"/>
      <c r="T26" s="4"/>
      <c r="U26" s="4"/>
      <c r="V26" s="4"/>
      <c r="W26" s="4">
        <v>19</v>
      </c>
      <c r="X26" s="4">
        <v>16</v>
      </c>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68</v>
      </c>
      <c r="D27" s="4">
        <v>66</v>
      </c>
      <c r="E27" s="4"/>
      <c r="F27" s="4"/>
      <c r="G27" s="4"/>
      <c r="H27" s="4"/>
      <c r="I27" s="4"/>
      <c r="J27" s="4"/>
      <c r="K27" s="4"/>
      <c r="L27" s="4"/>
      <c r="M27" s="4"/>
      <c r="N27" s="4"/>
      <c r="O27" s="4"/>
      <c r="P27" s="4"/>
      <c r="Q27" s="4"/>
      <c r="R27" s="4"/>
      <c r="S27" s="4"/>
      <c r="T27" s="4"/>
      <c r="U27" s="4"/>
      <c r="V27" s="4"/>
      <c r="W27" s="4">
        <v>32</v>
      </c>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70</v>
      </c>
      <c r="D30" s="4">
        <v>70</v>
      </c>
      <c r="E30" s="4">
        <v>70</v>
      </c>
      <c r="F30" s="4"/>
      <c r="G30" s="4"/>
      <c r="H30" s="4"/>
      <c r="I30" s="4"/>
      <c r="J30" s="4"/>
      <c r="K30" s="4"/>
      <c r="L30" s="4"/>
      <c r="M30" s="4"/>
      <c r="N30" s="4"/>
      <c r="O30" s="4"/>
      <c r="P30" s="4"/>
      <c r="Q30" s="4"/>
      <c r="R30" s="4"/>
      <c r="S30" s="4"/>
      <c r="T30" s="4"/>
      <c r="U30" s="4"/>
      <c r="V30" s="4"/>
      <c r="W30" s="4">
        <v>119</v>
      </c>
      <c r="X30" s="4">
        <v>77</v>
      </c>
      <c r="Y30" s="4">
        <v>62</v>
      </c>
      <c r="Z30" s="4"/>
      <c r="AA30" s="4"/>
      <c r="AB30" s="4"/>
      <c r="AC30" s="4"/>
      <c r="AD30" s="4"/>
      <c r="AE30" s="4"/>
      <c r="AF30" s="4"/>
      <c r="AG30" s="4"/>
      <c r="AH30" s="4"/>
      <c r="AI30" s="4"/>
      <c r="AJ30" s="4"/>
      <c r="AK30" s="4"/>
      <c r="AL30" s="4"/>
      <c r="AM30" s="4"/>
      <c r="AN30" s="4"/>
      <c r="AO30" s="4"/>
      <c r="AP30" s="4"/>
    </row>
    <row r="31" spans="1:42" x14ac:dyDescent="0.25">
      <c r="A31" s="6">
        <v>32</v>
      </c>
      <c r="B31" s="5">
        <v>3</v>
      </c>
      <c r="C31" s="4">
        <v>70</v>
      </c>
      <c r="D31" s="4">
        <v>120</v>
      </c>
      <c r="E31" s="4"/>
      <c r="F31" s="4"/>
      <c r="G31" s="4"/>
      <c r="H31" s="4"/>
      <c r="I31" s="4"/>
      <c r="J31" s="4"/>
      <c r="K31" s="4"/>
      <c r="L31" s="4"/>
      <c r="M31" s="4"/>
      <c r="N31" s="4"/>
      <c r="O31" s="4"/>
      <c r="P31" s="4"/>
      <c r="Q31" s="4"/>
      <c r="R31" s="4"/>
      <c r="S31" s="4"/>
      <c r="T31" s="4"/>
      <c r="U31" s="4"/>
      <c r="V31" s="4"/>
      <c r="W31" s="4">
        <v>60</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5472</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5284</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1778</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48</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80</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14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O1" zoomScaleNormal="100" workbookViewId="0">
      <pane ySplit="8" topLeftCell="A9" activePane="bottomLeft" state="frozen"/>
      <selection pane="bottomLeft" activeCell="BT16" sqref="BT16"/>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2196</v>
      </c>
      <c r="F2" s="276" t="s">
        <v>173</v>
      </c>
      <c r="G2" s="276"/>
      <c r="H2" s="276"/>
      <c r="I2" s="14">
        <f>IF(I3="","",IF(AND(I5="Y",I6="N"),I3,IF(I3&lt;1000,I3+10,I3+20)))</f>
        <v>1014</v>
      </c>
      <c r="K2" s="276" t="s">
        <v>173</v>
      </c>
      <c r="L2" s="276"/>
      <c r="M2" s="276"/>
      <c r="N2" s="14">
        <f>IF(N3="","",IF(AND(N5="Y",N6="N"),N3,IF(N3&lt;1000,N3+10,N3+20)))</f>
        <v>1520</v>
      </c>
      <c r="P2" s="276" t="s">
        <v>173</v>
      </c>
      <c r="Q2" s="276"/>
      <c r="R2" s="276"/>
      <c r="S2" s="14">
        <f>IF(S3="","",IF(AND(S5="Y",S6="N"),S3,IF(S3&lt;1000,S3+10,S3+20)))</f>
        <v>991</v>
      </c>
      <c r="U2" s="276" t="s">
        <v>173</v>
      </c>
      <c r="V2" s="276"/>
      <c r="W2" s="276"/>
      <c r="X2" s="14">
        <f>IF(X3="","",IF(AND(X5="Y",X6="N"),X3,IF(X3&lt;1000,X3+10,X3+20)))</f>
        <v>447</v>
      </c>
      <c r="Z2" s="276" t="s">
        <v>173</v>
      </c>
      <c r="AA2" s="276"/>
      <c r="AB2" s="276"/>
      <c r="AC2" s="14">
        <f>IF(AC3="","",IF(AND(AC5="Y",AC6="N"),AC3,IF(AC3&lt;1000,AC3+10,AC3+20)))</f>
        <v>415</v>
      </c>
      <c r="AE2" s="276" t="s">
        <v>173</v>
      </c>
      <c r="AF2" s="276"/>
      <c r="AG2" s="276"/>
      <c r="AH2" s="14">
        <f>IF(AH3="","",IF(AND(AH5="Y",AH6="N"),AH3,IF(AH3&lt;1000,AH3+10,AH3+20)))</f>
        <v>437</v>
      </c>
      <c r="AJ2" s="276" t="s">
        <v>173</v>
      </c>
      <c r="AK2" s="276"/>
      <c r="AL2" s="276"/>
      <c r="AM2" s="14">
        <f>IF(AM3="","",IF(AND(AM5="Y",AM6="N"),AM3,IF(AM3&lt;1000,AM3+10,AM3+20)))</f>
        <v>1512</v>
      </c>
      <c r="AO2" s="276" t="s">
        <v>173</v>
      </c>
      <c r="AP2" s="276"/>
      <c r="AQ2" s="276"/>
      <c r="AR2" s="14">
        <f>IF(AR3="","",IF(AND(AR5="Y",AR6="N"),AR3,IF(AR3&lt;1000,AR3+10,AR3+20)))</f>
        <v>1082</v>
      </c>
      <c r="AT2" s="276" t="s">
        <v>173</v>
      </c>
      <c r="AU2" s="276"/>
      <c r="AV2" s="276"/>
      <c r="AW2" s="14">
        <f>IF(AW3="","",IF(AND(AW5="Y",AW6="N"),AW3,IF(AW3&lt;1000,AW3+10,AW3+20)))</f>
        <v>2263</v>
      </c>
      <c r="AY2" s="276" t="s">
        <v>173</v>
      </c>
      <c r="AZ2" s="276"/>
      <c r="BA2" s="276"/>
      <c r="BB2" s="14">
        <f>IF(BB3="","",IF(AND(BB5="Y",BB6="N"),BB3,IF(BB3&lt;1000,BB3+10,BB3+20)))</f>
        <v>1656</v>
      </c>
      <c r="BD2" s="276" t="s">
        <v>173</v>
      </c>
      <c r="BE2" s="276"/>
      <c r="BF2" s="276"/>
      <c r="BG2" s="14">
        <f>IF(BG3="","",IF(AND(BG5="Y",BG6="N"),BG3,IF(BG3&lt;1000,BG3+10,BG3+20)))</f>
        <v>1871</v>
      </c>
      <c r="BI2" s="276" t="s">
        <v>173</v>
      </c>
      <c r="BJ2" s="276"/>
      <c r="BK2" s="276"/>
      <c r="BL2" s="14">
        <f>IF(BL3="","",IF(AND(BL5="Y",BL6="N"),BL3,IF(BL3&lt;1000,BL3+10,BL3+20)))</f>
        <v>1749</v>
      </c>
      <c r="BN2" s="276" t="s">
        <v>173</v>
      </c>
      <c r="BO2" s="276"/>
      <c r="BP2" s="276"/>
      <c r="BQ2" s="14">
        <f>IF(BQ3="","",IF(AND(BQ5="Y",BQ6="N"),BQ3,IF(BQ3&lt;1000,BQ3+10,BQ3+20)))</f>
        <v>1049</v>
      </c>
      <c r="BS2" s="276" t="s">
        <v>173</v>
      </c>
      <c r="BT2" s="276"/>
      <c r="BU2" s="276"/>
      <c r="BV2" s="14">
        <f>IF(BV3="","",IF(AND(BV5="Y",BV6="N"),BV3,IF(BV3&lt;1000,BV3+10,BV3+20)))</f>
        <v>1730</v>
      </c>
      <c r="BX2" s="276" t="s">
        <v>173</v>
      </c>
      <c r="BY2" s="276"/>
      <c r="BZ2" s="276"/>
      <c r="CA2" s="14">
        <f>IF(CA3="","",IF(AND(CA5="Y",CA6="N"),CA3,IF(CA3&lt;1000,CA3+10,CA3+20)))</f>
        <v>1446</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2176</v>
      </c>
      <c r="E3" s="16">
        <f>IF(E9="","",SUM(E9:E208,B9:B208,D9:D208))</f>
        <v>2176</v>
      </c>
      <c r="F3" s="276" t="s">
        <v>174</v>
      </c>
      <c r="G3" s="276"/>
      <c r="H3" s="276"/>
      <c r="I3" s="15">
        <f>IF(J3="","",SUM(J3,J5,J6))</f>
        <v>1014</v>
      </c>
      <c r="J3" s="16">
        <f>IF(J9="","",SUM(J9:J208,G9:G208,I9:I208))</f>
        <v>964</v>
      </c>
      <c r="K3" s="276" t="s">
        <v>174</v>
      </c>
      <c r="L3" s="276"/>
      <c r="M3" s="276"/>
      <c r="N3" s="15">
        <f>IF(O3="","",SUM(O3,O5,O6))</f>
        <v>1500</v>
      </c>
      <c r="O3" s="16">
        <f>IF(O9="","",SUM(O9:O208,L9:L208,N9:N208))</f>
        <v>1475</v>
      </c>
      <c r="P3" s="276" t="s">
        <v>174</v>
      </c>
      <c r="Q3" s="276"/>
      <c r="R3" s="276"/>
      <c r="S3" s="15">
        <f>IF(T3="","",SUM(T3,T5,T6))</f>
        <v>981</v>
      </c>
      <c r="T3" s="16">
        <f>IF(T9="","",SUM(T9:T208,Q9:Q208,S9:S208))</f>
        <v>956</v>
      </c>
      <c r="U3" s="276" t="s">
        <v>174</v>
      </c>
      <c r="V3" s="276"/>
      <c r="W3" s="276"/>
      <c r="X3" s="15">
        <f>IF(Y3="","",SUM(Y3,Y5,Y6))</f>
        <v>447</v>
      </c>
      <c r="Y3" s="16">
        <f>IF(Y9="","",SUM(Y9:Y208,V9:V208,X9:X208))</f>
        <v>397</v>
      </c>
      <c r="Z3" s="276" t="s">
        <v>174</v>
      </c>
      <c r="AA3" s="276"/>
      <c r="AB3" s="276"/>
      <c r="AC3" s="15">
        <f>IF(AD3="","",SUM(AD3,AD5,AD6))</f>
        <v>405</v>
      </c>
      <c r="AD3" s="16">
        <f>IF(AD9="","",SUM(AD9:AD208,AA9:AA208,AC9:AC208))</f>
        <v>405</v>
      </c>
      <c r="AE3" s="276" t="s">
        <v>174</v>
      </c>
      <c r="AF3" s="276"/>
      <c r="AG3" s="276"/>
      <c r="AH3" s="15">
        <f>IF(AI3="","",SUM(AI3,AI5,AI6))</f>
        <v>427</v>
      </c>
      <c r="AI3" s="16">
        <f>IF(AI9="","",SUM(AI9:AI208,AF9:AF208,AH9:AH208))</f>
        <v>427</v>
      </c>
      <c r="AJ3" s="276" t="s">
        <v>174</v>
      </c>
      <c r="AK3" s="276"/>
      <c r="AL3" s="276"/>
      <c r="AM3" s="15">
        <f>IF(AN3="","",SUM(AN3,AN5,AN6))</f>
        <v>1492</v>
      </c>
      <c r="AN3" s="16">
        <f>IF(AN9="","",SUM(AN9:AN208,AK9:AK208,AM9:AM208))</f>
        <v>1492</v>
      </c>
      <c r="AO3" s="276" t="s">
        <v>174</v>
      </c>
      <c r="AP3" s="276"/>
      <c r="AQ3" s="276"/>
      <c r="AR3" s="15">
        <f>IF(AS3="","",SUM(AS3,AS5,AS6))</f>
        <v>1062</v>
      </c>
      <c r="AS3" s="16">
        <f>IF(AS9="","",SUM(AS9:AS208,AP9:AP208,AR9:AR208))</f>
        <v>1037</v>
      </c>
      <c r="AT3" s="276" t="s">
        <v>174</v>
      </c>
      <c r="AU3" s="276"/>
      <c r="AV3" s="276"/>
      <c r="AW3" s="15">
        <f>IF(AX3="","",SUM(AX3,AX5,AX6))</f>
        <v>2243</v>
      </c>
      <c r="AX3" s="16">
        <f>IF(AX9="","",SUM(AX9:AX208,AU9:AU208,AW9:AW208))</f>
        <v>2218</v>
      </c>
      <c r="AY3" s="276" t="s">
        <v>174</v>
      </c>
      <c r="AZ3" s="276"/>
      <c r="BA3" s="276"/>
      <c r="BB3" s="15">
        <f>IF(BC3="","",SUM(BC3,BC5,BC6))</f>
        <v>1656</v>
      </c>
      <c r="BC3" s="16">
        <f>IF(BC9="","",SUM(BC9:BC208,AZ9:AZ208,BB9:BB208))</f>
        <v>1626</v>
      </c>
      <c r="BD3" s="276" t="s">
        <v>174</v>
      </c>
      <c r="BE3" s="276"/>
      <c r="BF3" s="276"/>
      <c r="BG3" s="15">
        <f>IF(BH3="","",SUM(BH3,BH5,BH6))</f>
        <v>1851</v>
      </c>
      <c r="BH3" s="16">
        <f>IF(BH9="","",SUM(BH9:BH208,BE9:BE208,BG9:BG208))</f>
        <v>1826</v>
      </c>
      <c r="BI3" s="276" t="s">
        <v>174</v>
      </c>
      <c r="BJ3" s="276"/>
      <c r="BK3" s="276"/>
      <c r="BL3" s="15">
        <f>IF(BM3="","",SUM(BM3,BM5,BM6))</f>
        <v>1729</v>
      </c>
      <c r="BM3" s="16">
        <f>IF(BM9="","",SUM(BM9:BM208,BJ9:BJ208,BL9:BL208))</f>
        <v>1729</v>
      </c>
      <c r="BN3" s="276" t="s">
        <v>174</v>
      </c>
      <c r="BO3" s="276"/>
      <c r="BP3" s="276"/>
      <c r="BQ3" s="15">
        <f>IF(BR3="","",SUM(BR3,BR5,BR6))</f>
        <v>1049</v>
      </c>
      <c r="BR3" s="16">
        <f>IF(BR9="","",SUM(BR9:BR208,BO9:BO208,BQ9:BQ208))</f>
        <v>999</v>
      </c>
      <c r="BS3" s="276" t="s">
        <v>174</v>
      </c>
      <c r="BT3" s="276"/>
      <c r="BU3" s="276"/>
      <c r="BV3" s="15">
        <f>IF(BW3="","",SUM(BW3,BW5,BW6))</f>
        <v>1730</v>
      </c>
      <c r="BW3" s="16">
        <f>IF(BW9="","",SUM(BW9:BW208,BT9:BT208,BV9:BV208))</f>
        <v>1680</v>
      </c>
      <c r="BX3" s="276" t="s">
        <v>174</v>
      </c>
      <c r="BY3" s="276"/>
      <c r="BZ3" s="276"/>
      <c r="CA3" s="15">
        <f>IF(CB3="","",SUM(CB3,CB5,CB6))</f>
        <v>1426</v>
      </c>
      <c r="CB3" s="16">
        <f>IF(CB9="","",SUM(CB9:CB208,BY9:BY208,CA9:CA208))</f>
        <v>1401</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179</v>
      </c>
      <c r="J5" s="16">
        <f>IF(I4="N","0",IF(I5="Y",J7/2,"0"))</f>
        <v>25</v>
      </c>
      <c r="K5" s="272" t="s">
        <v>176</v>
      </c>
      <c r="L5" s="273"/>
      <c r="M5" s="274"/>
      <c r="N5" s="117" t="s">
        <v>178</v>
      </c>
      <c r="O5" s="16" t="str">
        <f>IF(N4="N","0",IF(N5="Y",O7/2,"0"))</f>
        <v>0</v>
      </c>
      <c r="P5" s="272" t="s">
        <v>176</v>
      </c>
      <c r="Q5" s="273"/>
      <c r="R5" s="274"/>
      <c r="S5" s="117" t="s">
        <v>178</v>
      </c>
      <c r="T5" s="16" t="str">
        <f>IF(S4="N","0",IF(S5="Y",T7/2,"0"))</f>
        <v>0</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178</v>
      </c>
      <c r="AS5" s="16" t="str">
        <f>IF(AR4="N","0",IF(AR5="Y",AS7/2,"0"))</f>
        <v>0</v>
      </c>
      <c r="AT5" s="272" t="s">
        <v>176</v>
      </c>
      <c r="AU5" s="273"/>
      <c r="AV5" s="274"/>
      <c r="AW5" s="117" t="s">
        <v>178</v>
      </c>
      <c r="AX5" s="16" t="str">
        <f>IF(AW4="N","0",IF(AW5="Y",AX7/2,"0"))</f>
        <v>0</v>
      </c>
      <c r="AY5" s="272" t="s">
        <v>176</v>
      </c>
      <c r="AZ5" s="273"/>
      <c r="BA5" s="274"/>
      <c r="BB5" s="117" t="s">
        <v>179</v>
      </c>
      <c r="BC5" s="16">
        <f>IF(BB4="N","0",IF(BB5="Y",BC7/2,"0"))</f>
        <v>15</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179</v>
      </c>
      <c r="BR5" s="16">
        <f>IF(BQ4="N","0",IF(BQ5="Y",BR7/2,"0"))</f>
        <v>25</v>
      </c>
      <c r="BS5" s="272" t="s">
        <v>176</v>
      </c>
      <c r="BT5" s="273"/>
      <c r="BU5" s="274"/>
      <c r="BV5" s="117" t="s">
        <v>179</v>
      </c>
      <c r="BW5" s="16">
        <f>IF(BV4="N","0",IF(BV5="Y",BW7/2,"0"))</f>
        <v>25</v>
      </c>
      <c r="BX5" s="272" t="s">
        <v>176</v>
      </c>
      <c r="BY5" s="273"/>
      <c r="BZ5" s="274"/>
      <c r="CA5" s="117" t="s">
        <v>178</v>
      </c>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178</v>
      </c>
      <c r="AX6" s="16">
        <f>IF(AW4="N","0",IF(AW6="N",AX7/2,"0"))</f>
        <v>25</v>
      </c>
      <c r="AY6" s="272" t="s">
        <v>177</v>
      </c>
      <c r="AZ6" s="273"/>
      <c r="BA6" s="274"/>
      <c r="BB6" s="117" t="s">
        <v>178</v>
      </c>
      <c r="BC6" s="16">
        <f>IF(BB4="N","0",IF(BB6="N",BC7/2,"0"))</f>
        <v>15</v>
      </c>
      <c r="BD6" s="272" t="s">
        <v>177</v>
      </c>
      <c r="BE6" s="273"/>
      <c r="BF6" s="274"/>
      <c r="BG6" s="117" t="s">
        <v>178</v>
      </c>
      <c r="BH6" s="16">
        <f>IF(BG4="N","0",IF(BG6="N",BH7/2,"0"))</f>
        <v>25</v>
      </c>
      <c r="BI6" s="272" t="s">
        <v>177</v>
      </c>
      <c r="BJ6" s="273"/>
      <c r="BK6" s="274"/>
      <c r="BL6" s="117" t="s">
        <v>179</v>
      </c>
      <c r="BM6" s="16" t="str">
        <f>IF(BL4="N","0",IF(BL6="N",BM7/2,"0"))</f>
        <v>0</v>
      </c>
      <c r="BN6" s="272" t="s">
        <v>177</v>
      </c>
      <c r="BO6" s="273"/>
      <c r="BP6" s="274"/>
      <c r="BQ6" s="117" t="s">
        <v>178</v>
      </c>
      <c r="BR6" s="16">
        <f>IF(BQ4="N","0",IF(BQ6="N",BR7/2,"0"))</f>
        <v>25</v>
      </c>
      <c r="BS6" s="272" t="s">
        <v>177</v>
      </c>
      <c r="BT6" s="273"/>
      <c r="BU6" s="274"/>
      <c r="BV6" s="117" t="s">
        <v>178</v>
      </c>
      <c r="BW6" s="16">
        <f>IF(BV4="N","0",IF(BV6="N",BW7/2,"0"))</f>
        <v>25</v>
      </c>
      <c r="BX6" s="272" t="s">
        <v>177</v>
      </c>
      <c r="BY6" s="273"/>
      <c r="BZ6" s="274"/>
      <c r="CA6" s="117" t="s">
        <v>178</v>
      </c>
      <c r="CB6" s="16">
        <f>IF(CA4="N","0",IF(CA6="N",CB7/2,"0"))</f>
        <v>25</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487</v>
      </c>
      <c r="BC7" s="16">
        <f>IF(OR(BB7="RPX",BB7="SS"),30,IF(OR(BB7="RPX-T",BB7="EUC"),50,0))</f>
        <v>30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408</v>
      </c>
      <c r="B11" s="90"/>
      <c r="C11" s="116"/>
      <c r="D11" s="116"/>
      <c r="E11" s="16">
        <f t="shared" ref="E11:E74" si="1">IF(A11="",C11,A11)</f>
        <v>408</v>
      </c>
      <c r="F11" s="90">
        <v>268</v>
      </c>
      <c r="G11" s="90"/>
      <c r="H11" s="90"/>
      <c r="I11" s="116"/>
      <c r="J11" s="16">
        <f t="shared" ref="J11:J74" si="2">IF(F11="",H11,F11)</f>
        <v>268</v>
      </c>
      <c r="K11" s="90">
        <v>291</v>
      </c>
      <c r="L11" s="90"/>
      <c r="M11" s="90"/>
      <c r="N11" s="116"/>
      <c r="O11" s="16">
        <f t="shared" ref="O11:O74" si="3">IF(K11="",M11,K11)</f>
        <v>291</v>
      </c>
      <c r="P11" s="90">
        <v>102</v>
      </c>
      <c r="Q11" s="90"/>
      <c r="R11" s="90"/>
      <c r="S11" s="116"/>
      <c r="T11" s="16">
        <f t="shared" ref="T11:T74" si="4">IF(P11="",R11,P11)</f>
        <v>102</v>
      </c>
      <c r="U11" s="90">
        <v>154</v>
      </c>
      <c r="V11" s="90"/>
      <c r="W11" s="90"/>
      <c r="X11" s="116"/>
      <c r="Y11" s="16">
        <f t="shared" ref="Y11:Y74" si="5">IF(U11="",W11,U11)</f>
        <v>154</v>
      </c>
      <c r="Z11" s="90">
        <v>305</v>
      </c>
      <c r="AA11" s="90"/>
      <c r="AB11" s="90"/>
      <c r="AC11" s="116"/>
      <c r="AD11" s="16">
        <f t="shared" ref="AD11:AD74" si="6">IF(Z11="",AB11,Z11)</f>
        <v>305</v>
      </c>
      <c r="AE11" s="90">
        <v>115</v>
      </c>
      <c r="AF11" s="90"/>
      <c r="AG11" s="90"/>
      <c r="AH11" s="116"/>
      <c r="AI11" s="16">
        <f t="shared" ref="AI11:AI74" si="7">IF(AE11="",AG11,AE11)</f>
        <v>115</v>
      </c>
      <c r="AJ11" s="90">
        <v>85</v>
      </c>
      <c r="AK11" s="90"/>
      <c r="AL11" s="90"/>
      <c r="AM11" s="116"/>
      <c r="AN11" s="16">
        <f t="shared" ref="AN11:AN74" si="8">IF(AJ11="",AL11,AJ11)</f>
        <v>85</v>
      </c>
      <c r="AO11" s="90">
        <v>307</v>
      </c>
      <c r="AP11" s="90"/>
      <c r="AQ11" s="90"/>
      <c r="AR11" s="116"/>
      <c r="AS11" s="16">
        <f t="shared" ref="AS11:AS74" si="9">IF(AO11="",AQ11,AO11)</f>
        <v>307</v>
      </c>
      <c r="AT11" s="90">
        <v>105</v>
      </c>
      <c r="AU11" s="90"/>
      <c r="AV11" s="90"/>
      <c r="AW11" s="116"/>
      <c r="AX11" s="16">
        <f t="shared" ref="AX11:AX74" si="10">IF(AT11="",AV11,AT11)</f>
        <v>105</v>
      </c>
      <c r="AY11" s="90"/>
      <c r="AZ11" s="90"/>
      <c r="BA11" s="90">
        <v>79</v>
      </c>
      <c r="BB11" s="116"/>
      <c r="BC11" s="16">
        <f t="shared" ref="BC11:BC74" si="11">IF(AY11="",BA11,AY11)</f>
        <v>79</v>
      </c>
      <c r="BD11" s="90">
        <v>270</v>
      </c>
      <c r="BE11" s="90"/>
      <c r="BF11" s="90"/>
      <c r="BG11" s="116"/>
      <c r="BH11" s="16">
        <f t="shared" ref="BH11:BH74" si="12">IF(BD11="",BF11,BD11)</f>
        <v>270</v>
      </c>
      <c r="BI11" s="90">
        <v>406</v>
      </c>
      <c r="BJ11" s="90"/>
      <c r="BK11" s="90"/>
      <c r="BL11" s="116"/>
      <c r="BM11" s="16">
        <f t="shared" ref="BM11:BM74" si="13">IF(BI11="",BK11,BI11)</f>
        <v>406</v>
      </c>
      <c r="BN11" s="90">
        <v>245</v>
      </c>
      <c r="BO11" s="90"/>
      <c r="BP11" s="90"/>
      <c r="BQ11" s="116"/>
      <c r="BR11" s="16">
        <f t="shared" ref="BR11:BR74" si="14">IF(BN11="",BP11,BN11)</f>
        <v>245</v>
      </c>
      <c r="BS11" s="90">
        <v>93</v>
      </c>
      <c r="BT11" s="90"/>
      <c r="BU11" s="90"/>
      <c r="BV11" s="116"/>
      <c r="BW11" s="16">
        <f t="shared" ref="BW11:BW74" si="15">IF(BS11="",BU11,BS11)</f>
        <v>93</v>
      </c>
      <c r="BX11" s="90">
        <v>2</v>
      </c>
      <c r="BY11" s="90"/>
      <c r="BZ11" s="90"/>
      <c r="CA11" s="116"/>
      <c r="CB11" s="16">
        <f t="shared" ref="CB11:CB74" si="16">IF(BX11="",BZ11,BX11)</f>
        <v>2</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210</v>
      </c>
      <c r="B12" s="90"/>
      <c r="C12" s="116"/>
      <c r="D12" s="116"/>
      <c r="E12" s="16">
        <f t="shared" si="1"/>
        <v>210</v>
      </c>
      <c r="F12" s="90">
        <v>205</v>
      </c>
      <c r="G12" s="90"/>
      <c r="H12" s="90"/>
      <c r="I12" s="116"/>
      <c r="J12" s="16">
        <f t="shared" si="2"/>
        <v>205</v>
      </c>
      <c r="K12" s="90">
        <v>202</v>
      </c>
      <c r="L12" s="90"/>
      <c r="M12" s="90"/>
      <c r="N12" s="116"/>
      <c r="O12" s="16">
        <f t="shared" si="3"/>
        <v>202</v>
      </c>
      <c r="P12" s="90"/>
      <c r="Q12" s="90">
        <v>20</v>
      </c>
      <c r="R12" s="90"/>
      <c r="S12" s="116"/>
      <c r="T12" s="16">
        <f t="shared" si="4"/>
        <v>0</v>
      </c>
      <c r="U12" s="90">
        <v>120</v>
      </c>
      <c r="V12" s="90"/>
      <c r="W12" s="90"/>
      <c r="X12" s="116"/>
      <c r="Y12" s="16">
        <f t="shared" si="5"/>
        <v>120</v>
      </c>
      <c r="Z12" s="90"/>
      <c r="AA12" s="90">
        <v>50</v>
      </c>
      <c r="AB12" s="90"/>
      <c r="AC12" s="116"/>
      <c r="AD12" s="16">
        <f t="shared" si="6"/>
        <v>0</v>
      </c>
      <c r="AE12" s="90">
        <v>210</v>
      </c>
      <c r="AF12" s="90"/>
      <c r="AG12" s="90"/>
      <c r="AH12" s="116"/>
      <c r="AI12" s="16">
        <f t="shared" si="7"/>
        <v>210</v>
      </c>
      <c r="AJ12" s="90">
        <v>205</v>
      </c>
      <c r="AK12" s="90"/>
      <c r="AL12" s="90"/>
      <c r="AM12" s="116"/>
      <c r="AN12" s="16">
        <f t="shared" si="8"/>
        <v>205</v>
      </c>
      <c r="AO12" s="90"/>
      <c r="AP12" s="90">
        <v>20</v>
      </c>
      <c r="AQ12" s="90"/>
      <c r="AR12" s="116"/>
      <c r="AS12" s="16">
        <f t="shared" si="9"/>
        <v>0</v>
      </c>
      <c r="AT12" s="90">
        <v>202</v>
      </c>
      <c r="AU12" s="90"/>
      <c r="AV12" s="90"/>
      <c r="AW12" s="116"/>
      <c r="AX12" s="16">
        <f t="shared" si="10"/>
        <v>202</v>
      </c>
      <c r="AY12" s="90"/>
      <c r="AZ12" s="90"/>
      <c r="BA12" s="90">
        <v>103</v>
      </c>
      <c r="BB12" s="116"/>
      <c r="BC12" s="16">
        <f t="shared" si="11"/>
        <v>103</v>
      </c>
      <c r="BD12" s="90"/>
      <c r="BE12" s="90">
        <v>20</v>
      </c>
      <c r="BF12" s="90"/>
      <c r="BG12" s="116"/>
      <c r="BH12" s="16">
        <f t="shared" si="12"/>
        <v>0</v>
      </c>
      <c r="BI12" s="90"/>
      <c r="BJ12" s="90">
        <v>20</v>
      </c>
      <c r="BK12" s="90"/>
      <c r="BL12" s="116"/>
      <c r="BM12" s="16">
        <f t="shared" si="13"/>
        <v>0</v>
      </c>
      <c r="BN12" s="90"/>
      <c r="BO12" s="90">
        <v>20</v>
      </c>
      <c r="BP12" s="90"/>
      <c r="BQ12" s="116"/>
      <c r="BR12" s="16">
        <f t="shared" si="14"/>
        <v>0</v>
      </c>
      <c r="BS12" s="90">
        <v>91</v>
      </c>
      <c r="BT12" s="90"/>
      <c r="BU12" s="90"/>
      <c r="BV12" s="116"/>
      <c r="BW12" s="16">
        <f t="shared" si="15"/>
        <v>91</v>
      </c>
      <c r="BX12" s="90">
        <v>216</v>
      </c>
      <c r="BY12" s="90"/>
      <c r="BZ12" s="90"/>
      <c r="CA12" s="116"/>
      <c r="CB12" s="16">
        <f t="shared" si="16"/>
        <v>216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204</v>
      </c>
      <c r="B13" s="90"/>
      <c r="C13" s="116"/>
      <c r="D13" s="116"/>
      <c r="E13" s="16">
        <f t="shared" si="1"/>
        <v>204</v>
      </c>
      <c r="F13" s="90">
        <v>210</v>
      </c>
      <c r="G13" s="90"/>
      <c r="H13" s="90"/>
      <c r="I13" s="116"/>
      <c r="J13" s="16">
        <f t="shared" si="2"/>
        <v>210</v>
      </c>
      <c r="K13" s="90">
        <v>201</v>
      </c>
      <c r="L13" s="90"/>
      <c r="M13" s="90"/>
      <c r="N13" s="116"/>
      <c r="O13" s="16">
        <f t="shared" si="3"/>
        <v>201</v>
      </c>
      <c r="P13" s="90">
        <v>185</v>
      </c>
      <c r="Q13" s="90"/>
      <c r="R13" s="90"/>
      <c r="S13" s="116"/>
      <c r="T13" s="16">
        <f t="shared" si="4"/>
        <v>185</v>
      </c>
      <c r="U13" s="90">
        <v>73</v>
      </c>
      <c r="V13" s="90"/>
      <c r="W13" s="90"/>
      <c r="X13" s="116"/>
      <c r="Y13" s="16">
        <f t="shared" si="5"/>
        <v>73</v>
      </c>
      <c r="Z13" s="90"/>
      <c r="AA13" s="90"/>
      <c r="AB13" s="90"/>
      <c r="AC13" s="116"/>
      <c r="AD13" s="16">
        <f t="shared" si="6"/>
        <v>0</v>
      </c>
      <c r="AE13" s="90">
        <v>2</v>
      </c>
      <c r="AF13" s="90"/>
      <c r="AG13" s="90"/>
      <c r="AH13" s="116"/>
      <c r="AI13" s="16">
        <f t="shared" si="7"/>
        <v>2</v>
      </c>
      <c r="AJ13" s="90">
        <v>203</v>
      </c>
      <c r="AK13" s="90"/>
      <c r="AL13" s="90"/>
      <c r="AM13" s="116"/>
      <c r="AN13" s="16">
        <f t="shared" si="8"/>
        <v>203</v>
      </c>
      <c r="AO13" s="90">
        <v>300</v>
      </c>
      <c r="AP13" s="90"/>
      <c r="AQ13" s="90"/>
      <c r="AR13" s="116"/>
      <c r="AS13" s="16">
        <f t="shared" si="9"/>
        <v>300</v>
      </c>
      <c r="AT13" s="90">
        <v>215</v>
      </c>
      <c r="AU13" s="90"/>
      <c r="AV13" s="90"/>
      <c r="AW13" s="116"/>
      <c r="AX13" s="16">
        <f t="shared" si="10"/>
        <v>215</v>
      </c>
      <c r="AY13" s="90"/>
      <c r="AZ13" s="90"/>
      <c r="BA13" s="90">
        <v>198</v>
      </c>
      <c r="BB13" s="116"/>
      <c r="BC13" s="16">
        <f t="shared" si="11"/>
        <v>198</v>
      </c>
      <c r="BD13" s="90">
        <v>205</v>
      </c>
      <c r="BE13" s="90"/>
      <c r="BF13" s="90"/>
      <c r="BG13" s="116"/>
      <c r="BH13" s="16">
        <f t="shared" si="12"/>
        <v>205</v>
      </c>
      <c r="BI13" s="90">
        <v>176</v>
      </c>
      <c r="BJ13" s="90"/>
      <c r="BK13" s="90"/>
      <c r="BL13" s="116"/>
      <c r="BM13" s="16">
        <f t="shared" si="13"/>
        <v>176</v>
      </c>
      <c r="BN13" s="90">
        <v>180</v>
      </c>
      <c r="BO13" s="90"/>
      <c r="BP13" s="90"/>
      <c r="BQ13" s="116"/>
      <c r="BR13" s="16">
        <f t="shared" si="14"/>
        <v>180</v>
      </c>
      <c r="BS13" s="90"/>
      <c r="BT13" s="90">
        <v>20</v>
      </c>
      <c r="BU13" s="90"/>
      <c r="BV13" s="116"/>
      <c r="BW13" s="16">
        <f t="shared" si="15"/>
        <v>0</v>
      </c>
      <c r="BX13" s="90">
        <v>206</v>
      </c>
      <c r="BY13" s="90"/>
      <c r="BZ13" s="90"/>
      <c r="CA13" s="116"/>
      <c r="CB13" s="16">
        <f t="shared" si="16"/>
        <v>206</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20</v>
      </c>
      <c r="C14" s="116"/>
      <c r="D14" s="116"/>
      <c r="E14" s="16">
        <f t="shared" si="1"/>
        <v>0</v>
      </c>
      <c r="F14" s="90">
        <v>103</v>
      </c>
      <c r="G14" s="90"/>
      <c r="H14" s="90"/>
      <c r="I14" s="116"/>
      <c r="J14" s="16">
        <f t="shared" si="2"/>
        <v>103</v>
      </c>
      <c r="K14" s="90"/>
      <c r="L14" s="90">
        <v>20</v>
      </c>
      <c r="M14" s="90"/>
      <c r="N14" s="116"/>
      <c r="O14" s="16">
        <f t="shared" si="3"/>
        <v>0</v>
      </c>
      <c r="P14" s="90">
        <v>90</v>
      </c>
      <c r="Q14" s="90"/>
      <c r="R14" s="90"/>
      <c r="S14" s="116"/>
      <c r="T14" s="16">
        <f t="shared" si="4"/>
        <v>90</v>
      </c>
      <c r="U14" s="90"/>
      <c r="V14" s="90"/>
      <c r="W14" s="90"/>
      <c r="X14" s="116"/>
      <c r="Y14" s="16">
        <f t="shared" si="5"/>
        <v>0</v>
      </c>
      <c r="Z14" s="90"/>
      <c r="AA14" s="90"/>
      <c r="AB14" s="90"/>
      <c r="AC14" s="116"/>
      <c r="AD14" s="16">
        <f t="shared" si="6"/>
        <v>0</v>
      </c>
      <c r="AE14" s="90"/>
      <c r="AF14" s="90">
        <v>50</v>
      </c>
      <c r="AG14" s="90"/>
      <c r="AH14" s="116"/>
      <c r="AI14" s="16">
        <f t="shared" si="7"/>
        <v>0</v>
      </c>
      <c r="AJ14" s="90">
        <v>215</v>
      </c>
      <c r="AK14" s="90"/>
      <c r="AL14" s="90"/>
      <c r="AM14" s="116"/>
      <c r="AN14" s="16">
        <f t="shared" si="8"/>
        <v>215</v>
      </c>
      <c r="AO14" s="90">
        <v>236</v>
      </c>
      <c r="AP14" s="90"/>
      <c r="AQ14" s="90"/>
      <c r="AR14" s="116"/>
      <c r="AS14" s="16">
        <f t="shared" si="9"/>
        <v>236</v>
      </c>
      <c r="AT14" s="90"/>
      <c r="AU14" s="90">
        <v>20</v>
      </c>
      <c r="AV14" s="90"/>
      <c r="AW14" s="116"/>
      <c r="AX14" s="16">
        <f t="shared" si="10"/>
        <v>0</v>
      </c>
      <c r="AY14" s="90"/>
      <c r="AZ14" s="90"/>
      <c r="BA14" s="90"/>
      <c r="BB14" s="116">
        <v>50</v>
      </c>
      <c r="BC14" s="16">
        <f t="shared" si="11"/>
        <v>0</v>
      </c>
      <c r="BD14" s="90">
        <v>168</v>
      </c>
      <c r="BE14" s="90"/>
      <c r="BF14" s="90"/>
      <c r="BG14" s="116"/>
      <c r="BH14" s="16">
        <f t="shared" si="12"/>
        <v>168</v>
      </c>
      <c r="BI14" s="90">
        <v>205</v>
      </c>
      <c r="BJ14" s="90"/>
      <c r="BK14" s="90"/>
      <c r="BL14" s="116"/>
      <c r="BM14" s="16">
        <f t="shared" si="13"/>
        <v>205</v>
      </c>
      <c r="BN14" s="90">
        <v>196</v>
      </c>
      <c r="BO14" s="90"/>
      <c r="BP14" s="90"/>
      <c r="BQ14" s="116"/>
      <c r="BR14" s="16">
        <f t="shared" si="14"/>
        <v>196</v>
      </c>
      <c r="BS14" s="90">
        <v>153</v>
      </c>
      <c r="BT14" s="90"/>
      <c r="BU14" s="90"/>
      <c r="BV14" s="116"/>
      <c r="BW14" s="16">
        <f t="shared" si="15"/>
        <v>153</v>
      </c>
      <c r="BX14" s="90">
        <v>100</v>
      </c>
      <c r="BY14" s="90"/>
      <c r="BZ14" s="90"/>
      <c r="CA14" s="116"/>
      <c r="CB14" s="16">
        <f t="shared" si="16"/>
        <v>100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202</v>
      </c>
      <c r="B15" s="90"/>
      <c r="C15" s="116"/>
      <c r="D15" s="116"/>
      <c r="E15" s="16">
        <f t="shared" si="1"/>
        <v>202</v>
      </c>
      <c r="F15" s="90">
        <v>128</v>
      </c>
      <c r="G15" s="90"/>
      <c r="H15" s="90"/>
      <c r="I15" s="116"/>
      <c r="J15" s="16">
        <f t="shared" si="2"/>
        <v>128</v>
      </c>
      <c r="K15" s="90">
        <v>328</v>
      </c>
      <c r="L15" s="90"/>
      <c r="M15" s="90"/>
      <c r="N15" s="116"/>
      <c r="O15" s="16">
        <f t="shared" si="3"/>
        <v>328</v>
      </c>
      <c r="P15" s="90">
        <v>90</v>
      </c>
      <c r="Q15" s="90"/>
      <c r="R15" s="90"/>
      <c r="S15" s="116"/>
      <c r="T15" s="16">
        <f t="shared" si="4"/>
        <v>90</v>
      </c>
      <c r="U15" s="90"/>
      <c r="V15" s="90"/>
      <c r="W15" s="90"/>
      <c r="X15" s="116"/>
      <c r="Y15" s="16">
        <f t="shared" si="5"/>
        <v>0</v>
      </c>
      <c r="Z15" s="90"/>
      <c r="AA15" s="90"/>
      <c r="AB15" s="90"/>
      <c r="AC15" s="116"/>
      <c r="AD15" s="16">
        <f t="shared" si="6"/>
        <v>0</v>
      </c>
      <c r="AE15" s="90"/>
      <c r="AF15" s="90"/>
      <c r="AG15" s="90"/>
      <c r="AH15" s="116"/>
      <c r="AI15" s="16">
        <f t="shared" si="7"/>
        <v>0</v>
      </c>
      <c r="AJ15" s="90"/>
      <c r="AK15" s="90">
        <v>20</v>
      </c>
      <c r="AL15" s="90"/>
      <c r="AM15" s="116"/>
      <c r="AN15" s="16">
        <f t="shared" si="8"/>
        <v>0</v>
      </c>
      <c r="AO15" s="90">
        <v>124</v>
      </c>
      <c r="AP15" s="90"/>
      <c r="AQ15" s="90"/>
      <c r="AR15" s="116"/>
      <c r="AS15" s="16">
        <f t="shared" si="9"/>
        <v>124</v>
      </c>
      <c r="AT15" s="90">
        <v>95</v>
      </c>
      <c r="AU15" s="90"/>
      <c r="AV15" s="90"/>
      <c r="AW15" s="116"/>
      <c r="AX15" s="16">
        <f t="shared" si="10"/>
        <v>95</v>
      </c>
      <c r="AY15" s="90"/>
      <c r="AZ15" s="90"/>
      <c r="BA15" s="90">
        <v>203</v>
      </c>
      <c r="BB15" s="116"/>
      <c r="BC15" s="16">
        <f t="shared" si="11"/>
        <v>203</v>
      </c>
      <c r="BD15" s="90">
        <v>102</v>
      </c>
      <c r="BE15" s="90"/>
      <c r="BF15" s="90"/>
      <c r="BG15" s="116"/>
      <c r="BH15" s="16">
        <f t="shared" si="12"/>
        <v>102</v>
      </c>
      <c r="BI15" s="90">
        <v>205</v>
      </c>
      <c r="BJ15" s="90"/>
      <c r="BK15" s="90"/>
      <c r="BL15" s="116"/>
      <c r="BM15" s="16">
        <f t="shared" si="13"/>
        <v>205</v>
      </c>
      <c r="BN15" s="90">
        <v>205</v>
      </c>
      <c r="BO15" s="90"/>
      <c r="BP15" s="90"/>
      <c r="BQ15" s="116"/>
      <c r="BR15" s="16">
        <f t="shared" si="14"/>
        <v>205</v>
      </c>
      <c r="BS15" s="90">
        <v>296</v>
      </c>
      <c r="BT15" s="90"/>
      <c r="BU15" s="90"/>
      <c r="BV15" s="116"/>
      <c r="BW15" s="16">
        <f t="shared" si="15"/>
        <v>296</v>
      </c>
      <c r="BX15" s="90">
        <v>106</v>
      </c>
      <c r="BY15" s="90"/>
      <c r="BZ15" s="90"/>
      <c r="CA15" s="116"/>
      <c r="CB15" s="16">
        <f t="shared" si="16"/>
        <v>106</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202</v>
      </c>
      <c r="B16" s="90"/>
      <c r="C16" s="116"/>
      <c r="D16" s="116"/>
      <c r="E16" s="16">
        <f t="shared" si="1"/>
        <v>202</v>
      </c>
      <c r="F16" s="90"/>
      <c r="G16" s="90"/>
      <c r="H16" s="90"/>
      <c r="I16" s="116"/>
      <c r="J16" s="16">
        <f t="shared" si="2"/>
        <v>0</v>
      </c>
      <c r="K16" s="90">
        <v>180</v>
      </c>
      <c r="L16" s="90"/>
      <c r="M16" s="90"/>
      <c r="N16" s="116"/>
      <c r="O16" s="16">
        <f t="shared" si="3"/>
        <v>180</v>
      </c>
      <c r="P16" s="90">
        <v>185</v>
      </c>
      <c r="Q16" s="90"/>
      <c r="R16" s="90"/>
      <c r="S16" s="116"/>
      <c r="T16" s="16">
        <f t="shared" si="4"/>
        <v>185</v>
      </c>
      <c r="U16" s="90"/>
      <c r="V16" s="90"/>
      <c r="W16" s="90"/>
      <c r="X16" s="116"/>
      <c r="Y16" s="16">
        <f t="shared" si="5"/>
        <v>0</v>
      </c>
      <c r="Z16" s="90"/>
      <c r="AA16" s="90"/>
      <c r="AB16" s="90"/>
      <c r="AC16" s="116"/>
      <c r="AD16" s="16">
        <f t="shared" si="6"/>
        <v>0</v>
      </c>
      <c r="AE16" s="90"/>
      <c r="AF16" s="90"/>
      <c r="AG16" s="90"/>
      <c r="AH16" s="116"/>
      <c r="AI16" s="16">
        <f t="shared" si="7"/>
        <v>0</v>
      </c>
      <c r="AJ16" s="90">
        <v>230</v>
      </c>
      <c r="AK16" s="90"/>
      <c r="AL16" s="90"/>
      <c r="AM16" s="116"/>
      <c r="AN16" s="16">
        <f t="shared" si="8"/>
        <v>230</v>
      </c>
      <c r="AO16" s="90"/>
      <c r="AP16" s="90"/>
      <c r="AQ16" s="90"/>
      <c r="AR16" s="116"/>
      <c r="AS16" s="16">
        <f t="shared" si="9"/>
        <v>0</v>
      </c>
      <c r="AT16" s="90">
        <v>335</v>
      </c>
      <c r="AU16" s="90"/>
      <c r="AV16" s="90"/>
      <c r="AW16" s="116"/>
      <c r="AX16" s="16">
        <f t="shared" si="10"/>
        <v>335</v>
      </c>
      <c r="AY16" s="90"/>
      <c r="AZ16" s="90"/>
      <c r="BA16" s="90">
        <v>95</v>
      </c>
      <c r="BB16" s="116"/>
      <c r="BC16" s="16">
        <f t="shared" si="11"/>
        <v>95</v>
      </c>
      <c r="BD16" s="90">
        <v>280</v>
      </c>
      <c r="BE16" s="90"/>
      <c r="BF16" s="90"/>
      <c r="BG16" s="116"/>
      <c r="BH16" s="16">
        <f t="shared" si="12"/>
        <v>280</v>
      </c>
      <c r="BI16" s="90"/>
      <c r="BJ16" s="90">
        <v>20</v>
      </c>
      <c r="BK16" s="90"/>
      <c r="BL16" s="116"/>
      <c r="BM16" s="16">
        <f t="shared" si="13"/>
        <v>0</v>
      </c>
      <c r="BN16" s="90">
        <v>103</v>
      </c>
      <c r="BO16" s="90"/>
      <c r="BP16" s="90"/>
      <c r="BQ16" s="116"/>
      <c r="BR16" s="16">
        <f t="shared" si="14"/>
        <v>103</v>
      </c>
      <c r="BS16" s="90">
        <v>316</v>
      </c>
      <c r="BT16" s="90"/>
      <c r="BU16" s="90"/>
      <c r="BV16" s="116"/>
      <c r="BW16" s="16">
        <f t="shared" si="15"/>
        <v>316</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195</v>
      </c>
      <c r="B17" s="90"/>
      <c r="C17" s="116"/>
      <c r="D17" s="116"/>
      <c r="E17" s="16">
        <f t="shared" si="1"/>
        <v>195</v>
      </c>
      <c r="F17" s="90"/>
      <c r="G17" s="90"/>
      <c r="H17" s="90"/>
      <c r="I17" s="116"/>
      <c r="J17" s="16">
        <f t="shared" si="2"/>
        <v>0</v>
      </c>
      <c r="K17" s="90">
        <v>203</v>
      </c>
      <c r="L17" s="90"/>
      <c r="M17" s="90"/>
      <c r="N17" s="116"/>
      <c r="O17" s="16">
        <f t="shared" si="3"/>
        <v>203</v>
      </c>
      <c r="P17" s="90">
        <v>92</v>
      </c>
      <c r="Q17" s="90"/>
      <c r="R17" s="90"/>
      <c r="S17" s="116"/>
      <c r="T17" s="16">
        <f t="shared" si="4"/>
        <v>92</v>
      </c>
      <c r="U17" s="90"/>
      <c r="V17" s="90"/>
      <c r="W17" s="90"/>
      <c r="X17" s="116"/>
      <c r="Y17" s="16">
        <f t="shared" si="5"/>
        <v>0</v>
      </c>
      <c r="Z17" s="90"/>
      <c r="AA17" s="90"/>
      <c r="AB17" s="90"/>
      <c r="AC17" s="116"/>
      <c r="AD17" s="16">
        <f t="shared" si="6"/>
        <v>0</v>
      </c>
      <c r="AE17" s="90"/>
      <c r="AF17" s="90"/>
      <c r="AG17" s="90"/>
      <c r="AH17" s="116"/>
      <c r="AI17" s="16">
        <f t="shared" si="7"/>
        <v>0</v>
      </c>
      <c r="AJ17" s="90">
        <v>222</v>
      </c>
      <c r="AK17" s="90"/>
      <c r="AL17" s="90"/>
      <c r="AM17" s="116"/>
      <c r="AN17" s="16">
        <f t="shared" si="8"/>
        <v>222</v>
      </c>
      <c r="AO17" s="90"/>
      <c r="AP17" s="90"/>
      <c r="AQ17" s="90"/>
      <c r="AR17" s="116"/>
      <c r="AS17" s="16">
        <f t="shared" si="9"/>
        <v>0</v>
      </c>
      <c r="AT17" s="90">
        <v>280</v>
      </c>
      <c r="AU17" s="90"/>
      <c r="AV17" s="90"/>
      <c r="AW17" s="116"/>
      <c r="AX17" s="16">
        <f t="shared" si="10"/>
        <v>280</v>
      </c>
      <c r="AY17" s="90"/>
      <c r="AZ17" s="90"/>
      <c r="BA17" s="90">
        <v>152</v>
      </c>
      <c r="BB17" s="116"/>
      <c r="BC17" s="16">
        <f t="shared" si="11"/>
        <v>152</v>
      </c>
      <c r="BD17" s="90"/>
      <c r="BE17" s="90">
        <v>20</v>
      </c>
      <c r="BF17" s="90"/>
      <c r="BG17" s="116"/>
      <c r="BH17" s="16">
        <f t="shared" si="12"/>
        <v>0</v>
      </c>
      <c r="BI17" s="90">
        <v>203</v>
      </c>
      <c r="BJ17" s="90"/>
      <c r="BK17" s="90"/>
      <c r="BL17" s="116"/>
      <c r="BM17" s="16">
        <f t="shared" si="13"/>
        <v>203</v>
      </c>
      <c r="BN17" s="90"/>
      <c r="BO17" s="90"/>
      <c r="BP17" s="90"/>
      <c r="BQ17" s="116"/>
      <c r="BR17" s="16">
        <f t="shared" si="14"/>
        <v>0</v>
      </c>
      <c r="BS17" s="90"/>
      <c r="BT17" s="90">
        <v>20</v>
      </c>
      <c r="BU17" s="90"/>
      <c r="BV17" s="116"/>
      <c r="BW17" s="16">
        <f t="shared" si="15"/>
        <v>0</v>
      </c>
      <c r="BX17" s="90">
        <v>200</v>
      </c>
      <c r="BY17" s="90"/>
      <c r="BZ17" s="90"/>
      <c r="CA17" s="116"/>
      <c r="CB17" s="16">
        <f t="shared" si="16"/>
        <v>200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v>111</v>
      </c>
      <c r="B18" s="90"/>
      <c r="C18" s="116"/>
      <c r="D18" s="116"/>
      <c r="E18" s="16">
        <f t="shared" si="1"/>
        <v>111</v>
      </c>
      <c r="F18" s="90"/>
      <c r="G18" s="90"/>
      <c r="H18" s="90"/>
      <c r="I18" s="116"/>
      <c r="J18" s="16">
        <f t="shared" si="2"/>
        <v>0</v>
      </c>
      <c r="K18" s="90"/>
      <c r="L18" s="90"/>
      <c r="M18" s="90"/>
      <c r="N18" s="116"/>
      <c r="O18" s="16">
        <f t="shared" si="3"/>
        <v>0</v>
      </c>
      <c r="P18" s="90">
        <v>92</v>
      </c>
      <c r="Q18" s="90"/>
      <c r="R18" s="90"/>
      <c r="S18" s="116"/>
      <c r="T18" s="16">
        <f t="shared" si="4"/>
        <v>92</v>
      </c>
      <c r="U18" s="90"/>
      <c r="V18" s="90"/>
      <c r="W18" s="90"/>
      <c r="X18" s="116"/>
      <c r="Y18" s="16">
        <f t="shared" si="5"/>
        <v>0</v>
      </c>
      <c r="Z18" s="90"/>
      <c r="AA18" s="90"/>
      <c r="AB18" s="90"/>
      <c r="AC18" s="116"/>
      <c r="AD18" s="16">
        <f t="shared" si="6"/>
        <v>0</v>
      </c>
      <c r="AE18" s="90"/>
      <c r="AF18" s="90"/>
      <c r="AG18" s="90"/>
      <c r="AH18" s="116"/>
      <c r="AI18" s="16">
        <f t="shared" si="7"/>
        <v>0</v>
      </c>
      <c r="AJ18" s="90">
        <v>122</v>
      </c>
      <c r="AK18" s="90"/>
      <c r="AL18" s="90"/>
      <c r="AM18" s="116"/>
      <c r="AN18" s="16">
        <f t="shared" si="8"/>
        <v>122</v>
      </c>
      <c r="AO18" s="90"/>
      <c r="AP18" s="90"/>
      <c r="AQ18" s="90"/>
      <c r="AR18" s="116"/>
      <c r="AS18" s="16">
        <f t="shared" si="9"/>
        <v>0</v>
      </c>
      <c r="AT18" s="90"/>
      <c r="AU18" s="90"/>
      <c r="AV18" s="90"/>
      <c r="AW18" s="116">
        <v>20</v>
      </c>
      <c r="AX18" s="16">
        <f t="shared" si="10"/>
        <v>0</v>
      </c>
      <c r="AY18" s="90"/>
      <c r="AZ18" s="90"/>
      <c r="BA18" s="90"/>
      <c r="BB18" s="116">
        <v>50</v>
      </c>
      <c r="BC18" s="16">
        <f t="shared" si="11"/>
        <v>0</v>
      </c>
      <c r="BD18" s="90">
        <v>206</v>
      </c>
      <c r="BE18" s="90"/>
      <c r="BF18" s="90"/>
      <c r="BG18" s="116"/>
      <c r="BH18" s="16">
        <f t="shared" si="12"/>
        <v>206</v>
      </c>
      <c r="BI18" s="90">
        <v>205</v>
      </c>
      <c r="BJ18" s="90"/>
      <c r="BK18" s="90"/>
      <c r="BL18" s="116"/>
      <c r="BM18" s="16">
        <f t="shared" si="13"/>
        <v>205</v>
      </c>
      <c r="BN18" s="90"/>
      <c r="BO18" s="90"/>
      <c r="BP18" s="90"/>
      <c r="BQ18" s="116"/>
      <c r="BR18" s="16">
        <f t="shared" si="14"/>
        <v>0</v>
      </c>
      <c r="BS18" s="90">
        <v>174</v>
      </c>
      <c r="BT18" s="90"/>
      <c r="BU18" s="90"/>
      <c r="BV18" s="116"/>
      <c r="BW18" s="16">
        <f t="shared" si="15"/>
        <v>174</v>
      </c>
      <c r="BX18" s="90">
        <v>200</v>
      </c>
      <c r="BY18" s="90"/>
      <c r="BZ18" s="90"/>
      <c r="CA18" s="116"/>
      <c r="CB18" s="16">
        <f t="shared" si="16"/>
        <v>200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v>20</v>
      </c>
      <c r="C19" s="90"/>
      <c r="D19" s="116"/>
      <c r="E19" s="16">
        <f t="shared" si="1"/>
        <v>0</v>
      </c>
      <c r="F19" s="90"/>
      <c r="G19" s="90"/>
      <c r="H19" s="90"/>
      <c r="I19" s="116"/>
      <c r="J19" s="16">
        <f t="shared" si="2"/>
        <v>0</v>
      </c>
      <c r="K19" s="90"/>
      <c r="L19" s="90"/>
      <c r="M19" s="90"/>
      <c r="N19" s="116"/>
      <c r="O19" s="16">
        <f t="shared" si="3"/>
        <v>0</v>
      </c>
      <c r="P19" s="90"/>
      <c r="Q19" s="90">
        <v>50</v>
      </c>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v>90</v>
      </c>
      <c r="AK19" s="90"/>
      <c r="AL19" s="90"/>
      <c r="AM19" s="116"/>
      <c r="AN19" s="16">
        <f t="shared" si="8"/>
        <v>90</v>
      </c>
      <c r="AO19" s="90"/>
      <c r="AP19" s="90"/>
      <c r="AQ19" s="90"/>
      <c r="AR19" s="116"/>
      <c r="AS19" s="16">
        <f t="shared" si="9"/>
        <v>0</v>
      </c>
      <c r="AT19" s="90"/>
      <c r="AU19" s="90"/>
      <c r="AV19" s="116">
        <v>55</v>
      </c>
      <c r="AW19" s="116"/>
      <c r="AX19" s="16">
        <f t="shared" si="10"/>
        <v>55</v>
      </c>
      <c r="AY19" s="90"/>
      <c r="AZ19" s="90"/>
      <c r="BA19" s="90">
        <v>74</v>
      </c>
      <c r="BB19" s="116"/>
      <c r="BC19" s="16">
        <f t="shared" si="11"/>
        <v>74</v>
      </c>
      <c r="BD19" s="90">
        <v>200</v>
      </c>
      <c r="BE19" s="90"/>
      <c r="BF19" s="90"/>
      <c r="BG19" s="116"/>
      <c r="BH19" s="16">
        <f t="shared" si="12"/>
        <v>200</v>
      </c>
      <c r="BI19" s="90">
        <v>189</v>
      </c>
      <c r="BJ19" s="90"/>
      <c r="BK19" s="90"/>
      <c r="BL19" s="116"/>
      <c r="BM19" s="16">
        <f t="shared" si="13"/>
        <v>189</v>
      </c>
      <c r="BN19" s="90"/>
      <c r="BO19" s="90"/>
      <c r="BP19" s="90"/>
      <c r="BQ19" s="116"/>
      <c r="BR19" s="16">
        <f t="shared" si="14"/>
        <v>0</v>
      </c>
      <c r="BS19" s="90">
        <v>182</v>
      </c>
      <c r="BT19" s="90"/>
      <c r="BU19" s="90"/>
      <c r="BV19" s="116"/>
      <c r="BW19" s="16">
        <f t="shared" si="15"/>
        <v>182</v>
      </c>
      <c r="BX19" s="90">
        <v>205</v>
      </c>
      <c r="BY19" s="90"/>
      <c r="BZ19" s="90"/>
      <c r="CA19" s="116"/>
      <c r="CB19" s="16">
        <f t="shared" si="16"/>
        <v>205</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110</v>
      </c>
      <c r="B20" s="90"/>
      <c r="C20" s="90"/>
      <c r="D20" s="116"/>
      <c r="E20" s="16">
        <f t="shared" si="1"/>
        <v>110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v>50</v>
      </c>
      <c r="AL20" s="90"/>
      <c r="AM20" s="116"/>
      <c r="AN20" s="16">
        <f t="shared" si="8"/>
        <v>0</v>
      </c>
      <c r="AO20" s="90"/>
      <c r="AP20" s="90"/>
      <c r="AQ20" s="90"/>
      <c r="AR20" s="116"/>
      <c r="AS20" s="16">
        <f t="shared" si="9"/>
        <v>0</v>
      </c>
      <c r="AT20" s="90"/>
      <c r="AU20" s="90"/>
      <c r="AV20" s="116">
        <v>219</v>
      </c>
      <c r="AW20" s="116"/>
      <c r="AX20" s="16">
        <f t="shared" si="10"/>
        <v>219</v>
      </c>
      <c r="AY20" s="90"/>
      <c r="AZ20" s="90"/>
      <c r="BA20" s="90">
        <v>106</v>
      </c>
      <c r="BB20" s="116"/>
      <c r="BC20" s="16">
        <f t="shared" si="11"/>
        <v>106</v>
      </c>
      <c r="BD20" s="90">
        <v>199</v>
      </c>
      <c r="BE20" s="90"/>
      <c r="BF20" s="90"/>
      <c r="BG20" s="116"/>
      <c r="BH20" s="16">
        <f t="shared" si="12"/>
        <v>199</v>
      </c>
      <c r="BI20" s="90"/>
      <c r="BJ20" s="90">
        <v>50</v>
      </c>
      <c r="BK20" s="90"/>
      <c r="BL20" s="116"/>
      <c r="BM20" s="16">
        <f t="shared" si="13"/>
        <v>0</v>
      </c>
      <c r="BN20" s="90"/>
      <c r="BO20" s="90"/>
      <c r="BP20" s="90"/>
      <c r="BQ20" s="116"/>
      <c r="BR20" s="16">
        <f t="shared" si="14"/>
        <v>0</v>
      </c>
      <c r="BS20" s="90">
        <v>193</v>
      </c>
      <c r="BT20" s="90"/>
      <c r="BU20" s="90"/>
      <c r="BV20" s="116"/>
      <c r="BW20" s="16">
        <f t="shared" si="15"/>
        <v>193</v>
      </c>
      <c r="BX20" s="90">
        <v>96</v>
      </c>
      <c r="BY20" s="90"/>
      <c r="BZ20" s="90"/>
      <c r="CA20" s="116"/>
      <c r="CB20" s="16">
        <f t="shared" si="16"/>
        <v>96</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195</v>
      </c>
      <c r="B21" s="90"/>
      <c r="C21" s="90"/>
      <c r="D21" s="116"/>
      <c r="E21" s="16">
        <f t="shared" si="1"/>
        <v>195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116"/>
      <c r="AW21" s="116">
        <v>50</v>
      </c>
      <c r="AX21" s="16">
        <f t="shared" si="10"/>
        <v>0</v>
      </c>
      <c r="AY21" s="90"/>
      <c r="AZ21" s="90"/>
      <c r="BA21" s="90">
        <v>198</v>
      </c>
      <c r="BB21" s="116"/>
      <c r="BC21" s="16">
        <f t="shared" si="11"/>
        <v>198</v>
      </c>
      <c r="BD21" s="90">
        <v>106</v>
      </c>
      <c r="BE21" s="90"/>
      <c r="BF21" s="90"/>
      <c r="BG21" s="116"/>
      <c r="BH21" s="16">
        <f t="shared" si="12"/>
        <v>106</v>
      </c>
      <c r="BI21" s="90"/>
      <c r="BJ21" s="90"/>
      <c r="BK21" s="90"/>
      <c r="BL21" s="116"/>
      <c r="BM21" s="16">
        <f t="shared" si="13"/>
        <v>0</v>
      </c>
      <c r="BN21" s="90"/>
      <c r="BO21" s="90"/>
      <c r="BP21" s="90"/>
      <c r="BQ21" s="116"/>
      <c r="BR21" s="16">
        <f t="shared" si="14"/>
        <v>0</v>
      </c>
      <c r="BS21" s="90">
        <v>92</v>
      </c>
      <c r="BT21" s="90"/>
      <c r="BU21" s="90"/>
      <c r="BV21" s="116"/>
      <c r="BW21" s="16">
        <f t="shared" si="15"/>
        <v>92</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v>109</v>
      </c>
      <c r="B22" s="90"/>
      <c r="C22" s="90"/>
      <c r="D22" s="116"/>
      <c r="E22" s="16">
        <f t="shared" si="1"/>
        <v>109</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116">
        <v>122</v>
      </c>
      <c r="AW22" s="116"/>
      <c r="AX22" s="16">
        <f t="shared" si="10"/>
        <v>122</v>
      </c>
      <c r="AY22" s="90"/>
      <c r="AZ22" s="90"/>
      <c r="BA22" s="90">
        <v>206</v>
      </c>
      <c r="BB22" s="116"/>
      <c r="BC22" s="16">
        <f t="shared" si="11"/>
        <v>206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v>90</v>
      </c>
      <c r="B23" s="90"/>
      <c r="C23" s="90"/>
      <c r="D23" s="116"/>
      <c r="E23" s="16">
        <f t="shared" si="1"/>
        <v>90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116">
        <v>58</v>
      </c>
      <c r="AW23" s="116"/>
      <c r="AX23" s="16">
        <f t="shared" si="10"/>
        <v>58</v>
      </c>
      <c r="AY23" s="90"/>
      <c r="AZ23" s="90"/>
      <c r="BA23" s="90">
        <v>62</v>
      </c>
      <c r="BB23" s="116"/>
      <c r="BC23" s="16">
        <f t="shared" si="11"/>
        <v>62</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v>50</v>
      </c>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116">
        <v>215</v>
      </c>
      <c r="AW24" s="116"/>
      <c r="AX24" s="16">
        <f t="shared" si="10"/>
        <v>215</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116">
        <v>177</v>
      </c>
      <c r="AW25" s="116"/>
      <c r="AX25" s="16">
        <f t="shared" si="10"/>
        <v>177</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9" priority="210">
      <formula>IF(A25&gt;0,A25&lt;20)</formula>
    </cfRule>
  </conditionalFormatting>
  <conditionalFormatting sqref="F20:F208">
    <cfRule type="expression" dxfId="1588" priority="91">
      <formula>IF(F20&gt;0,F20&lt;20)</formula>
    </cfRule>
  </conditionalFormatting>
  <conditionalFormatting sqref="K22:K208">
    <cfRule type="expression" dxfId="1587" priority="90">
      <formula>IF(K22&gt;0,K22&lt;20)</formula>
    </cfRule>
  </conditionalFormatting>
  <conditionalFormatting sqref="P11:P14 P17:P208">
    <cfRule type="expression" dxfId="1586" priority="89">
      <formula>IF(P11&gt;0,P11&lt;20)</formula>
    </cfRule>
  </conditionalFormatting>
  <conditionalFormatting sqref="U27:U208">
    <cfRule type="expression" dxfId="1585" priority="88">
      <formula>IF(U27&gt;0,U27&lt;20)</formula>
    </cfRule>
  </conditionalFormatting>
  <conditionalFormatting sqref="Z17:Z208">
    <cfRule type="expression" dxfId="1584" priority="87">
      <formula>IF(Z17&gt;0,Z17&lt;20)</formula>
    </cfRule>
  </conditionalFormatting>
  <conditionalFormatting sqref="AE15:AE208">
    <cfRule type="expression" dxfId="1583" priority="86">
      <formula>IF(AE15&gt;0,AE15&lt;20)</formula>
    </cfRule>
  </conditionalFormatting>
  <conditionalFormatting sqref="AJ25:AJ208">
    <cfRule type="expression" dxfId="1582" priority="85">
      <formula>IF(AJ25&gt;0,AJ25&lt;20)</formula>
    </cfRule>
  </conditionalFormatting>
  <conditionalFormatting sqref="AO16:AO208">
    <cfRule type="expression" dxfId="1581" priority="84">
      <formula>IF(AO16&gt;0,AO16&lt;20)</formula>
    </cfRule>
  </conditionalFormatting>
  <conditionalFormatting sqref="AT14:AT208">
    <cfRule type="expression" dxfId="1580" priority="83">
      <formula>IF(AT14&gt;0,AT14&lt;20)</formula>
    </cfRule>
  </conditionalFormatting>
  <conditionalFormatting sqref="AY9:AY208">
    <cfRule type="expression" dxfId="1579" priority="82">
      <formula>IF(AY9&gt;0,AY9&lt;20)</formula>
    </cfRule>
  </conditionalFormatting>
  <conditionalFormatting sqref="BD21:BD208">
    <cfRule type="expression" dxfId="1578" priority="81">
      <formula>IF(BD21&gt;0,BD21&lt;20)</formula>
    </cfRule>
  </conditionalFormatting>
  <conditionalFormatting sqref="BI26:BI208">
    <cfRule type="expression" dxfId="1577" priority="80">
      <formula>IF(BI26&gt;0,BI26&lt;20)</formula>
    </cfRule>
  </conditionalFormatting>
  <conditionalFormatting sqref="BN17:BN208">
    <cfRule type="expression" dxfId="1576" priority="79">
      <formula>IF(BN17&gt;0,BN17&lt;20)</formula>
    </cfRule>
  </conditionalFormatting>
  <conditionalFormatting sqref="BS29:BS208">
    <cfRule type="expression" dxfId="1575" priority="78">
      <formula>IF(BS29&gt;0,BS29&lt;20)</formula>
    </cfRule>
  </conditionalFormatting>
  <conditionalFormatting sqref="BX29:BX208">
    <cfRule type="expression" dxfId="1574" priority="77">
      <formula>IF(BX29&gt;0,BX29&lt;20)</formula>
    </cfRule>
  </conditionalFormatting>
  <conditionalFormatting sqref="CC9:CC208">
    <cfRule type="expression" dxfId="1573" priority="76">
      <formula>IF(CC9&gt;0,CC9&lt;20)</formula>
    </cfRule>
  </conditionalFormatting>
  <conditionalFormatting sqref="CH9:CH208">
    <cfRule type="expression" dxfId="1572" priority="75">
      <formula>IF(CH9&gt;0,CH9&lt;20)</formula>
    </cfRule>
  </conditionalFormatting>
  <conditionalFormatting sqref="CM9:CM208">
    <cfRule type="expression" dxfId="1571" priority="74">
      <formula>IF(CM9&gt;0,CM9&lt;20)</formula>
    </cfRule>
  </conditionalFormatting>
  <conditionalFormatting sqref="CR9:CR208">
    <cfRule type="expression" dxfId="1570" priority="73">
      <formula>IF(CR9&gt;0,CR9&lt;20)</formula>
    </cfRule>
  </conditionalFormatting>
  <conditionalFormatting sqref="CW9:CW208">
    <cfRule type="expression" dxfId="1569" priority="72">
      <formula>IF(CW9&gt;0,CW9&lt;20)</formula>
    </cfRule>
  </conditionalFormatting>
  <conditionalFormatting sqref="DB9:DB208">
    <cfRule type="expression" dxfId="1568" priority="71">
      <formula>IF(DB9&gt;0,DB9&lt;20)</formula>
    </cfRule>
  </conditionalFormatting>
  <conditionalFormatting sqref="DG9:DG208">
    <cfRule type="expression" dxfId="1567" priority="70">
      <formula>IF(DG9&gt;0,DG9&lt;20)</formula>
    </cfRule>
  </conditionalFormatting>
  <conditionalFormatting sqref="DL9:DL208">
    <cfRule type="expression" dxfId="1566" priority="69">
      <formula>IF(DL9&gt;0,DL9&lt;20)</formula>
    </cfRule>
  </conditionalFormatting>
  <conditionalFormatting sqref="DQ9:DQ208">
    <cfRule type="expression" dxfId="1565" priority="68">
      <formula>IF(DQ9&gt;0,DQ9&lt;20)</formula>
    </cfRule>
  </conditionalFormatting>
  <conditionalFormatting sqref="DV9:DV208">
    <cfRule type="expression" dxfId="1564" priority="67">
      <formula>IF(DV9&gt;0,DV9&lt;20)</formula>
    </cfRule>
  </conditionalFormatting>
  <conditionalFormatting sqref="EA9:EA208">
    <cfRule type="expression" dxfId="1563" priority="66">
      <formula>IF(EA9&gt;0,EA9&lt;20)</formula>
    </cfRule>
  </conditionalFormatting>
  <conditionalFormatting sqref="EF9:EF208">
    <cfRule type="expression" dxfId="1562" priority="65">
      <formula>IF(EF9&gt;0,EF9&lt;20)</formula>
    </cfRule>
  </conditionalFormatting>
  <conditionalFormatting sqref="EK9:EK208">
    <cfRule type="expression" dxfId="1561" priority="64">
      <formula>IF(EK9&gt;0,EK9&lt;20)</formula>
    </cfRule>
  </conditionalFormatting>
  <conditionalFormatting sqref="EP9:EP208">
    <cfRule type="expression" dxfId="1560" priority="63">
      <formula>IF(EP9&gt;0,EP9&lt;20)</formula>
    </cfRule>
  </conditionalFormatting>
  <conditionalFormatting sqref="EU9:EU208">
    <cfRule type="expression" dxfId="1559" priority="62">
      <formula>IF(EU9&gt;0,EU9&lt;20)</formula>
    </cfRule>
  </conditionalFormatting>
  <conditionalFormatting sqref="EZ9:EZ208">
    <cfRule type="expression" dxfId="1558" priority="61">
      <formula>IF(EZ9&gt;0,EZ9&lt;20)</formula>
    </cfRule>
  </conditionalFormatting>
  <conditionalFormatting sqref="FE9:FE208">
    <cfRule type="expression" dxfId="1557" priority="60">
      <formula>IF(FE9&gt;0,FE9&lt;20)</formula>
    </cfRule>
  </conditionalFormatting>
  <conditionalFormatting sqref="IL9:IL208">
    <cfRule type="expression" dxfId="1556" priority="43">
      <formula>IF(IL9&gt;0,IL9&lt;20)</formula>
    </cfRule>
  </conditionalFormatting>
  <conditionalFormatting sqref="FJ9:FJ208">
    <cfRule type="expression" dxfId="1555" priority="59">
      <formula>IF(FJ9&gt;0,FJ9&lt;20)</formula>
    </cfRule>
  </conditionalFormatting>
  <conditionalFormatting sqref="FO9:FO208">
    <cfRule type="expression" dxfId="1554" priority="58">
      <formula>IF(FO9&gt;0,FO9&lt;20)</formula>
    </cfRule>
  </conditionalFormatting>
  <conditionalFormatting sqref="FT9:FT208">
    <cfRule type="expression" dxfId="1553" priority="57">
      <formula>IF(FT9&gt;0,FT9&lt;20)</formula>
    </cfRule>
  </conditionalFormatting>
  <conditionalFormatting sqref="FY9:FY208">
    <cfRule type="expression" dxfId="1552" priority="56">
      <formula>IF(FY9&gt;0,FY9&lt;20)</formula>
    </cfRule>
  </conditionalFormatting>
  <conditionalFormatting sqref="GD9:GD208">
    <cfRule type="expression" dxfId="1551" priority="55">
      <formula>IF(GD9&gt;0,GD9&lt;20)</formula>
    </cfRule>
  </conditionalFormatting>
  <conditionalFormatting sqref="GI9:GI208">
    <cfRule type="expression" dxfId="1550" priority="54">
      <formula>IF(GI9&gt;0,GI9&lt;20)</formula>
    </cfRule>
  </conditionalFormatting>
  <conditionalFormatting sqref="GN9:GN208">
    <cfRule type="expression" dxfId="1549" priority="53">
      <formula>IF(GN9&gt;0,GN9&lt;20)</formula>
    </cfRule>
  </conditionalFormatting>
  <conditionalFormatting sqref="GS9:GS208">
    <cfRule type="expression" dxfId="1548" priority="52">
      <formula>IF(GS9&gt;0,GS9&lt;20)</formula>
    </cfRule>
  </conditionalFormatting>
  <conditionalFormatting sqref="GX9:GX208">
    <cfRule type="expression" dxfId="1547" priority="51">
      <formula>IF(GX9&gt;0,GX9&lt;20)</formula>
    </cfRule>
  </conditionalFormatting>
  <conditionalFormatting sqref="HC9:HC208">
    <cfRule type="expression" dxfId="1546" priority="50">
      <formula>IF(HC9&gt;0,HC9&lt;20)</formula>
    </cfRule>
  </conditionalFormatting>
  <conditionalFormatting sqref="HH9:HH208">
    <cfRule type="expression" dxfId="1545" priority="49">
      <formula>IF(HH9&gt;0,HH9&lt;20)</formula>
    </cfRule>
  </conditionalFormatting>
  <conditionalFormatting sqref="HM9:HM208">
    <cfRule type="expression" dxfId="1544" priority="48">
      <formula>IF(HM9&gt;0,HM9&lt;20)</formula>
    </cfRule>
  </conditionalFormatting>
  <conditionalFormatting sqref="HR9:HR208">
    <cfRule type="expression" dxfId="1543" priority="47">
      <formula>IF(HR9&gt;0,HR9&lt;20)</formula>
    </cfRule>
  </conditionalFormatting>
  <conditionalFormatting sqref="HW9:HW208">
    <cfRule type="expression" dxfId="1542" priority="46">
      <formula>IF(HW9&gt;0,HW9&lt;20)</formula>
    </cfRule>
  </conditionalFormatting>
  <conditionalFormatting sqref="IB9:IB208">
    <cfRule type="expression" dxfId="1541" priority="45">
      <formula>IF(IB9&gt;0,IB9&lt;20)</formula>
    </cfRule>
  </conditionalFormatting>
  <conditionalFormatting sqref="IG9:IG208">
    <cfRule type="expression" dxfId="1540" priority="44">
      <formula>IF(IG9&gt;0,IG9&lt;20)</formula>
    </cfRule>
  </conditionalFormatting>
  <conditionalFormatting sqref="A19:A24">
    <cfRule type="expression" dxfId="1539" priority="41">
      <formula>IF(A19&gt;0,A19&lt;20)</formula>
    </cfRule>
  </conditionalFormatting>
  <conditionalFormatting sqref="F12:F19">
    <cfRule type="expression" dxfId="1538" priority="40">
      <formula>IF(F12&gt;0,F12&lt;20)</formula>
    </cfRule>
  </conditionalFormatting>
  <conditionalFormatting sqref="K14:K21">
    <cfRule type="expression" dxfId="1537" priority="39">
      <formula>IF(K14&gt;0,K14&lt;20)</formula>
    </cfRule>
  </conditionalFormatting>
  <conditionalFormatting sqref="P11:P14">
    <cfRule type="expression" dxfId="1536" priority="37">
      <formula>IF(P11&gt;0,P11&lt;20)</formula>
    </cfRule>
  </conditionalFormatting>
  <conditionalFormatting sqref="U10:U20">
    <cfRule type="expression" dxfId="1535" priority="36">
      <formula>IF(U10&gt;0,U10&lt;20)</formula>
    </cfRule>
  </conditionalFormatting>
  <conditionalFormatting sqref="AJ11:AJ24">
    <cfRule type="expression" dxfId="1534" priority="33">
      <formula>IF(AJ11&gt;0,AJ11&lt;20)</formula>
    </cfRule>
  </conditionalFormatting>
  <conditionalFormatting sqref="F9:F12">
    <cfRule type="expression" dxfId="1533" priority="32">
      <formula>IF(F9&gt;0,F9&lt;20)</formula>
    </cfRule>
  </conditionalFormatting>
  <conditionalFormatting sqref="K13:K15">
    <cfRule type="expression" dxfId="1532" priority="31">
      <formula>IF(K13&gt;0,K13&lt;20)</formula>
    </cfRule>
  </conditionalFormatting>
  <conditionalFormatting sqref="K9:K14">
    <cfRule type="expression" dxfId="1531" priority="30">
      <formula>IF(K9&gt;0,K9&lt;20)</formula>
    </cfRule>
  </conditionalFormatting>
  <conditionalFormatting sqref="P9:P14">
    <cfRule type="expression" dxfId="1530" priority="29">
      <formula>IF(P9&gt;0,P9&lt;20)</formula>
    </cfRule>
  </conditionalFormatting>
  <conditionalFormatting sqref="U9">
    <cfRule type="expression" dxfId="1529" priority="28">
      <formula>IF(U9&gt;0,U9&lt;20)</formula>
    </cfRule>
  </conditionalFormatting>
  <conditionalFormatting sqref="Z9:Z16">
    <cfRule type="expression" dxfId="1528" priority="27">
      <formula>IF(Z9&gt;0,Z9&lt;20)</formula>
    </cfRule>
  </conditionalFormatting>
  <conditionalFormatting sqref="AE13:AE14">
    <cfRule type="expression" dxfId="1527" priority="26">
      <formula>IF(AE13&gt;0,AE13&lt;20)</formula>
    </cfRule>
  </conditionalFormatting>
  <conditionalFormatting sqref="AE9:AE13">
    <cfRule type="expression" dxfId="1526" priority="25">
      <formula>IF(AE9&gt;0,AE9&lt;20)</formula>
    </cfRule>
  </conditionalFormatting>
  <conditionalFormatting sqref="AJ9:AJ11">
    <cfRule type="expression" dxfId="1525" priority="24">
      <formula>IF(AJ9&gt;0,AJ9&lt;20)</formula>
    </cfRule>
  </conditionalFormatting>
  <conditionalFormatting sqref="AO9:AO15">
    <cfRule type="expression" dxfId="1524" priority="23">
      <formula>IF(AO9&gt;0,AO9&lt;20)</formula>
    </cfRule>
  </conditionalFormatting>
  <conditionalFormatting sqref="AT9:AT15">
    <cfRule type="expression" dxfId="1523" priority="22">
      <formula>IF(AT9&gt;0,AT9&lt;20)</formula>
    </cfRule>
  </conditionalFormatting>
  <conditionalFormatting sqref="A9">
    <cfRule type="expression" dxfId="1522" priority="21">
      <formula>AND(A$9&lt;&gt;"",A$9&lt;20)</formula>
    </cfRule>
  </conditionalFormatting>
  <conditionalFormatting sqref="A10:A21">
    <cfRule type="expression" dxfId="1521" priority="20">
      <formula>AND(A10&lt;&gt;"",A10&lt;20)</formula>
    </cfRule>
  </conditionalFormatting>
  <conditionalFormatting sqref="BD9:BD21">
    <cfRule type="expression" dxfId="1520" priority="19">
      <formula>IF(BD9&gt;0,BD9&lt;20)</formula>
    </cfRule>
  </conditionalFormatting>
  <conditionalFormatting sqref="BI9:BI28">
    <cfRule type="expression" dxfId="1519" priority="18">
      <formula>IF(BI9&gt;0,BI9&lt;20)</formula>
    </cfRule>
  </conditionalFormatting>
  <conditionalFormatting sqref="BN9 BN16">
    <cfRule type="expression" dxfId="1518" priority="17">
      <formula>IF(BN9&gt;0,BN9&lt;20)</formula>
    </cfRule>
  </conditionalFormatting>
  <conditionalFormatting sqref="U21:U26">
    <cfRule type="expression" dxfId="1517" priority="16">
      <formula>IF(U21&gt;0,U21&lt;20)</formula>
    </cfRule>
  </conditionalFormatting>
  <conditionalFormatting sqref="P17:P29">
    <cfRule type="expression" dxfId="1516" priority="15">
      <formula>IF(P17&gt;0,P17&lt;20)</formula>
    </cfRule>
  </conditionalFormatting>
  <conditionalFormatting sqref="BS27:BS29">
    <cfRule type="expression" dxfId="1515" priority="14">
      <formula>IF(BS27&gt;0,BS27&lt;20)</formula>
    </cfRule>
  </conditionalFormatting>
  <conditionalFormatting sqref="BS9:BS10">
    <cfRule type="expression" dxfId="1514" priority="12">
      <formula>IF(BS9&gt;0,BS9&lt;20)</formula>
    </cfRule>
  </conditionalFormatting>
  <conditionalFormatting sqref="BS26:BS29">
    <cfRule type="expression" dxfId="1513" priority="11">
      <formula>IF(BS26&gt;0,BS26&lt;20)</formula>
    </cfRule>
  </conditionalFormatting>
  <conditionalFormatting sqref="BS23:BS25 BS11:BS21">
    <cfRule type="expression" dxfId="1512" priority="10">
      <formula>IF(BS11&gt;0,BS11&lt;20)</formula>
    </cfRule>
  </conditionalFormatting>
  <conditionalFormatting sqref="BS11:BS15">
    <cfRule type="expression" dxfId="1511" priority="9">
      <formula>IF(BS11&gt;0,BS11&lt;20)</formula>
    </cfRule>
  </conditionalFormatting>
  <conditionalFormatting sqref="BS11">
    <cfRule type="expression" dxfId="1510" priority="8">
      <formula>IF(BS11&gt;0,BS11&lt;20)</formula>
    </cfRule>
  </conditionalFormatting>
  <conditionalFormatting sqref="BS17:BS25">
    <cfRule type="expression" dxfId="1509" priority="7">
      <formula>IF(BS17&gt;0,BS17&lt;20)</formula>
    </cfRule>
  </conditionalFormatting>
  <conditionalFormatting sqref="P14:P18">
    <cfRule type="expression" dxfId="1508" priority="6">
      <formula>IF(P14&gt;0,P14&lt;20)</formula>
    </cfRule>
  </conditionalFormatting>
  <conditionalFormatting sqref="P14:P18">
    <cfRule type="expression" dxfId="1507" priority="5">
      <formula>IF(P14&gt;0,P14&lt;20)</formula>
    </cfRule>
  </conditionalFormatting>
  <conditionalFormatting sqref="P14:P15">
    <cfRule type="expression" dxfId="1506" priority="4">
      <formula>IF(P14&gt;0,P14&lt;20)</formula>
    </cfRule>
  </conditionalFormatting>
  <conditionalFormatting sqref="BX26:BX28">
    <cfRule type="expression" dxfId="1505" priority="3">
      <formula>IF(BX26&gt;0,BX26&lt;20)</formula>
    </cfRule>
  </conditionalFormatting>
  <conditionalFormatting sqref="BX9:BX28">
    <cfRule type="expression" dxfId="1504" priority="2">
      <formula>IF(BX9&gt;0,BX9&lt;20)</formula>
    </cfRule>
  </conditionalFormatting>
  <conditionalFormatting sqref="BX16:BX19">
    <cfRule type="expression" dxfId="1503" priority="1">
      <formula>IF(BX16&gt;0,BX16&lt;20)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27" zoomScaleNormal="100" workbookViewId="0">
      <selection activeCell="D151" sqref="D151"/>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731</v>
      </c>
      <c r="D1" s="328"/>
      <c r="E1" s="88"/>
      <c r="F1" s="88"/>
      <c r="G1" s="89" t="s">
        <v>186</v>
      </c>
      <c r="H1" s="325" t="s">
        <v>733</v>
      </c>
      <c r="I1" s="326"/>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7" t="s">
        <v>732</v>
      </c>
      <c r="D2" s="328"/>
      <c r="E2" s="88"/>
      <c r="F2" s="88"/>
      <c r="G2" s="89" t="s">
        <v>207</v>
      </c>
      <c r="H2" s="325" t="s">
        <v>734</v>
      </c>
      <c r="I2" s="326"/>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FA_IMPORT_A02RNLQ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156</v>
      </c>
      <c r="J6" s="316" t="s">
        <v>225</v>
      </c>
      <c r="K6" s="317"/>
      <c r="L6" s="304"/>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60</v>
      </c>
      <c r="J7" s="288" t="s">
        <v>231</v>
      </c>
      <c r="K7" s="289"/>
      <c r="L7" s="34">
        <f>I11</f>
        <v>709</v>
      </c>
      <c r="M7" s="195">
        <v>4</v>
      </c>
      <c r="N7" s="35">
        <f>SUM(AI7,AI18)</f>
        <v>0</v>
      </c>
      <c r="O7" s="35">
        <v>0</v>
      </c>
      <c r="P7" s="35">
        <f>SUM(AJ7,AJ18)</f>
        <v>0</v>
      </c>
      <c r="Q7" s="35">
        <v>0</v>
      </c>
      <c r="R7" s="35">
        <f>COUNTIFS($E17:$E41,"4",$F17:$F41,"Pole",$C17:$C41,"FST")</f>
        <v>0</v>
      </c>
      <c r="S7" s="35">
        <f>SUM(AL7,AK18)</f>
        <v>0</v>
      </c>
      <c r="T7" s="35">
        <v>0</v>
      </c>
      <c r="U7" s="35">
        <f>SUM(AK7,AL18)</f>
        <v>9</v>
      </c>
      <c r="V7" s="35">
        <v>0</v>
      </c>
      <c r="W7" s="34">
        <f>COUNTIFS($E17:$E41,"4",$F17:$F41,"HH",$C17:$C41,"FST")</f>
        <v>9</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9</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0" t="s">
        <v>237</v>
      </c>
      <c r="H8" s="291"/>
      <c r="I8" s="35">
        <f>IF(E8=0,0,12-(MOD(I6,12)))</f>
        <v>12</v>
      </c>
      <c r="J8" s="288" t="s">
        <v>238</v>
      </c>
      <c r="K8" s="289"/>
      <c r="L8" s="39">
        <f>I12-I6</f>
        <v>708</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320" t="s">
        <v>242</v>
      </c>
      <c r="H9" s="43" t="s">
        <v>243</v>
      </c>
      <c r="I9" s="35">
        <f>IF(E9&lt;&gt;0,1,0)</f>
        <v>1</v>
      </c>
      <c r="J9" s="290" t="s">
        <v>244</v>
      </c>
      <c r="K9" s="291"/>
      <c r="L9" s="44">
        <f>'Cable Calculator'!D3</f>
        <v>2176</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709</v>
      </c>
      <c r="F10" s="88"/>
      <c r="G10" s="321"/>
      <c r="H10" s="47" t="s">
        <v>248</v>
      </c>
      <c r="I10" s="35">
        <f>IF(E9&lt;&gt;0,E9,0)</f>
        <v>60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1</v>
      </c>
      <c r="V10" s="35">
        <f>IF($E7="EUC",SUM($AN42,AP42,AR42),"0")</f>
        <v>1</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320" t="s">
        <v>251</v>
      </c>
      <c r="H11" s="51" t="s">
        <v>252</v>
      </c>
      <c r="I11" s="112">
        <f>E10</f>
        <v>709</v>
      </c>
      <c r="J11" s="322" t="s">
        <v>253</v>
      </c>
      <c r="K11" s="323"/>
      <c r="L11" s="324"/>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156</v>
      </c>
      <c r="D13" s="31" t="s">
        <v>259</v>
      </c>
      <c r="E13" s="101" t="str">
        <f>IF(AS7="Y","DBL",IF(AS8="Y","TRPL",IF(AS9="Y","QUAD","")))</f>
        <v/>
      </c>
      <c r="F13" s="88"/>
      <c r="G13" s="191"/>
      <c r="H13" s="57"/>
      <c r="I13" s="191"/>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773</v>
      </c>
      <c r="E17" s="32">
        <v>4</v>
      </c>
      <c r="F17" s="32" t="s">
        <v>488</v>
      </c>
      <c r="G17" s="68" t="s">
        <v>277</v>
      </c>
      <c r="H17" s="69">
        <f>IF(I17=0,0,I17-(E17-1))</f>
        <v>861</v>
      </c>
      <c r="I17" s="70">
        <f>IF(E17=0,0,I12)</f>
        <v>864</v>
      </c>
      <c r="J17" s="71" t="s">
        <v>278</v>
      </c>
      <c r="K17" s="32"/>
      <c r="L17" s="232"/>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774</v>
      </c>
      <c r="E18" s="32">
        <v>4</v>
      </c>
      <c r="F18" s="32" t="s">
        <v>488</v>
      </c>
      <c r="G18" s="68" t="s">
        <v>277</v>
      </c>
      <c r="H18" s="69">
        <f t="shared" ref="H18:H41" si="9">IF(E18=0,0,I18-(E18-1))</f>
        <v>857</v>
      </c>
      <c r="I18" s="70">
        <f t="shared" ref="I18:I41" si="10">IF(E18=0,0,H17-1)</f>
        <v>860</v>
      </c>
      <c r="J18" s="73" t="str">
        <f>IF(C18="","--",IF(AND(C18&lt;&gt;"FST",C18&lt;&gt;"TCF",BA17&lt;&gt;0),BA17,"--"))</f>
        <v>--</v>
      </c>
      <c r="K18" s="32"/>
      <c r="L18" s="232"/>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775</v>
      </c>
      <c r="E19" s="32">
        <v>4</v>
      </c>
      <c r="F19" s="32" t="s">
        <v>488</v>
      </c>
      <c r="G19" s="75" t="s">
        <v>277</v>
      </c>
      <c r="H19" s="69">
        <f t="shared" si="9"/>
        <v>853</v>
      </c>
      <c r="I19" s="70">
        <f t="shared" si="10"/>
        <v>856</v>
      </c>
      <c r="J19" s="73" t="str">
        <f t="shared" ref="J19:J41" si="11">IF(C19="","--",IF(AND(C19&lt;&gt;"FST",C19&lt;&gt;"TCF",BA18&lt;&gt;0),BA18,"--"))</f>
        <v>--</v>
      </c>
      <c r="K19" s="32"/>
      <c r="L19" s="232"/>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776</v>
      </c>
      <c r="E20" s="32">
        <v>4</v>
      </c>
      <c r="F20" s="32" t="s">
        <v>488</v>
      </c>
      <c r="G20" s="68" t="s">
        <v>277</v>
      </c>
      <c r="H20" s="69">
        <f t="shared" si="9"/>
        <v>849</v>
      </c>
      <c r="I20" s="70">
        <f t="shared" si="10"/>
        <v>852</v>
      </c>
      <c r="J20" s="73" t="str">
        <f t="shared" si="11"/>
        <v>--</v>
      </c>
      <c r="K20" s="32"/>
      <c r="L20" s="232"/>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8</v>
      </c>
    </row>
    <row r="21" spans="1:53" ht="15.75" thickBot="1" x14ac:dyDescent="0.3">
      <c r="A21" s="88"/>
      <c r="B21" s="66" t="s">
        <v>282</v>
      </c>
      <c r="C21" s="67" t="s">
        <v>484</v>
      </c>
      <c r="D21" s="102" t="s">
        <v>777</v>
      </c>
      <c r="E21" s="32">
        <v>4</v>
      </c>
      <c r="F21" s="32" t="s">
        <v>488</v>
      </c>
      <c r="G21" s="68" t="s">
        <v>277</v>
      </c>
      <c r="H21" s="69">
        <f t="shared" si="9"/>
        <v>845</v>
      </c>
      <c r="I21" s="70">
        <f t="shared" si="10"/>
        <v>848</v>
      </c>
      <c r="J21" s="73" t="str">
        <f t="shared" si="11"/>
        <v>--</v>
      </c>
      <c r="K21" s="32"/>
      <c r="L21" s="232"/>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0</v>
      </c>
      <c r="AE21" s="109" t="str">
        <f t="shared" si="2"/>
        <v>845-848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t="s">
        <v>484</v>
      </c>
      <c r="D22" s="102" t="s">
        <v>778</v>
      </c>
      <c r="E22" s="32">
        <v>4</v>
      </c>
      <c r="F22" s="32" t="s">
        <v>488</v>
      </c>
      <c r="G22" s="68" t="s">
        <v>277</v>
      </c>
      <c r="H22" s="69">
        <f t="shared" si="9"/>
        <v>841</v>
      </c>
      <c r="I22" s="70">
        <f t="shared" si="10"/>
        <v>844</v>
      </c>
      <c r="J22" s="73" t="str">
        <f t="shared" si="11"/>
        <v>--</v>
      </c>
      <c r="K22" s="32"/>
      <c r="L22" s="232"/>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0</v>
      </c>
      <c r="AE22" s="109" t="str">
        <f t="shared" si="2"/>
        <v>841-844</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t="s">
        <v>499</v>
      </c>
      <c r="D23" s="102"/>
      <c r="E23" s="32">
        <v>12</v>
      </c>
      <c r="F23" s="32"/>
      <c r="G23" s="68" t="s">
        <v>277</v>
      </c>
      <c r="H23" s="69">
        <f t="shared" si="9"/>
        <v>829</v>
      </c>
      <c r="I23" s="70">
        <f t="shared" si="10"/>
        <v>840</v>
      </c>
      <c r="J23" s="73" t="str">
        <f t="shared" si="11"/>
        <v>--</v>
      </c>
      <c r="K23" s="32"/>
      <c r="L23" s="232"/>
      <c r="M23" s="277" t="s">
        <v>404</v>
      </c>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829-840</v>
      </c>
      <c r="AF23" s="109" t="str">
        <f t="shared" si="3"/>
        <v>Y</v>
      </c>
      <c r="AG23" s="109" t="str">
        <f t="shared" si="4"/>
        <v>B</v>
      </c>
      <c r="AM23" s="109">
        <f t="shared" si="5"/>
        <v>0.5</v>
      </c>
      <c r="AN23" s="109">
        <f t="shared" si="6"/>
        <v>0.5</v>
      </c>
      <c r="AO23" s="109" t="str">
        <f t="shared" si="7"/>
        <v/>
      </c>
      <c r="AQ23" s="109" t="str">
        <f t="shared" si="8"/>
        <v/>
      </c>
      <c r="BA23" s="228">
        <f>MOD(SUM(E17:E24),12)</f>
        <v>0</v>
      </c>
    </row>
    <row r="24" spans="1:53" ht="15.75" thickBot="1" x14ac:dyDescent="0.3">
      <c r="A24" s="88"/>
      <c r="B24" s="66" t="s">
        <v>285</v>
      </c>
      <c r="C24" s="67" t="s">
        <v>499</v>
      </c>
      <c r="D24" s="102"/>
      <c r="E24" s="32">
        <v>12</v>
      </c>
      <c r="F24" s="32"/>
      <c r="G24" s="68" t="s">
        <v>277</v>
      </c>
      <c r="H24" s="69">
        <f t="shared" si="9"/>
        <v>817</v>
      </c>
      <c r="I24" s="70">
        <f t="shared" si="10"/>
        <v>828</v>
      </c>
      <c r="J24" s="73" t="str">
        <f t="shared" si="11"/>
        <v>--</v>
      </c>
      <c r="K24" s="32"/>
      <c r="L24" s="232"/>
      <c r="M24" s="277" t="s">
        <v>404</v>
      </c>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817-828</v>
      </c>
      <c r="AF24" s="109" t="str">
        <f t="shared" si="3"/>
        <v>Y</v>
      </c>
      <c r="AG24" s="109" t="str">
        <f t="shared" si="4"/>
        <v>B</v>
      </c>
      <c r="AM24" s="109">
        <f t="shared" si="5"/>
        <v>0.5</v>
      </c>
      <c r="AN24" s="109">
        <f t="shared" si="6"/>
        <v>0.5</v>
      </c>
      <c r="AO24" s="109" t="str">
        <f t="shared" si="7"/>
        <v/>
      </c>
      <c r="AQ24" s="109" t="str">
        <f t="shared" si="8"/>
        <v/>
      </c>
      <c r="BA24" s="228">
        <f>MOD(SUM(E17:E25),12)</f>
        <v>4</v>
      </c>
    </row>
    <row r="25" spans="1:53" ht="15.75" thickBot="1" x14ac:dyDescent="0.3">
      <c r="A25" s="88"/>
      <c r="B25" s="66" t="s">
        <v>286</v>
      </c>
      <c r="C25" s="67" t="s">
        <v>484</v>
      </c>
      <c r="D25" s="102" t="s">
        <v>779</v>
      </c>
      <c r="E25" s="32">
        <v>4</v>
      </c>
      <c r="F25" s="32" t="s">
        <v>488</v>
      </c>
      <c r="G25" s="68" t="s">
        <v>277</v>
      </c>
      <c r="H25" s="69">
        <f t="shared" si="9"/>
        <v>813</v>
      </c>
      <c r="I25" s="70">
        <f t="shared" si="10"/>
        <v>816</v>
      </c>
      <c r="J25" s="73" t="str">
        <f t="shared" si="11"/>
        <v>--</v>
      </c>
      <c r="K25" s="32"/>
      <c r="L25" s="232"/>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0</v>
      </c>
      <c r="AE25" s="109" t="str">
        <f t="shared" si="2"/>
        <v>813-816</v>
      </c>
      <c r="AF25" s="109" t="str">
        <f t="shared" si="3"/>
        <v>Y</v>
      </c>
      <c r="AG25" s="109" t="str">
        <f t="shared" si="4"/>
        <v>B</v>
      </c>
      <c r="AM25" s="109">
        <f t="shared" si="5"/>
        <v>0</v>
      </c>
      <c r="AN25" s="109">
        <f t="shared" si="6"/>
        <v>0</v>
      </c>
      <c r="AO25" s="109" t="str">
        <f t="shared" si="7"/>
        <v/>
      </c>
      <c r="AQ25" s="109" t="str">
        <f t="shared" si="8"/>
        <v/>
      </c>
      <c r="BA25" s="228">
        <f>MOD(SUM(E17:E26),12)</f>
        <v>8</v>
      </c>
    </row>
    <row r="26" spans="1:53" ht="15.75" thickBot="1" x14ac:dyDescent="0.3">
      <c r="A26" s="88"/>
      <c r="B26" s="66" t="s">
        <v>287</v>
      </c>
      <c r="C26" s="67" t="s">
        <v>484</v>
      </c>
      <c r="D26" s="102" t="s">
        <v>735</v>
      </c>
      <c r="E26" s="32">
        <v>4</v>
      </c>
      <c r="F26" s="32" t="s">
        <v>488</v>
      </c>
      <c r="G26" s="68" t="s">
        <v>277</v>
      </c>
      <c r="H26" s="69">
        <f t="shared" si="9"/>
        <v>809</v>
      </c>
      <c r="I26" s="70">
        <f t="shared" si="10"/>
        <v>812</v>
      </c>
      <c r="J26" s="73" t="str">
        <f t="shared" si="11"/>
        <v>--</v>
      </c>
      <c r="K26" s="32"/>
      <c r="L26" s="232"/>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0</v>
      </c>
      <c r="AE26" s="109" t="str">
        <f t="shared" si="2"/>
        <v>809-812</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t="s">
        <v>484</v>
      </c>
      <c r="D27" s="102" t="s">
        <v>808</v>
      </c>
      <c r="E27" s="32">
        <v>4</v>
      </c>
      <c r="F27" s="32" t="s">
        <v>488</v>
      </c>
      <c r="G27" s="68" t="s">
        <v>277</v>
      </c>
      <c r="H27" s="69">
        <f t="shared" si="9"/>
        <v>805</v>
      </c>
      <c r="I27" s="70">
        <f t="shared" si="10"/>
        <v>808</v>
      </c>
      <c r="J27" s="73" t="str">
        <f t="shared" si="11"/>
        <v>--</v>
      </c>
      <c r="K27" s="32"/>
      <c r="L27" s="232"/>
      <c r="M27" s="277"/>
      <c r="N27" s="277"/>
      <c r="O27" s="277"/>
      <c r="P27" s="277"/>
      <c r="Q27" s="277"/>
      <c r="R27" s="277"/>
      <c r="S27" s="277"/>
      <c r="T27" s="277"/>
      <c r="U27" s="278"/>
      <c r="V27" s="103"/>
      <c r="W27" s="84"/>
      <c r="X27" s="84"/>
      <c r="Y27" s="72"/>
      <c r="Z27" s="72"/>
      <c r="AA27" s="72"/>
      <c r="AB27" s="72"/>
      <c r="AC27" s="72">
        <f t="shared" si="0"/>
        <v>1</v>
      </c>
      <c r="AD27" s="72">
        <f t="shared" si="1"/>
        <v>0</v>
      </c>
      <c r="AE27" s="109" t="str">
        <f t="shared" si="2"/>
        <v>805-808</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t="s">
        <v>502</v>
      </c>
      <c r="D28" s="102"/>
      <c r="E28" s="32">
        <v>24</v>
      </c>
      <c r="F28" s="32"/>
      <c r="G28" s="68" t="s">
        <v>277</v>
      </c>
      <c r="H28" s="69">
        <f t="shared" si="9"/>
        <v>781</v>
      </c>
      <c r="I28" s="70">
        <f t="shared" si="10"/>
        <v>804</v>
      </c>
      <c r="J28" s="73" t="str">
        <f t="shared" si="11"/>
        <v>--</v>
      </c>
      <c r="K28" s="32"/>
      <c r="L28" s="232"/>
      <c r="M28" s="277" t="s">
        <v>405</v>
      </c>
      <c r="N28" s="277"/>
      <c r="O28" s="277"/>
      <c r="P28" s="277"/>
      <c r="Q28" s="277"/>
      <c r="R28" s="277"/>
      <c r="S28" s="277"/>
      <c r="T28" s="277"/>
      <c r="U28" s="278"/>
      <c r="V28" s="103"/>
      <c r="W28" s="84">
        <f>Y28+1</f>
        <v>85</v>
      </c>
      <c r="X28" s="84"/>
      <c r="Y28" s="78">
        <f>SUM(E17:E28)</f>
        <v>84</v>
      </c>
      <c r="Z28" s="72"/>
      <c r="AA28" s="72"/>
      <c r="AB28" s="72"/>
      <c r="AC28" s="72">
        <f t="shared" si="0"/>
        <v>1</v>
      </c>
      <c r="AD28" s="72">
        <f t="shared" si="1"/>
        <v>1</v>
      </c>
      <c r="AE28" s="109" t="str">
        <f t="shared" si="2"/>
        <v>781-804</v>
      </c>
      <c r="AF28" s="109" t="str">
        <f t="shared" si="3"/>
        <v>N</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t="s">
        <v>502</v>
      </c>
      <c r="D29" s="102"/>
      <c r="E29" s="32">
        <v>72</v>
      </c>
      <c r="F29" s="32"/>
      <c r="G29" s="68" t="s">
        <v>277</v>
      </c>
      <c r="H29" s="69">
        <f t="shared" si="9"/>
        <v>709</v>
      </c>
      <c r="I29" s="70">
        <f t="shared" si="10"/>
        <v>780</v>
      </c>
      <c r="J29" s="73" t="str">
        <f t="shared" si="11"/>
        <v>--</v>
      </c>
      <c r="K29" s="32"/>
      <c r="L29" s="232"/>
      <c r="M29" s="277" t="s">
        <v>406</v>
      </c>
      <c r="N29" s="277"/>
      <c r="O29" s="277"/>
      <c r="P29" s="277"/>
      <c r="Q29" s="277"/>
      <c r="R29" s="277"/>
      <c r="S29" s="277"/>
      <c r="T29" s="277"/>
      <c r="U29" s="278"/>
      <c r="V29" s="103"/>
      <c r="W29" s="84">
        <f>Y29+1</f>
        <v>157</v>
      </c>
      <c r="X29" s="84"/>
      <c r="Y29" s="78">
        <f>SUM(E17:E29)</f>
        <v>156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709-780</v>
      </c>
      <c r="AF29" s="109" t="str">
        <f t="shared" si="3"/>
        <v>N</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77"/>
      <c r="N30" s="277"/>
      <c r="O30" s="277"/>
      <c r="P30" s="277"/>
      <c r="Q30" s="277"/>
      <c r="R30" s="277"/>
      <c r="S30" s="277"/>
      <c r="T30" s="277"/>
      <c r="U30" s="278"/>
      <c r="V30" s="103"/>
      <c r="W30" s="84">
        <f>Y30+1</f>
        <v>157</v>
      </c>
      <c r="X30" s="84"/>
      <c r="Y30" s="78">
        <f>SUM(E17:E30)</f>
        <v>156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77"/>
      <c r="N31" s="277"/>
      <c r="O31" s="277"/>
      <c r="P31" s="277"/>
      <c r="Q31" s="277"/>
      <c r="R31" s="277"/>
      <c r="S31" s="277"/>
      <c r="T31" s="277"/>
      <c r="U31" s="278"/>
      <c r="V31" s="103"/>
      <c r="W31" s="84">
        <f>Y31+1</f>
        <v>157</v>
      </c>
      <c r="X31" s="84"/>
      <c r="Y31" s="78">
        <f>SUM(E17:E31)</f>
        <v>156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77"/>
      <c r="N32" s="277"/>
      <c r="O32" s="277"/>
      <c r="P32" s="277"/>
      <c r="Q32" s="277"/>
      <c r="R32" s="277"/>
      <c r="S32" s="277"/>
      <c r="T32" s="277"/>
      <c r="U32" s="278"/>
      <c r="V32" s="103"/>
      <c r="W32" s="84">
        <f t="shared" ref="W32:W40" si="16">Y32+1</f>
        <v>157</v>
      </c>
      <c r="X32" s="84"/>
      <c r="Y32" s="78">
        <f>SUM(E17:E32)</f>
        <v>156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77"/>
      <c r="N33" s="277"/>
      <c r="O33" s="277"/>
      <c r="P33" s="277"/>
      <c r="Q33" s="277"/>
      <c r="R33" s="277"/>
      <c r="S33" s="277"/>
      <c r="T33" s="277"/>
      <c r="U33" s="278"/>
      <c r="V33" s="103"/>
      <c r="W33" s="84">
        <f t="shared" si="16"/>
        <v>157</v>
      </c>
      <c r="X33" s="84"/>
      <c r="Y33" s="78">
        <f>SUM(E17:E33)</f>
        <v>156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77"/>
      <c r="N34" s="277"/>
      <c r="O34" s="277"/>
      <c r="P34" s="277"/>
      <c r="Q34" s="277"/>
      <c r="R34" s="277"/>
      <c r="S34" s="277"/>
      <c r="T34" s="277"/>
      <c r="U34" s="278"/>
      <c r="V34" s="103"/>
      <c r="W34" s="84">
        <f t="shared" si="16"/>
        <v>157</v>
      </c>
      <c r="X34" s="84"/>
      <c r="Y34" s="78">
        <f>SUM(E17:E34)</f>
        <v>156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77"/>
      <c r="N35" s="277"/>
      <c r="O35" s="277"/>
      <c r="P35" s="277"/>
      <c r="Q35" s="277"/>
      <c r="R35" s="277"/>
      <c r="S35" s="277"/>
      <c r="T35" s="277"/>
      <c r="U35" s="278"/>
      <c r="V35" s="103"/>
      <c r="W35" s="84">
        <f t="shared" si="16"/>
        <v>157</v>
      </c>
      <c r="X35" s="84"/>
      <c r="Y35" s="78">
        <f>SUM(E17:E35)</f>
        <v>156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77"/>
      <c r="N36" s="277"/>
      <c r="O36" s="277"/>
      <c r="P36" s="277"/>
      <c r="Q36" s="277"/>
      <c r="R36" s="277"/>
      <c r="S36" s="277"/>
      <c r="T36" s="277"/>
      <c r="U36" s="278"/>
      <c r="V36" s="103"/>
      <c r="W36" s="84">
        <f t="shared" si="16"/>
        <v>157</v>
      </c>
      <c r="X36" s="84"/>
      <c r="Y36" s="78">
        <f>SUM(E17:E36)</f>
        <v>156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77"/>
      <c r="N37" s="277"/>
      <c r="O37" s="277"/>
      <c r="P37" s="277"/>
      <c r="Q37" s="277"/>
      <c r="R37" s="277"/>
      <c r="S37" s="277"/>
      <c r="T37" s="277"/>
      <c r="U37" s="278"/>
      <c r="V37" s="103"/>
      <c r="W37" s="84">
        <f t="shared" si="16"/>
        <v>157</v>
      </c>
      <c r="X37" s="84"/>
      <c r="Y37" s="78">
        <f>SUM(E17:E37)</f>
        <v>156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77"/>
      <c r="N38" s="277"/>
      <c r="O38" s="277"/>
      <c r="P38" s="277"/>
      <c r="Q38" s="277"/>
      <c r="R38" s="277"/>
      <c r="S38" s="277"/>
      <c r="T38" s="277"/>
      <c r="U38" s="278"/>
      <c r="V38" s="103"/>
      <c r="W38" s="84">
        <f t="shared" si="16"/>
        <v>157</v>
      </c>
      <c r="X38" s="84"/>
      <c r="Y38" s="78">
        <f>SUM(E17:E38)</f>
        <v>156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77"/>
      <c r="N39" s="277"/>
      <c r="O39" s="277"/>
      <c r="P39" s="277"/>
      <c r="Q39" s="277"/>
      <c r="R39" s="277"/>
      <c r="S39" s="277"/>
      <c r="T39" s="277"/>
      <c r="U39" s="278"/>
      <c r="V39" s="103"/>
      <c r="W39" s="84">
        <f t="shared" si="16"/>
        <v>157</v>
      </c>
      <c r="X39" s="84"/>
      <c r="Y39" s="78">
        <f>SUM(E17:E39)</f>
        <v>156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77"/>
      <c r="N40" s="277"/>
      <c r="O40" s="277"/>
      <c r="P40" s="277"/>
      <c r="Q40" s="277"/>
      <c r="R40" s="277"/>
      <c r="S40" s="277"/>
      <c r="T40" s="277"/>
      <c r="U40" s="278"/>
      <c r="V40" s="103"/>
      <c r="W40" s="84">
        <f t="shared" si="16"/>
        <v>157</v>
      </c>
      <c r="X40" s="84"/>
      <c r="Y40" s="78">
        <f>SUM(E17:E40)</f>
        <v>156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77"/>
      <c r="N41" s="277"/>
      <c r="O41" s="277"/>
      <c r="P41" s="277"/>
      <c r="Q41" s="277"/>
      <c r="R41" s="277"/>
      <c r="S41" s="277"/>
      <c r="T41" s="277"/>
      <c r="U41" s="278"/>
      <c r="V41" s="103"/>
      <c r="W41" s="72"/>
      <c r="X41" s="72"/>
      <c r="Y41" s="78">
        <f>SUM(E17:E41)</f>
        <v>156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318" t="s">
        <v>303</v>
      </c>
      <c r="C42" s="319"/>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16</v>
      </c>
      <c r="AM42" s="109">
        <f>SUM(AM17:AM41)</f>
        <v>1</v>
      </c>
      <c r="AN42" s="109">
        <f>SUM(AN17:AN41)</f>
        <v>1</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311" t="s">
        <v>222</v>
      </c>
      <c r="C47" s="312"/>
      <c r="D47" s="313" t="s">
        <v>223</v>
      </c>
      <c r="E47" s="304"/>
      <c r="F47" s="88"/>
      <c r="G47" s="314" t="s">
        <v>224</v>
      </c>
      <c r="H47" s="315"/>
      <c r="I47" s="28">
        <f>SUM(E58:E82)</f>
        <v>24</v>
      </c>
      <c r="J47" s="316" t="s">
        <v>225</v>
      </c>
      <c r="K47" s="317"/>
      <c r="L47" s="304"/>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5"/>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0</v>
      </c>
      <c r="J48" s="288" t="s">
        <v>231</v>
      </c>
      <c r="K48" s="289"/>
      <c r="L48" s="34">
        <f>I52</f>
        <v>817</v>
      </c>
      <c r="M48" s="195">
        <v>4</v>
      </c>
      <c r="N48" s="35">
        <f>SUM(AI48,AI59)</f>
        <v>0</v>
      </c>
      <c r="O48" s="35">
        <v>0</v>
      </c>
      <c r="P48" s="35">
        <f>SUM(AJ48,AJ59)</f>
        <v>0</v>
      </c>
      <c r="Q48" s="35">
        <v>0</v>
      </c>
      <c r="R48" s="35">
        <f>COUNTIFS($E58:$E82,"4",$F58:$F82,"Pole",$C58:$C82,"FST")</f>
        <v>0</v>
      </c>
      <c r="S48" s="35">
        <f>SUM(AL48,AK59)</f>
        <v>0</v>
      </c>
      <c r="T48" s="35">
        <v>0</v>
      </c>
      <c r="U48" s="35">
        <f>SUM(AK48,AL59)</f>
        <v>4</v>
      </c>
      <c r="V48" s="35">
        <v>0</v>
      </c>
      <c r="W48" s="34">
        <f>COUNTIFS($E58:$E82,"4",$F58:$F82,"HH",$C58:$C82,"FST")</f>
        <v>4</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4</v>
      </c>
      <c r="AL48" s="109" t="str">
        <f>IF($E48="RPX-T",COUNTIFS($C58:$C82,"FST",$E58:$E82,"4"),"0")</f>
        <v>0</v>
      </c>
      <c r="AS48" s="109" t="str">
        <f>IF(AND(E53="Y",E49=24,E50=0),"Y","N")</f>
        <v>Y</v>
      </c>
      <c r="AT48" s="110" t="s">
        <v>234</v>
      </c>
      <c r="AU48" s="109">
        <f>COUNTIFS($E48,"SS",$AS48,"Y")</f>
        <v>0</v>
      </c>
      <c r="AV48" s="111">
        <f>COUNTIFS($E48,"RPX",$AS48,"Y")</f>
        <v>0</v>
      </c>
      <c r="AW48" s="111">
        <f>COUNTIFS($E48,"EUC",$AS48,"Y")</f>
        <v>1</v>
      </c>
      <c r="AX48" s="109">
        <f>COUNTIFS($E48,"RPX-T",$AS48,"Y")</f>
        <v>0</v>
      </c>
      <c r="BA48" s="226"/>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816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1014</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817</v>
      </c>
      <c r="F51" s="88"/>
      <c r="G51" s="321"/>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2</v>
      </c>
      <c r="F52" s="88"/>
      <c r="G52" s="320" t="s">
        <v>251</v>
      </c>
      <c r="H52" s="51" t="s">
        <v>252</v>
      </c>
      <c r="I52" s="112">
        <f>E51</f>
        <v>817</v>
      </c>
      <c r="J52" s="322" t="s">
        <v>253</v>
      </c>
      <c r="K52" s="323"/>
      <c r="L52" s="324"/>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Y</v>
      </c>
      <c r="F53" s="88"/>
      <c r="G53" s="321"/>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24</v>
      </c>
      <c r="D54" s="31" t="s">
        <v>259</v>
      </c>
      <c r="E54" s="101" t="str">
        <f>IF(AS48="Y","DBL",IF(AS49="Y","TRPL",IF(AS50="Y","QUAD","")))</f>
        <v>DBL</v>
      </c>
      <c r="F54" s="88"/>
      <c r="G54" s="191"/>
      <c r="H54" s="57"/>
      <c r="I54" s="191"/>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5"/>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7"/>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780</v>
      </c>
      <c r="E58" s="32">
        <v>4</v>
      </c>
      <c r="F58" s="32" t="s">
        <v>488</v>
      </c>
      <c r="G58" s="68" t="s">
        <v>277</v>
      </c>
      <c r="H58" s="69">
        <f>IF(I58=0,0,I58-(E58-1))</f>
        <v>837</v>
      </c>
      <c r="I58" s="70">
        <f>IF(E58=0,0,I53)</f>
        <v>840</v>
      </c>
      <c r="J58" s="71" t="s">
        <v>278</v>
      </c>
      <c r="K58" s="32"/>
      <c r="L58" s="232"/>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736</v>
      </c>
      <c r="E59" s="32">
        <v>4</v>
      </c>
      <c r="F59" s="32" t="s">
        <v>488</v>
      </c>
      <c r="G59" s="68" t="s">
        <v>277</v>
      </c>
      <c r="H59" s="69">
        <f t="shared" ref="H59:H82" si="26">IF(E59=0,0,I59-(E59-1))</f>
        <v>833</v>
      </c>
      <c r="I59" s="70">
        <f t="shared" ref="I59:I82" si="27">IF(E59=0,0,H58-1)</f>
        <v>836</v>
      </c>
      <c r="J59" s="73" t="str">
        <f>IF(C59="","--",IF(AND(C59&lt;&gt;"FST",C59&lt;&gt;"TCF",BA58&lt;&gt;0),BA58,"--"))</f>
        <v>--</v>
      </c>
      <c r="K59" s="32"/>
      <c r="L59" s="232"/>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737</v>
      </c>
      <c r="E60" s="32">
        <v>8</v>
      </c>
      <c r="F60" s="32" t="s">
        <v>488</v>
      </c>
      <c r="G60" s="75" t="s">
        <v>277</v>
      </c>
      <c r="H60" s="69">
        <f t="shared" si="26"/>
        <v>825</v>
      </c>
      <c r="I60" s="70">
        <f t="shared" si="27"/>
        <v>832</v>
      </c>
      <c r="J60" s="73" t="str">
        <f t="shared" ref="J60:J82" si="28">IF(C60="","--",IF(AND(C60&lt;&gt;"FST",C60&lt;&gt;"TCF",BA59&lt;&gt;0),BA59,"--"))</f>
        <v>--</v>
      </c>
      <c r="K60" s="32"/>
      <c r="L60" s="232"/>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825-832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8</v>
      </c>
    </row>
    <row r="61" spans="1:53" ht="15.75" thickBot="1" x14ac:dyDescent="0.3">
      <c r="A61" s="88"/>
      <c r="B61" s="66" t="s">
        <v>281</v>
      </c>
      <c r="C61" s="67" t="s">
        <v>484</v>
      </c>
      <c r="D61" s="102" t="s">
        <v>738</v>
      </c>
      <c r="E61" s="32">
        <v>4</v>
      </c>
      <c r="F61" s="32" t="s">
        <v>488</v>
      </c>
      <c r="G61" s="68" t="s">
        <v>277</v>
      </c>
      <c r="H61" s="69">
        <f t="shared" si="26"/>
        <v>821</v>
      </c>
      <c r="I61" s="70">
        <f t="shared" si="27"/>
        <v>824</v>
      </c>
      <c r="J61" s="73" t="str">
        <f t="shared" si="28"/>
        <v>--</v>
      </c>
      <c r="K61" s="32"/>
      <c r="L61" s="232"/>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821-824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t="s">
        <v>484</v>
      </c>
      <c r="D62" s="102" t="s">
        <v>809</v>
      </c>
      <c r="E62" s="32">
        <v>4</v>
      </c>
      <c r="F62" s="32" t="s">
        <v>488</v>
      </c>
      <c r="G62" s="68" t="s">
        <v>277</v>
      </c>
      <c r="H62" s="69">
        <f t="shared" si="26"/>
        <v>817</v>
      </c>
      <c r="I62" s="70">
        <f t="shared" si="27"/>
        <v>820</v>
      </c>
      <c r="J62" s="73" t="str">
        <f t="shared" si="28"/>
        <v>--</v>
      </c>
      <c r="K62" s="32"/>
      <c r="L62" s="232"/>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817-820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2"/>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77"/>
      <c r="N69" s="277"/>
      <c r="O69" s="277"/>
      <c r="P69" s="277"/>
      <c r="Q69" s="277"/>
      <c r="R69" s="277"/>
      <c r="S69" s="277"/>
      <c r="T69" s="277"/>
      <c r="U69" s="27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77"/>
      <c r="N70" s="277"/>
      <c r="O70" s="277"/>
      <c r="P70" s="277"/>
      <c r="Q70" s="277"/>
      <c r="R70" s="277"/>
      <c r="S70" s="277"/>
      <c r="T70" s="277"/>
      <c r="U70" s="27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77"/>
      <c r="N71" s="277"/>
      <c r="O71" s="277"/>
      <c r="P71" s="277"/>
      <c r="Q71" s="277"/>
      <c r="R71" s="277"/>
      <c r="S71" s="277"/>
      <c r="T71" s="277"/>
      <c r="U71" s="27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77"/>
      <c r="N72" s="277"/>
      <c r="O72" s="277"/>
      <c r="P72" s="277"/>
      <c r="Q72" s="277"/>
      <c r="R72" s="277"/>
      <c r="S72" s="277"/>
      <c r="T72" s="277"/>
      <c r="U72" s="27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77"/>
      <c r="N73" s="277"/>
      <c r="O73" s="277"/>
      <c r="P73" s="277"/>
      <c r="Q73" s="277"/>
      <c r="R73" s="277"/>
      <c r="S73" s="277"/>
      <c r="T73" s="277"/>
      <c r="U73" s="27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77"/>
      <c r="N74" s="277"/>
      <c r="O74" s="277"/>
      <c r="P74" s="277"/>
      <c r="Q74" s="277"/>
      <c r="R74" s="277"/>
      <c r="S74" s="277"/>
      <c r="T74" s="277"/>
      <c r="U74" s="27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77"/>
      <c r="N75" s="277"/>
      <c r="O75" s="277"/>
      <c r="P75" s="277"/>
      <c r="Q75" s="277"/>
      <c r="R75" s="277"/>
      <c r="S75" s="277"/>
      <c r="T75" s="277"/>
      <c r="U75" s="27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77"/>
      <c r="N76" s="277"/>
      <c r="O76" s="277"/>
      <c r="P76" s="277"/>
      <c r="Q76" s="277"/>
      <c r="R76" s="277"/>
      <c r="S76" s="277"/>
      <c r="T76" s="277"/>
      <c r="U76" s="27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77"/>
      <c r="N77" s="277"/>
      <c r="O77" s="277"/>
      <c r="P77" s="277"/>
      <c r="Q77" s="277"/>
      <c r="R77" s="277"/>
      <c r="S77" s="277"/>
      <c r="T77" s="277"/>
      <c r="U77" s="27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77"/>
      <c r="N78" s="277"/>
      <c r="O78" s="277"/>
      <c r="P78" s="277"/>
      <c r="Q78" s="277"/>
      <c r="R78" s="277"/>
      <c r="S78" s="277"/>
      <c r="T78" s="277"/>
      <c r="U78" s="27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77"/>
      <c r="N79" s="277"/>
      <c r="O79" s="277"/>
      <c r="P79" s="277"/>
      <c r="Q79" s="277"/>
      <c r="R79" s="277"/>
      <c r="S79" s="277"/>
      <c r="T79" s="277"/>
      <c r="U79" s="27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77"/>
      <c r="N80" s="277"/>
      <c r="O80" s="277"/>
      <c r="P80" s="277"/>
      <c r="Q80" s="277"/>
      <c r="R80" s="277"/>
      <c r="S80" s="277"/>
      <c r="T80" s="277"/>
      <c r="U80" s="27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77"/>
      <c r="N81" s="277"/>
      <c r="O81" s="277"/>
      <c r="P81" s="277"/>
      <c r="Q81" s="277"/>
      <c r="R81" s="277"/>
      <c r="S81" s="277"/>
      <c r="T81" s="277"/>
      <c r="U81" s="27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77"/>
      <c r="N82" s="277"/>
      <c r="O82" s="277"/>
      <c r="P82" s="277"/>
      <c r="Q82" s="277"/>
      <c r="R82" s="277"/>
      <c r="S82" s="277"/>
      <c r="T82" s="277"/>
      <c r="U82" s="27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318" t="s">
        <v>305</v>
      </c>
      <c r="C83" s="319"/>
      <c r="D83" s="79"/>
      <c r="E83" s="80"/>
      <c r="F83" s="80"/>
      <c r="G83" s="81"/>
      <c r="H83" s="191"/>
      <c r="I83" s="191"/>
      <c r="J83" s="191"/>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311" t="s">
        <v>222</v>
      </c>
      <c r="C88" s="312"/>
      <c r="D88" s="313" t="s">
        <v>223</v>
      </c>
      <c r="E88" s="304"/>
      <c r="F88" s="88"/>
      <c r="G88" s="314" t="s">
        <v>224</v>
      </c>
      <c r="H88" s="315"/>
      <c r="I88" s="28">
        <f>SUM(E99:E123)</f>
        <v>24</v>
      </c>
      <c r="J88" s="316" t="s">
        <v>225</v>
      </c>
      <c r="K88" s="317"/>
      <c r="L88" s="304"/>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0</v>
      </c>
      <c r="J89" s="288" t="s">
        <v>231</v>
      </c>
      <c r="K89" s="289"/>
      <c r="L89" s="34">
        <f>I93</f>
        <v>781</v>
      </c>
      <c r="M89" s="195">
        <v>4</v>
      </c>
      <c r="N89" s="35">
        <f>SUM(AI89,AI100)</f>
        <v>0</v>
      </c>
      <c r="O89" s="35">
        <v>0</v>
      </c>
      <c r="P89" s="35">
        <f>SUM(AJ89,AJ100)</f>
        <v>0</v>
      </c>
      <c r="Q89" s="35">
        <v>0</v>
      </c>
      <c r="R89" s="35">
        <f>COUNTIFS($E99:$E123,"4",$F99:$F123,"Pole",$C99:$C123,"FST")</f>
        <v>0</v>
      </c>
      <c r="S89" s="35">
        <f>SUM(AL89,AK100)</f>
        <v>0</v>
      </c>
      <c r="T89" s="35">
        <v>0</v>
      </c>
      <c r="U89" s="35">
        <f>SUM(AK89,AL100)</f>
        <v>6</v>
      </c>
      <c r="V89" s="35">
        <v>0</v>
      </c>
      <c r="W89" s="34">
        <f>COUNTIFS($E99:$E123,"4",$F99:$F123,"HH",$C99:$C123,"FST")</f>
        <v>6</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6</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24</v>
      </c>
      <c r="F90" s="88"/>
      <c r="G90" s="290" t="s">
        <v>237</v>
      </c>
      <c r="H90" s="291"/>
      <c r="I90" s="35">
        <f>IF(E90=0,0,12-(MOD(I88,12)))</f>
        <v>12</v>
      </c>
      <c r="J90" s="288" t="s">
        <v>238</v>
      </c>
      <c r="K90" s="289"/>
      <c r="L90" s="39">
        <f>I94-I88</f>
        <v>780</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320" t="s">
        <v>242</v>
      </c>
      <c r="H91" s="43" t="s">
        <v>243</v>
      </c>
      <c r="I91" s="35">
        <f>IF(E91&lt;&gt;0,1,0)</f>
        <v>0</v>
      </c>
      <c r="J91" s="290" t="s">
        <v>244</v>
      </c>
      <c r="K91" s="291"/>
      <c r="L91" s="44">
        <f>'Cable Calculator'!N3</f>
        <v>1500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781</v>
      </c>
      <c r="F92" s="88"/>
      <c r="G92" s="321"/>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2</v>
      </c>
      <c r="F93" s="88"/>
      <c r="G93" s="320" t="s">
        <v>251</v>
      </c>
      <c r="H93" s="51" t="s">
        <v>252</v>
      </c>
      <c r="I93" s="112">
        <f>E92</f>
        <v>781</v>
      </c>
      <c r="J93" s="322" t="s">
        <v>253</v>
      </c>
      <c r="K93" s="323"/>
      <c r="L93" s="324"/>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804</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24</v>
      </c>
      <c r="D95" s="31" t="s">
        <v>259</v>
      </c>
      <c r="E95" s="101" t="str">
        <f>IF(AS89="Y","DBL",IF(AS90="Y","TRPL",IF(AS91="Y","QUAD","")))</f>
        <v/>
      </c>
      <c r="F95" s="88"/>
      <c r="G95" s="191"/>
      <c r="H95" s="57"/>
      <c r="I95" s="191"/>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5"/>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7"/>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810</v>
      </c>
      <c r="E99" s="32">
        <v>4</v>
      </c>
      <c r="F99" s="32" t="s">
        <v>488</v>
      </c>
      <c r="G99" s="68" t="s">
        <v>277</v>
      </c>
      <c r="H99" s="69">
        <f>IF(I99=0,0,I99-(E99-1))</f>
        <v>801</v>
      </c>
      <c r="I99" s="70">
        <f>IF(E99=0,0,I94)</f>
        <v>804</v>
      </c>
      <c r="J99" s="71" t="s">
        <v>278</v>
      </c>
      <c r="K99" s="32"/>
      <c r="L99" s="232"/>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739</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2"/>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740</v>
      </c>
      <c r="E101" s="32">
        <v>4</v>
      </c>
      <c r="F101" s="32" t="s">
        <v>488</v>
      </c>
      <c r="G101" s="75" t="s">
        <v>277</v>
      </c>
      <c r="H101" s="69">
        <f t="shared" si="43"/>
        <v>793</v>
      </c>
      <c r="I101" s="70">
        <f t="shared" si="44"/>
        <v>796</v>
      </c>
      <c r="J101" s="73" t="str">
        <f t="shared" ref="J101:J123" si="45">IF(C101="","--",IF(AND(C101&lt;&gt;"FST",C101&lt;&gt;"TCF",BA100&lt;&gt;0),BA100,"--"))</f>
        <v>--</v>
      </c>
      <c r="K101" s="32"/>
      <c r="L101" s="232"/>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741</v>
      </c>
      <c r="E102" s="32">
        <v>4</v>
      </c>
      <c r="F102" s="32" t="s">
        <v>488</v>
      </c>
      <c r="G102" s="68" t="s">
        <v>277</v>
      </c>
      <c r="H102" s="69">
        <f t="shared" si="43"/>
        <v>789</v>
      </c>
      <c r="I102" s="70">
        <f t="shared" si="44"/>
        <v>792</v>
      </c>
      <c r="J102" s="73" t="str">
        <f t="shared" si="45"/>
        <v>--</v>
      </c>
      <c r="K102" s="32"/>
      <c r="L102" s="232"/>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789-792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742</v>
      </c>
      <c r="E103" s="32">
        <v>4</v>
      </c>
      <c r="F103" s="32" t="s">
        <v>488</v>
      </c>
      <c r="G103" s="68" t="s">
        <v>277</v>
      </c>
      <c r="H103" s="69">
        <f t="shared" si="43"/>
        <v>785</v>
      </c>
      <c r="I103" s="70">
        <f t="shared" si="44"/>
        <v>788</v>
      </c>
      <c r="J103" s="73" t="str">
        <f t="shared" si="45"/>
        <v>--</v>
      </c>
      <c r="K103" s="32"/>
      <c r="L103" s="232"/>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785-788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801</v>
      </c>
      <c r="E104" s="32">
        <v>4</v>
      </c>
      <c r="F104" s="32" t="s">
        <v>488</v>
      </c>
      <c r="G104" s="68" t="s">
        <v>277</v>
      </c>
      <c r="H104" s="69">
        <f t="shared" si="43"/>
        <v>781</v>
      </c>
      <c r="I104" s="70">
        <f t="shared" si="44"/>
        <v>784</v>
      </c>
      <c r="J104" s="73" t="str">
        <f t="shared" si="45"/>
        <v>--</v>
      </c>
      <c r="K104" s="32"/>
      <c r="L104" s="232"/>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781-784</v>
      </c>
      <c r="AF104" s="109" t="str">
        <f t="shared" si="37"/>
        <v>Y</v>
      </c>
      <c r="AG104" s="109" t="str">
        <f t="shared" si="38"/>
        <v>B</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77"/>
      <c r="N110" s="277"/>
      <c r="O110" s="277"/>
      <c r="P110" s="277"/>
      <c r="Q110" s="277"/>
      <c r="R110" s="277"/>
      <c r="S110" s="277"/>
      <c r="T110" s="277"/>
      <c r="U110" s="278"/>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77"/>
      <c r="N111" s="277"/>
      <c r="O111" s="277"/>
      <c r="P111" s="277"/>
      <c r="Q111" s="277"/>
      <c r="R111" s="277"/>
      <c r="S111" s="277"/>
      <c r="T111" s="277"/>
      <c r="U111" s="278"/>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77"/>
      <c r="N112" s="277"/>
      <c r="O112" s="277"/>
      <c r="P112" s="277"/>
      <c r="Q112" s="277"/>
      <c r="R112" s="277"/>
      <c r="S112" s="277"/>
      <c r="T112" s="277"/>
      <c r="U112" s="278"/>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77"/>
      <c r="N113" s="277"/>
      <c r="O113" s="277"/>
      <c r="P113" s="277"/>
      <c r="Q113" s="277"/>
      <c r="R113" s="277"/>
      <c r="S113" s="277"/>
      <c r="T113" s="277"/>
      <c r="U113" s="278"/>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77"/>
      <c r="N114" s="277"/>
      <c r="O114" s="277"/>
      <c r="P114" s="277"/>
      <c r="Q114" s="277"/>
      <c r="R114" s="277"/>
      <c r="S114" s="277"/>
      <c r="T114" s="277"/>
      <c r="U114" s="278"/>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77"/>
      <c r="N115" s="277"/>
      <c r="O115" s="277"/>
      <c r="P115" s="277"/>
      <c r="Q115" s="277"/>
      <c r="R115" s="277"/>
      <c r="S115" s="277"/>
      <c r="T115" s="277"/>
      <c r="U115" s="278"/>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77"/>
      <c r="N116" s="277"/>
      <c r="O116" s="277"/>
      <c r="P116" s="277"/>
      <c r="Q116" s="277"/>
      <c r="R116" s="277"/>
      <c r="S116" s="277"/>
      <c r="T116" s="277"/>
      <c r="U116" s="278"/>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77"/>
      <c r="N117" s="277"/>
      <c r="O117" s="277"/>
      <c r="P117" s="277"/>
      <c r="Q117" s="277"/>
      <c r="R117" s="277"/>
      <c r="S117" s="277"/>
      <c r="T117" s="277"/>
      <c r="U117" s="278"/>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77"/>
      <c r="N118" s="277"/>
      <c r="O118" s="277"/>
      <c r="P118" s="277"/>
      <c r="Q118" s="277"/>
      <c r="R118" s="277"/>
      <c r="S118" s="277"/>
      <c r="T118" s="277"/>
      <c r="U118" s="278"/>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77"/>
      <c r="N119" s="277"/>
      <c r="O119" s="277"/>
      <c r="P119" s="277"/>
      <c r="Q119" s="277"/>
      <c r="R119" s="277"/>
      <c r="S119" s="277"/>
      <c r="T119" s="277"/>
      <c r="U119" s="278"/>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77"/>
      <c r="N120" s="277"/>
      <c r="O120" s="277"/>
      <c r="P120" s="277"/>
      <c r="Q120" s="277"/>
      <c r="R120" s="277"/>
      <c r="S120" s="277"/>
      <c r="T120" s="277"/>
      <c r="U120" s="278"/>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77"/>
      <c r="N121" s="277"/>
      <c r="O121" s="277"/>
      <c r="P121" s="277"/>
      <c r="Q121" s="277"/>
      <c r="R121" s="277"/>
      <c r="S121" s="277"/>
      <c r="T121" s="277"/>
      <c r="U121" s="278"/>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77"/>
      <c r="N122" s="277"/>
      <c r="O122" s="277"/>
      <c r="P122" s="277"/>
      <c r="Q122" s="277"/>
      <c r="R122" s="277"/>
      <c r="S122" s="277"/>
      <c r="T122" s="277"/>
      <c r="U122" s="278"/>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77"/>
      <c r="N123" s="277"/>
      <c r="O123" s="277"/>
      <c r="P123" s="277"/>
      <c r="Q123" s="277"/>
      <c r="R123" s="277"/>
      <c r="S123" s="277"/>
      <c r="T123" s="277"/>
      <c r="U123" s="278"/>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318" t="s">
        <v>309</v>
      </c>
      <c r="C124" s="319"/>
      <c r="D124" s="79"/>
      <c r="E124" s="80"/>
      <c r="F124" s="80"/>
      <c r="G124" s="81"/>
      <c r="H124" s="191"/>
      <c r="I124" s="191"/>
      <c r="J124" s="191"/>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19</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311" t="s">
        <v>222</v>
      </c>
      <c r="C129" s="312"/>
      <c r="D129" s="313" t="s">
        <v>223</v>
      </c>
      <c r="E129" s="304"/>
      <c r="F129" s="88"/>
      <c r="G129" s="314" t="s">
        <v>224</v>
      </c>
      <c r="H129" s="315"/>
      <c r="I129" s="28">
        <f>SUM(E140:E164)</f>
        <v>72</v>
      </c>
      <c r="J129" s="316" t="s">
        <v>225</v>
      </c>
      <c r="K129" s="317"/>
      <c r="L129" s="304"/>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0</v>
      </c>
      <c r="J130" s="288" t="s">
        <v>231</v>
      </c>
      <c r="K130" s="289"/>
      <c r="L130" s="34">
        <f>I134</f>
        <v>709</v>
      </c>
      <c r="M130" s="195">
        <v>4</v>
      </c>
      <c r="N130" s="35">
        <f>SUM(AI130,AI141)</f>
        <v>0</v>
      </c>
      <c r="O130" s="35">
        <v>0</v>
      </c>
      <c r="P130" s="35">
        <f>SUM(AJ130,AJ141)</f>
        <v>0</v>
      </c>
      <c r="Q130" s="35">
        <v>0</v>
      </c>
      <c r="R130" s="35">
        <f>COUNTIFS($E140:$E164,"4",$F140:$F164,"Pole",$C140:$C164,"FST")</f>
        <v>0</v>
      </c>
      <c r="S130" s="35">
        <f>SUM(AL130,AK141)</f>
        <v>0</v>
      </c>
      <c r="T130" s="35">
        <v>0</v>
      </c>
      <c r="U130" s="35">
        <f>SUM(AK130,AL141)</f>
        <v>4</v>
      </c>
      <c r="V130" s="35">
        <v>0</v>
      </c>
      <c r="W130" s="34">
        <f>COUNTIFS($E140:$E164,"4",$F140:$F164,"HH",$C140:$C164,"FST")</f>
        <v>4</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4</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72</v>
      </c>
      <c r="F131" s="88"/>
      <c r="G131" s="290" t="s">
        <v>237</v>
      </c>
      <c r="H131" s="291"/>
      <c r="I131" s="35">
        <f>IF(E131=0,0,12-(MOD(I129,12)))</f>
        <v>12</v>
      </c>
      <c r="J131" s="288" t="s">
        <v>238</v>
      </c>
      <c r="K131" s="289"/>
      <c r="L131" s="39">
        <f>I135-I129</f>
        <v>708</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0</v>
      </c>
      <c r="F132" s="88"/>
      <c r="G132" s="320" t="s">
        <v>242</v>
      </c>
      <c r="H132" s="43" t="s">
        <v>243</v>
      </c>
      <c r="I132" s="35">
        <f>IF(E132&lt;&gt;0,1,0)</f>
        <v>0</v>
      </c>
      <c r="J132" s="290" t="s">
        <v>244</v>
      </c>
      <c r="K132" s="291"/>
      <c r="L132" s="44">
        <f>'Cable Calculator'!S3</f>
        <v>981</v>
      </c>
      <c r="M132" s="195">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709</v>
      </c>
      <c r="F133" s="88"/>
      <c r="G133" s="321"/>
      <c r="H133" s="47" t="s">
        <v>248</v>
      </c>
      <c r="I133" s="35">
        <f>IF(E132&lt;&gt;0,E132,0)</f>
        <v>0</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3</v>
      </c>
      <c r="V133" s="35">
        <f>IF($E130="EUC",SUM($AN165,AP165,AR165),"0")</f>
        <v>1</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6</v>
      </c>
      <c r="F134" s="88"/>
      <c r="G134" s="320" t="s">
        <v>251</v>
      </c>
      <c r="H134" s="51" t="s">
        <v>252</v>
      </c>
      <c r="I134" s="112">
        <f>E133</f>
        <v>709</v>
      </c>
      <c r="J134" s="322" t="s">
        <v>253</v>
      </c>
      <c r="K134" s="323"/>
      <c r="L134" s="324"/>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321"/>
      <c r="H135" s="47" t="s">
        <v>257</v>
      </c>
      <c r="I135" s="35">
        <f>IF(E133="","0",IF(AND(E130="EUC",E131=432), I134+(203-E132),IF(E133=0,0,(E133+(E131-E132)-1))))</f>
        <v>780</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72</v>
      </c>
      <c r="D136" s="31" t="s">
        <v>259</v>
      </c>
      <c r="E136" s="101" t="str">
        <f>IF(AS130="Y","DBL",IF(AS131="Y","TRPL",IF(AS132="Y","QUAD","")))</f>
        <v/>
      </c>
      <c r="F136" s="88"/>
      <c r="G136" s="191"/>
      <c r="H136" s="57"/>
      <c r="I136" s="191"/>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5"/>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7"/>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781</v>
      </c>
      <c r="E140" s="32">
        <v>4</v>
      </c>
      <c r="F140" s="32" t="s">
        <v>488</v>
      </c>
      <c r="G140" s="68" t="s">
        <v>277</v>
      </c>
      <c r="H140" s="69">
        <f>IF(I140=0,0,I140-(E140-1))</f>
        <v>777</v>
      </c>
      <c r="I140" s="70">
        <f>IF(E140=0,0,I135)</f>
        <v>780</v>
      </c>
      <c r="J140" s="71" t="s">
        <v>278</v>
      </c>
      <c r="K140" s="32"/>
      <c r="L140" s="232"/>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782</v>
      </c>
      <c r="E141" s="32">
        <v>8</v>
      </c>
      <c r="F141" s="32" t="s">
        <v>488</v>
      </c>
      <c r="G141" s="68" t="s">
        <v>277</v>
      </c>
      <c r="H141" s="69">
        <f t="shared" ref="H141:H164" si="60">IF(E141=0,0,I141-(E141-1))</f>
        <v>769</v>
      </c>
      <c r="I141" s="70">
        <f t="shared" ref="I141:I164" si="61">IF(E141=0,0,H140-1)</f>
        <v>776</v>
      </c>
      <c r="J141" s="73" t="str">
        <f>IF(C141="","--",IF(AND(C141&lt;&gt;"FST",C141&lt;&gt;"TCF",BA140&lt;&gt;0),BA140,"--"))</f>
        <v>--</v>
      </c>
      <c r="K141" s="32"/>
      <c r="L141" s="232"/>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769-776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0</v>
      </c>
    </row>
    <row r="142" spans="1:53" ht="15.75" thickBot="1" x14ac:dyDescent="0.3">
      <c r="A142" s="88"/>
      <c r="B142" s="74" t="s">
        <v>280</v>
      </c>
      <c r="C142" s="67" t="s">
        <v>494</v>
      </c>
      <c r="D142" s="102"/>
      <c r="E142" s="32">
        <v>12</v>
      </c>
      <c r="F142" s="32"/>
      <c r="G142" s="75" t="s">
        <v>277</v>
      </c>
      <c r="H142" s="69">
        <f t="shared" si="60"/>
        <v>757</v>
      </c>
      <c r="I142" s="70">
        <f t="shared" si="61"/>
        <v>768</v>
      </c>
      <c r="J142" s="73" t="str">
        <f t="shared" ref="J142:J164" si="62">IF(C142="","--",IF(AND(C142&lt;&gt;"FST",C142&lt;&gt;"TCF",BA141&lt;&gt;0),BA141,"--"))</f>
        <v>--</v>
      </c>
      <c r="K142" s="32"/>
      <c r="L142" s="232"/>
      <c r="M142" s="277" t="s">
        <v>407</v>
      </c>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757-768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1</v>
      </c>
      <c r="AN142" s="109">
        <f t="shared" si="57"/>
        <v>0</v>
      </c>
      <c r="AO142" s="109" t="str">
        <f t="shared" si="58"/>
        <v/>
      </c>
      <c r="AQ142" s="109" t="str">
        <f t="shared" si="59"/>
        <v/>
      </c>
      <c r="BA142" s="228">
        <f>MOD(SUM(E140:E143),12)</f>
        <v>4</v>
      </c>
    </row>
    <row r="143" spans="1:53" ht="15.75" thickBot="1" x14ac:dyDescent="0.3">
      <c r="A143" s="88"/>
      <c r="B143" s="66" t="s">
        <v>281</v>
      </c>
      <c r="C143" s="67" t="s">
        <v>484</v>
      </c>
      <c r="D143" s="102" t="s">
        <v>783</v>
      </c>
      <c r="E143" s="32">
        <v>4</v>
      </c>
      <c r="F143" s="32" t="s">
        <v>488</v>
      </c>
      <c r="G143" s="68" t="s">
        <v>277</v>
      </c>
      <c r="H143" s="69">
        <f t="shared" si="60"/>
        <v>753</v>
      </c>
      <c r="I143" s="70">
        <f t="shared" si="61"/>
        <v>756</v>
      </c>
      <c r="J143" s="73" t="str">
        <f t="shared" si="62"/>
        <v>--</v>
      </c>
      <c r="K143" s="32"/>
      <c r="L143" s="232"/>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0</v>
      </c>
      <c r="AE143" s="109" t="str">
        <f t="shared" si="53"/>
        <v>753-756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8</v>
      </c>
    </row>
    <row r="144" spans="1:53" ht="15.75" thickBot="1" x14ac:dyDescent="0.3">
      <c r="A144" s="88"/>
      <c r="B144" s="66" t="s">
        <v>282</v>
      </c>
      <c r="C144" s="67" t="s">
        <v>484</v>
      </c>
      <c r="D144" s="102" t="s">
        <v>743</v>
      </c>
      <c r="E144" s="32">
        <v>4</v>
      </c>
      <c r="F144" s="32" t="s">
        <v>488</v>
      </c>
      <c r="G144" s="68" t="s">
        <v>277</v>
      </c>
      <c r="H144" s="69">
        <f t="shared" si="60"/>
        <v>749</v>
      </c>
      <c r="I144" s="70">
        <f t="shared" si="61"/>
        <v>752</v>
      </c>
      <c r="J144" s="73" t="str">
        <f t="shared" si="62"/>
        <v>--</v>
      </c>
      <c r="K144" s="32"/>
      <c r="L144" s="232"/>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749-752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t="s">
        <v>484</v>
      </c>
      <c r="D145" s="102" t="s">
        <v>744</v>
      </c>
      <c r="E145" s="32">
        <v>4</v>
      </c>
      <c r="F145" s="32" t="s">
        <v>488</v>
      </c>
      <c r="G145" s="68" t="s">
        <v>277</v>
      </c>
      <c r="H145" s="69">
        <f t="shared" si="60"/>
        <v>745</v>
      </c>
      <c r="I145" s="70">
        <f t="shared" si="61"/>
        <v>748</v>
      </c>
      <c r="J145" s="73" t="str">
        <f t="shared" si="62"/>
        <v>--</v>
      </c>
      <c r="K145" s="32"/>
      <c r="L145" s="232"/>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0</v>
      </c>
      <c r="AE145" s="109" t="str">
        <f t="shared" si="53"/>
        <v>745-748</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t="s">
        <v>500</v>
      </c>
      <c r="D146" s="102"/>
      <c r="E146" s="32">
        <v>12</v>
      </c>
      <c r="F146" s="32"/>
      <c r="G146" s="68" t="s">
        <v>277</v>
      </c>
      <c r="H146" s="69">
        <f t="shared" si="60"/>
        <v>733</v>
      </c>
      <c r="I146" s="70">
        <f t="shared" si="61"/>
        <v>744</v>
      </c>
      <c r="J146" s="73" t="str">
        <f t="shared" si="62"/>
        <v>--</v>
      </c>
      <c r="K146" s="32"/>
      <c r="L146" s="232"/>
      <c r="M146" s="277" t="s">
        <v>417</v>
      </c>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733-744</v>
      </c>
      <c r="AF146" s="109" t="str">
        <f t="shared" si="54"/>
        <v>Y</v>
      </c>
      <c r="AG146" s="109" t="str">
        <f t="shared" si="55"/>
        <v>B</v>
      </c>
      <c r="AM146" s="109">
        <f t="shared" si="56"/>
        <v>0</v>
      </c>
      <c r="AN146" s="109">
        <f t="shared" si="57"/>
        <v>0</v>
      </c>
      <c r="AO146" s="109" t="str">
        <f t="shared" si="58"/>
        <v>Y</v>
      </c>
      <c r="AQ146" s="109" t="str">
        <f t="shared" si="59"/>
        <v/>
      </c>
      <c r="BA146" s="228">
        <f>MOD(SUM(E140:E147),12)</f>
        <v>0</v>
      </c>
    </row>
    <row r="147" spans="1:53" ht="15.75" thickBot="1" x14ac:dyDescent="0.3">
      <c r="A147" s="88"/>
      <c r="B147" s="66" t="s">
        <v>285</v>
      </c>
      <c r="C147" s="67" t="s">
        <v>500</v>
      </c>
      <c r="D147" s="102"/>
      <c r="E147" s="32">
        <v>12</v>
      </c>
      <c r="F147" s="32"/>
      <c r="G147" s="68" t="s">
        <v>277</v>
      </c>
      <c r="H147" s="69">
        <f t="shared" si="60"/>
        <v>721</v>
      </c>
      <c r="I147" s="70">
        <f t="shared" si="61"/>
        <v>732</v>
      </c>
      <c r="J147" s="73" t="str">
        <f t="shared" si="62"/>
        <v>--</v>
      </c>
      <c r="K147" s="32"/>
      <c r="L147" s="232"/>
      <c r="M147" s="277" t="s">
        <v>417</v>
      </c>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721-732</v>
      </c>
      <c r="AF147" s="109" t="str">
        <f t="shared" si="54"/>
        <v>Y</v>
      </c>
      <c r="AG147" s="109" t="str">
        <f t="shared" si="55"/>
        <v>B</v>
      </c>
      <c r="AM147" s="109">
        <f t="shared" si="56"/>
        <v>0</v>
      </c>
      <c r="AN147" s="109">
        <f t="shared" si="57"/>
        <v>0</v>
      </c>
      <c r="AO147" s="109" t="str">
        <f t="shared" si="58"/>
        <v>Y</v>
      </c>
      <c r="AQ147" s="109" t="str">
        <f t="shared" si="59"/>
        <v/>
      </c>
      <c r="BA147" s="228">
        <f>MOD(SUM(E140:E148),12)</f>
        <v>0</v>
      </c>
    </row>
    <row r="148" spans="1:53" ht="15.75" thickBot="1" x14ac:dyDescent="0.3">
      <c r="A148" s="88"/>
      <c r="B148" s="66" t="s">
        <v>286</v>
      </c>
      <c r="C148" s="67" t="s">
        <v>500</v>
      </c>
      <c r="D148" s="102"/>
      <c r="E148" s="32">
        <v>12</v>
      </c>
      <c r="F148" s="32"/>
      <c r="G148" s="68" t="s">
        <v>277</v>
      </c>
      <c r="H148" s="69">
        <f t="shared" si="60"/>
        <v>709</v>
      </c>
      <c r="I148" s="70">
        <f t="shared" si="61"/>
        <v>720</v>
      </c>
      <c r="J148" s="73" t="str">
        <f t="shared" si="62"/>
        <v>--</v>
      </c>
      <c r="K148" s="32"/>
      <c r="L148" s="232"/>
      <c r="M148" s="277" t="s">
        <v>417</v>
      </c>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709-720</v>
      </c>
      <c r="AF148" s="109" t="str">
        <f t="shared" si="54"/>
        <v>Y</v>
      </c>
      <c r="AG148" s="109" t="str">
        <f t="shared" si="55"/>
        <v>B</v>
      </c>
      <c r="AM148" s="109">
        <f t="shared" si="56"/>
        <v>0</v>
      </c>
      <c r="AN148" s="109">
        <f t="shared" si="57"/>
        <v>0</v>
      </c>
      <c r="AO148" s="109" t="str">
        <f t="shared" si="58"/>
        <v>Y</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77"/>
      <c r="N151" s="277"/>
      <c r="O151" s="277"/>
      <c r="P151" s="277"/>
      <c r="Q151" s="277"/>
      <c r="R151" s="277"/>
      <c r="S151" s="277"/>
      <c r="T151" s="277"/>
      <c r="U151" s="278"/>
      <c r="V151" s="103"/>
      <c r="W151" s="84">
        <f>Y151+1</f>
        <v>73</v>
      </c>
      <c r="X151" s="84"/>
      <c r="Y151" s="78">
        <f>SUM(E140:E151)</f>
        <v>72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77"/>
      <c r="N152" s="277"/>
      <c r="O152" s="277"/>
      <c r="P152" s="277"/>
      <c r="Q152" s="277"/>
      <c r="R152" s="277"/>
      <c r="S152" s="277"/>
      <c r="T152" s="277"/>
      <c r="U152" s="278"/>
      <c r="V152" s="103"/>
      <c r="W152" s="84">
        <f>Y152+1</f>
        <v>73</v>
      </c>
      <c r="X152" s="84"/>
      <c r="Y152" s="78">
        <f>SUM(E140:E152)</f>
        <v>72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77"/>
      <c r="N153" s="277"/>
      <c r="O153" s="277"/>
      <c r="P153" s="277"/>
      <c r="Q153" s="277"/>
      <c r="R153" s="277"/>
      <c r="S153" s="277"/>
      <c r="T153" s="277"/>
      <c r="U153" s="278"/>
      <c r="V153" s="103"/>
      <c r="W153" s="84">
        <f>Y153+1</f>
        <v>73</v>
      </c>
      <c r="X153" s="84"/>
      <c r="Y153" s="78">
        <f>SUM(E140:E153)</f>
        <v>72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77"/>
      <c r="N154" s="277"/>
      <c r="O154" s="277"/>
      <c r="P154" s="277"/>
      <c r="Q154" s="277"/>
      <c r="R154" s="277"/>
      <c r="S154" s="277"/>
      <c r="T154" s="277"/>
      <c r="U154" s="278"/>
      <c r="V154" s="103"/>
      <c r="W154" s="84">
        <f>Y154+1</f>
        <v>73</v>
      </c>
      <c r="X154" s="84"/>
      <c r="Y154" s="78">
        <f>SUM(E140:E154)</f>
        <v>72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77"/>
      <c r="N155" s="277"/>
      <c r="O155" s="277"/>
      <c r="P155" s="277"/>
      <c r="Q155" s="277"/>
      <c r="R155" s="277"/>
      <c r="S155" s="277"/>
      <c r="T155" s="277"/>
      <c r="U155" s="278"/>
      <c r="V155" s="103"/>
      <c r="W155" s="84">
        <f t="shared" ref="W155:W163" si="67">Y155+1</f>
        <v>73</v>
      </c>
      <c r="X155" s="84"/>
      <c r="Y155" s="78">
        <f>SUM(E140:E155)</f>
        <v>72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77"/>
      <c r="N156" s="277"/>
      <c r="O156" s="277"/>
      <c r="P156" s="277"/>
      <c r="Q156" s="277"/>
      <c r="R156" s="277"/>
      <c r="S156" s="277"/>
      <c r="T156" s="277"/>
      <c r="U156" s="278"/>
      <c r="V156" s="103"/>
      <c r="W156" s="84">
        <f t="shared" si="67"/>
        <v>73</v>
      </c>
      <c r="X156" s="84"/>
      <c r="Y156" s="78">
        <f>SUM(E140:E156)</f>
        <v>72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77"/>
      <c r="N157" s="277"/>
      <c r="O157" s="277"/>
      <c r="P157" s="277"/>
      <c r="Q157" s="277"/>
      <c r="R157" s="277"/>
      <c r="S157" s="277"/>
      <c r="T157" s="277"/>
      <c r="U157" s="278"/>
      <c r="V157" s="103"/>
      <c r="W157" s="84">
        <f t="shared" si="67"/>
        <v>73</v>
      </c>
      <c r="X157" s="84"/>
      <c r="Y157" s="78">
        <f>SUM(E140:E157)</f>
        <v>72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77"/>
      <c r="N158" s="277"/>
      <c r="O158" s="277"/>
      <c r="P158" s="277"/>
      <c r="Q158" s="277"/>
      <c r="R158" s="277"/>
      <c r="S158" s="277"/>
      <c r="T158" s="277"/>
      <c r="U158" s="278"/>
      <c r="V158" s="103"/>
      <c r="W158" s="84">
        <f t="shared" si="67"/>
        <v>73</v>
      </c>
      <c r="X158" s="84"/>
      <c r="Y158" s="78">
        <f>SUM(E140:E158)</f>
        <v>72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77"/>
      <c r="N159" s="277"/>
      <c r="O159" s="277"/>
      <c r="P159" s="277"/>
      <c r="Q159" s="277"/>
      <c r="R159" s="277"/>
      <c r="S159" s="277"/>
      <c r="T159" s="277"/>
      <c r="U159" s="278"/>
      <c r="V159" s="103"/>
      <c r="W159" s="84">
        <f t="shared" si="67"/>
        <v>73</v>
      </c>
      <c r="X159" s="84"/>
      <c r="Y159" s="78">
        <f>SUM(E140:E159)</f>
        <v>72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77"/>
      <c r="N160" s="277"/>
      <c r="O160" s="277"/>
      <c r="P160" s="277"/>
      <c r="Q160" s="277"/>
      <c r="R160" s="277"/>
      <c r="S160" s="277"/>
      <c r="T160" s="277"/>
      <c r="U160" s="278"/>
      <c r="V160" s="103"/>
      <c r="W160" s="84">
        <f t="shared" si="67"/>
        <v>73</v>
      </c>
      <c r="X160" s="84"/>
      <c r="Y160" s="78">
        <f>SUM(E140:E160)</f>
        <v>72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77"/>
      <c r="N161" s="277"/>
      <c r="O161" s="277"/>
      <c r="P161" s="277"/>
      <c r="Q161" s="277"/>
      <c r="R161" s="277"/>
      <c r="S161" s="277"/>
      <c r="T161" s="277"/>
      <c r="U161" s="278"/>
      <c r="V161" s="103"/>
      <c r="W161" s="84">
        <f t="shared" si="67"/>
        <v>73</v>
      </c>
      <c r="X161" s="84"/>
      <c r="Y161" s="78">
        <f>SUM(E140:E161)</f>
        <v>72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77"/>
      <c r="N162" s="277"/>
      <c r="O162" s="277"/>
      <c r="P162" s="277"/>
      <c r="Q162" s="277"/>
      <c r="R162" s="277"/>
      <c r="S162" s="277"/>
      <c r="T162" s="277"/>
      <c r="U162" s="278"/>
      <c r="V162" s="103"/>
      <c r="W162" s="84">
        <f t="shared" si="67"/>
        <v>73</v>
      </c>
      <c r="X162" s="84"/>
      <c r="Y162" s="78">
        <f>SUM(E140:E162)</f>
        <v>72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77"/>
      <c r="N163" s="277"/>
      <c r="O163" s="277"/>
      <c r="P163" s="277"/>
      <c r="Q163" s="277"/>
      <c r="R163" s="277"/>
      <c r="S163" s="277"/>
      <c r="T163" s="277"/>
      <c r="U163" s="278"/>
      <c r="V163" s="103"/>
      <c r="W163" s="84">
        <f t="shared" si="67"/>
        <v>73</v>
      </c>
      <c r="X163" s="84"/>
      <c r="Y163" s="78">
        <f>SUM(E140:E163)</f>
        <v>72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77"/>
      <c r="N164" s="277"/>
      <c r="O164" s="277"/>
      <c r="P164" s="277"/>
      <c r="Q164" s="277"/>
      <c r="R164" s="277"/>
      <c r="S164" s="277"/>
      <c r="T164" s="277"/>
      <c r="U164" s="278"/>
      <c r="V164" s="103"/>
      <c r="W164" s="72"/>
      <c r="X164" s="72"/>
      <c r="Y164" s="78">
        <f>SUM(E140:E164)</f>
        <v>72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318" t="s">
        <v>311</v>
      </c>
      <c r="C165" s="319"/>
      <c r="D165" s="79"/>
      <c r="E165" s="80"/>
      <c r="F165" s="80"/>
      <c r="G165" s="81"/>
      <c r="H165" s="191"/>
      <c r="I165" s="191"/>
      <c r="J165" s="191"/>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2</v>
      </c>
      <c r="AP165" s="109">
        <f>(COUNTIF(AO140:AO164,"Y")/3)</f>
        <v>1</v>
      </c>
      <c r="AQ165" s="109">
        <f>(COUNTIF(AQ140:AQ164,"Y")/2)</f>
        <v>0</v>
      </c>
      <c r="AR165" s="109">
        <f>(COUNTIF(AQ140:AQ164,"Y")/2)</f>
        <v>0</v>
      </c>
      <c r="BA165" s="227"/>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311" t="s">
        <v>222</v>
      </c>
      <c r="C170" s="312"/>
      <c r="D170" s="313" t="s">
        <v>223</v>
      </c>
      <c r="E170" s="304"/>
      <c r="F170" s="88"/>
      <c r="G170" s="314" t="s">
        <v>224</v>
      </c>
      <c r="H170" s="315"/>
      <c r="I170" s="28">
        <f>SUM(E181:E205)</f>
        <v>12</v>
      </c>
      <c r="J170" s="316" t="s">
        <v>225</v>
      </c>
      <c r="K170" s="317"/>
      <c r="L170" s="304"/>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12</v>
      </c>
      <c r="J171" s="288" t="s">
        <v>231</v>
      </c>
      <c r="K171" s="289"/>
      <c r="L171" s="34">
        <f>I175</f>
        <v>757</v>
      </c>
      <c r="M171" s="195">
        <v>4</v>
      </c>
      <c r="N171" s="35">
        <f>SUM(AI171,AI182)</f>
        <v>0</v>
      </c>
      <c r="O171" s="35">
        <v>0</v>
      </c>
      <c r="P171" s="35">
        <f>SUM(AJ171,AJ182)</f>
        <v>0</v>
      </c>
      <c r="Q171" s="35">
        <v>0</v>
      </c>
      <c r="R171" s="35">
        <f>COUNTIFS($E181:$E205,"4",$F181:$F205,"Pole",$C181:$C205,"FST")</f>
        <v>0</v>
      </c>
      <c r="S171" s="35">
        <f>SUM(AL171,AK182)</f>
        <v>0</v>
      </c>
      <c r="T171" s="35">
        <v>0</v>
      </c>
      <c r="U171" s="35">
        <f>SUM(AK171,AL182)</f>
        <v>3</v>
      </c>
      <c r="V171" s="35">
        <v>0</v>
      </c>
      <c r="W171" s="34">
        <f>COUNTIFS($E181:$E205,"4",$F181:$F205,"HH",$C181:$C205,"FST")</f>
        <v>3</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3</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756</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320" t="s">
        <v>242</v>
      </c>
      <c r="H173" s="43" t="s">
        <v>243</v>
      </c>
      <c r="I173" s="35">
        <f>IF(E173&lt;&gt;0,1,0)</f>
        <v>1</v>
      </c>
      <c r="J173" s="290" t="s">
        <v>244</v>
      </c>
      <c r="K173" s="291"/>
      <c r="L173" s="44">
        <f>'Cable Calculator'!X3</f>
        <v>447</v>
      </c>
      <c r="M173" s="195">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757</v>
      </c>
      <c r="F174" s="88"/>
      <c r="G174" s="321"/>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320" t="s">
        <v>251</v>
      </c>
      <c r="H175" s="51" t="s">
        <v>252</v>
      </c>
      <c r="I175" s="112">
        <f>E174</f>
        <v>757</v>
      </c>
      <c r="J175" s="322" t="s">
        <v>253</v>
      </c>
      <c r="K175" s="323"/>
      <c r="L175" s="324"/>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321"/>
      <c r="H176" s="47" t="s">
        <v>257</v>
      </c>
      <c r="I176" s="35">
        <f>IF(E174="","0",IF(AND(E171="EUC",E172=432), I175+(203-E173),IF(E174=0,0,(E174+(E172-E173)-1))))</f>
        <v>768</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5"/>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7"/>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745</v>
      </c>
      <c r="E181" s="32">
        <v>4</v>
      </c>
      <c r="F181" s="32" t="s">
        <v>488</v>
      </c>
      <c r="G181" s="68" t="s">
        <v>277</v>
      </c>
      <c r="H181" s="69">
        <f>IF(I181=0,0,I181-(E181-1))</f>
        <v>765</v>
      </c>
      <c r="I181" s="70">
        <f>IF(E181=0,0,I176)</f>
        <v>768</v>
      </c>
      <c r="J181" s="71" t="s">
        <v>278</v>
      </c>
      <c r="K181" s="32"/>
      <c r="L181" s="232"/>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765-768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814</v>
      </c>
      <c r="E182" s="32">
        <v>4</v>
      </c>
      <c r="F182" s="32" t="s">
        <v>488</v>
      </c>
      <c r="G182" s="68" t="s">
        <v>277</v>
      </c>
      <c r="H182" s="69">
        <f t="shared" ref="H182:H205" si="77">IF(E182=0,0,I182-(E182-1))</f>
        <v>761</v>
      </c>
      <c r="I182" s="70">
        <f t="shared" ref="I182:I205" si="78">IF(E182=0,0,H181-1)</f>
        <v>764</v>
      </c>
      <c r="J182" s="73" t="str">
        <f>IF(C182="","--",IF(AND(C182&lt;&gt;"FST",C182&lt;&gt;"TCF",BA181&lt;&gt;0),BA181,"--"))</f>
        <v>--</v>
      </c>
      <c r="K182" s="32"/>
      <c r="L182" s="232"/>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761-764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8</v>
      </c>
    </row>
    <row r="183" spans="1:53" ht="15.75" thickBot="1" x14ac:dyDescent="0.3">
      <c r="A183" s="88"/>
      <c r="B183" s="74" t="s">
        <v>280</v>
      </c>
      <c r="C183" s="67" t="s">
        <v>484</v>
      </c>
      <c r="D183" s="102" t="s">
        <v>802</v>
      </c>
      <c r="E183" s="32">
        <v>4</v>
      </c>
      <c r="F183" s="32" t="s">
        <v>488</v>
      </c>
      <c r="G183" s="75" t="s">
        <v>277</v>
      </c>
      <c r="H183" s="69">
        <f t="shared" si="77"/>
        <v>757</v>
      </c>
      <c r="I183" s="70">
        <f t="shared" si="78"/>
        <v>760</v>
      </c>
      <c r="J183" s="73" t="str">
        <f t="shared" ref="J183:J205" si="79">IF(C183="","--",IF(AND(C183&lt;&gt;"FST",C183&lt;&gt;"TCF",BA182&lt;&gt;0),BA182,"--"))</f>
        <v>--</v>
      </c>
      <c r="K183" s="32"/>
      <c r="L183" s="232"/>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757-760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77"/>
      <c r="N192" s="277"/>
      <c r="O192" s="277"/>
      <c r="P192" s="277"/>
      <c r="Q192" s="277"/>
      <c r="R192" s="277"/>
      <c r="S192" s="277"/>
      <c r="T192" s="277"/>
      <c r="U192" s="278"/>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77"/>
      <c r="N193" s="277"/>
      <c r="O193" s="277"/>
      <c r="P193" s="277"/>
      <c r="Q193" s="277"/>
      <c r="R193" s="277"/>
      <c r="S193" s="277"/>
      <c r="T193" s="277"/>
      <c r="U193" s="278"/>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77"/>
      <c r="N194" s="277"/>
      <c r="O194" s="277"/>
      <c r="P194" s="277"/>
      <c r="Q194" s="277"/>
      <c r="R194" s="277"/>
      <c r="S194" s="277"/>
      <c r="T194" s="277"/>
      <c r="U194" s="278"/>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77"/>
      <c r="N195" s="277"/>
      <c r="O195" s="277"/>
      <c r="P195" s="277"/>
      <c r="Q195" s="277"/>
      <c r="R195" s="277"/>
      <c r="S195" s="277"/>
      <c r="T195" s="277"/>
      <c r="U195" s="278"/>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77"/>
      <c r="N196" s="277"/>
      <c r="O196" s="277"/>
      <c r="P196" s="277"/>
      <c r="Q196" s="277"/>
      <c r="R196" s="277"/>
      <c r="S196" s="277"/>
      <c r="T196" s="277"/>
      <c r="U196" s="278"/>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77"/>
      <c r="N197" s="277"/>
      <c r="O197" s="277"/>
      <c r="P197" s="277"/>
      <c r="Q197" s="277"/>
      <c r="R197" s="277"/>
      <c r="S197" s="277"/>
      <c r="T197" s="277"/>
      <c r="U197" s="278"/>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77"/>
      <c r="N198" s="277"/>
      <c r="O198" s="277"/>
      <c r="P198" s="277"/>
      <c r="Q198" s="277"/>
      <c r="R198" s="277"/>
      <c r="S198" s="277"/>
      <c r="T198" s="277"/>
      <c r="U198" s="278"/>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77"/>
      <c r="N199" s="277"/>
      <c r="O199" s="277"/>
      <c r="P199" s="277"/>
      <c r="Q199" s="277"/>
      <c r="R199" s="277"/>
      <c r="S199" s="277"/>
      <c r="T199" s="277"/>
      <c r="U199" s="278"/>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77"/>
      <c r="N200" s="277"/>
      <c r="O200" s="277"/>
      <c r="P200" s="277"/>
      <c r="Q200" s="277"/>
      <c r="R200" s="277"/>
      <c r="S200" s="277"/>
      <c r="T200" s="277"/>
      <c r="U200" s="278"/>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77"/>
      <c r="N201" s="277"/>
      <c r="O201" s="277"/>
      <c r="P201" s="277"/>
      <c r="Q201" s="277"/>
      <c r="R201" s="277"/>
      <c r="S201" s="277"/>
      <c r="T201" s="277"/>
      <c r="U201" s="278"/>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77"/>
      <c r="N202" s="277"/>
      <c r="O202" s="277"/>
      <c r="P202" s="277"/>
      <c r="Q202" s="277"/>
      <c r="R202" s="277"/>
      <c r="S202" s="277"/>
      <c r="T202" s="277"/>
      <c r="U202" s="278"/>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77"/>
      <c r="N203" s="277"/>
      <c r="O203" s="277"/>
      <c r="P203" s="277"/>
      <c r="Q203" s="277"/>
      <c r="R203" s="277"/>
      <c r="S203" s="277"/>
      <c r="T203" s="277"/>
      <c r="U203" s="278"/>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77"/>
      <c r="N204" s="277"/>
      <c r="O204" s="277"/>
      <c r="P204" s="277"/>
      <c r="Q204" s="277"/>
      <c r="R204" s="277"/>
      <c r="S204" s="277"/>
      <c r="T204" s="277"/>
      <c r="U204" s="278"/>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77"/>
      <c r="N205" s="277"/>
      <c r="O205" s="277"/>
      <c r="P205" s="277"/>
      <c r="Q205" s="277"/>
      <c r="R205" s="277"/>
      <c r="S205" s="277"/>
      <c r="T205" s="277"/>
      <c r="U205" s="278"/>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318" t="s">
        <v>313</v>
      </c>
      <c r="C206" s="319"/>
      <c r="D206" s="79"/>
      <c r="E206" s="80"/>
      <c r="F206" s="80"/>
      <c r="G206" s="81"/>
      <c r="H206" s="191"/>
      <c r="I206" s="191"/>
      <c r="J206" s="191"/>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311" t="s">
        <v>222</v>
      </c>
      <c r="C211" s="312"/>
      <c r="D211" s="313" t="s">
        <v>223</v>
      </c>
      <c r="E211" s="304"/>
      <c r="F211" s="88"/>
      <c r="G211" s="314" t="s">
        <v>224</v>
      </c>
      <c r="H211" s="315"/>
      <c r="I211" s="28">
        <f>SUM(E222:E246)</f>
        <v>276</v>
      </c>
      <c r="J211" s="316" t="s">
        <v>225</v>
      </c>
      <c r="K211" s="317"/>
      <c r="L211" s="304"/>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12</v>
      </c>
      <c r="J212" s="288" t="s">
        <v>231</v>
      </c>
      <c r="K212" s="289"/>
      <c r="L212" s="34">
        <f>I216</f>
        <v>433</v>
      </c>
      <c r="M212" s="195">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288</v>
      </c>
      <c r="F213" s="88"/>
      <c r="G213" s="290" t="s">
        <v>237</v>
      </c>
      <c r="H213" s="291"/>
      <c r="I213" s="35">
        <f>IF(E213=0,0,12-(MOD(I211,12)))</f>
        <v>12</v>
      </c>
      <c r="J213" s="288" t="s">
        <v>238</v>
      </c>
      <c r="K213" s="289"/>
      <c r="L213" s="39">
        <f>I217-I211</f>
        <v>432</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12</v>
      </c>
      <c r="F214" s="88"/>
      <c r="G214" s="320" t="s">
        <v>242</v>
      </c>
      <c r="H214" s="43" t="s">
        <v>243</v>
      </c>
      <c r="I214" s="35">
        <f>IF(E214&lt;&gt;0,1,0)</f>
        <v>1</v>
      </c>
      <c r="J214" s="290" t="s">
        <v>244</v>
      </c>
      <c r="K214" s="291"/>
      <c r="L214" s="44">
        <f>'Cable Calculator'!AC3</f>
        <v>405</v>
      </c>
      <c r="M214" s="195">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433</v>
      </c>
      <c r="F215" s="88"/>
      <c r="G215" s="321"/>
      <c r="H215" s="47" t="s">
        <v>248</v>
      </c>
      <c r="I215" s="35">
        <f>IF(E214&lt;&gt;0,E214,0)</f>
        <v>12</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24</v>
      </c>
      <c r="F216" s="88"/>
      <c r="G216" s="320" t="s">
        <v>251</v>
      </c>
      <c r="H216" s="51" t="s">
        <v>252</v>
      </c>
      <c r="I216" s="112">
        <f>E215</f>
        <v>433</v>
      </c>
      <c r="J216" s="322" t="s">
        <v>253</v>
      </c>
      <c r="K216" s="323"/>
      <c r="L216" s="324"/>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708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276</v>
      </c>
      <c r="D218" s="31" t="s">
        <v>259</v>
      </c>
      <c r="E218" s="101" t="str">
        <f>IF(AS212="Y","DBL",IF(AS213="Y","TRPL",IF(AS214="Y","QUAD","")))</f>
        <v/>
      </c>
      <c r="F218" s="88"/>
      <c r="G218" s="191"/>
      <c r="H218" s="57"/>
      <c r="I218" s="191"/>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5"/>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7"/>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502</v>
      </c>
      <c r="D222" s="102"/>
      <c r="E222" s="32">
        <v>132</v>
      </c>
      <c r="F222" s="32"/>
      <c r="G222" s="68" t="s">
        <v>277</v>
      </c>
      <c r="H222" s="69">
        <f>IF(I222=0,0,I222-(E222-1))</f>
        <v>577</v>
      </c>
      <c r="I222" s="70">
        <f>IF(E222=0,0,I217)</f>
        <v>708</v>
      </c>
      <c r="J222" s="71" t="s">
        <v>278</v>
      </c>
      <c r="K222" s="32"/>
      <c r="L222" s="232"/>
      <c r="M222" s="277" t="s">
        <v>409</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577-708</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0</v>
      </c>
    </row>
    <row r="223" spans="1:53" ht="15.75" thickBot="1" x14ac:dyDescent="0.3">
      <c r="A223" s="88"/>
      <c r="B223" s="66" t="s">
        <v>279</v>
      </c>
      <c r="C223" s="67" t="s">
        <v>502</v>
      </c>
      <c r="D223" s="102"/>
      <c r="E223" s="32">
        <v>144</v>
      </c>
      <c r="F223" s="32"/>
      <c r="G223" s="68" t="s">
        <v>277</v>
      </c>
      <c r="H223" s="69">
        <f t="shared" ref="H223:H246" si="94">IF(E223=0,0,I223-(E223-1))</f>
        <v>433</v>
      </c>
      <c r="I223" s="70">
        <f t="shared" ref="I223:I246" si="95">IF(E223=0,0,H222-1)</f>
        <v>576</v>
      </c>
      <c r="J223" s="73" t="str">
        <f>IF(C223="","--",IF(AND(C223&lt;&gt;"FST",C223&lt;&gt;"TCF",BA222&lt;&gt;0),BA222,"--"))</f>
        <v>--</v>
      </c>
      <c r="K223" s="32"/>
      <c r="L223" s="232"/>
      <c r="M223" s="277" t="s">
        <v>410</v>
      </c>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433-576</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2"/>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77"/>
      <c r="N233" s="277"/>
      <c r="O233" s="277"/>
      <c r="P233" s="277"/>
      <c r="Q233" s="277"/>
      <c r="R233" s="277"/>
      <c r="S233" s="277"/>
      <c r="T233" s="277"/>
      <c r="U233" s="278"/>
      <c r="V233" s="103"/>
      <c r="W233" s="84">
        <f>Y233+1</f>
        <v>277</v>
      </c>
      <c r="X233" s="84"/>
      <c r="Y233" s="78">
        <f>SUM(E222:E233)</f>
        <v>276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77"/>
      <c r="N234" s="277"/>
      <c r="O234" s="277"/>
      <c r="P234" s="277"/>
      <c r="Q234" s="277"/>
      <c r="R234" s="277"/>
      <c r="S234" s="277"/>
      <c r="T234" s="277"/>
      <c r="U234" s="278"/>
      <c r="V234" s="103"/>
      <c r="W234" s="84">
        <f>Y234+1</f>
        <v>277</v>
      </c>
      <c r="X234" s="84"/>
      <c r="Y234" s="78">
        <f>SUM(E222:E234)</f>
        <v>276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77"/>
      <c r="N235" s="277"/>
      <c r="O235" s="277"/>
      <c r="P235" s="277"/>
      <c r="Q235" s="277"/>
      <c r="R235" s="277"/>
      <c r="S235" s="277"/>
      <c r="T235" s="277"/>
      <c r="U235" s="278"/>
      <c r="V235" s="103"/>
      <c r="W235" s="84">
        <f>Y235+1</f>
        <v>277</v>
      </c>
      <c r="X235" s="84"/>
      <c r="Y235" s="78">
        <f>SUM(E222:E235)</f>
        <v>276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77"/>
      <c r="N236" s="277"/>
      <c r="O236" s="277"/>
      <c r="P236" s="277"/>
      <c r="Q236" s="277"/>
      <c r="R236" s="277"/>
      <c r="S236" s="277"/>
      <c r="T236" s="277"/>
      <c r="U236" s="278"/>
      <c r="V236" s="103"/>
      <c r="W236" s="84">
        <f>Y236+1</f>
        <v>277</v>
      </c>
      <c r="X236" s="84"/>
      <c r="Y236" s="78">
        <f>SUM(E222:E236)</f>
        <v>276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77"/>
      <c r="N237" s="277"/>
      <c r="O237" s="277"/>
      <c r="P237" s="277"/>
      <c r="Q237" s="277"/>
      <c r="R237" s="277"/>
      <c r="S237" s="277"/>
      <c r="T237" s="277"/>
      <c r="U237" s="278"/>
      <c r="V237" s="103"/>
      <c r="W237" s="84">
        <f t="shared" ref="W237:W245" si="101">Y237+1</f>
        <v>277</v>
      </c>
      <c r="X237" s="84"/>
      <c r="Y237" s="78">
        <f>SUM(E222:E237)</f>
        <v>276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77"/>
      <c r="N238" s="277"/>
      <c r="O238" s="277"/>
      <c r="P238" s="277"/>
      <c r="Q238" s="277"/>
      <c r="R238" s="277"/>
      <c r="S238" s="277"/>
      <c r="T238" s="277"/>
      <c r="U238" s="278"/>
      <c r="V238" s="103"/>
      <c r="W238" s="84">
        <f t="shared" si="101"/>
        <v>277</v>
      </c>
      <c r="X238" s="84"/>
      <c r="Y238" s="78">
        <f>SUM(E222:E238)</f>
        <v>276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77"/>
      <c r="N239" s="277"/>
      <c r="O239" s="277"/>
      <c r="P239" s="277"/>
      <c r="Q239" s="277"/>
      <c r="R239" s="277"/>
      <c r="S239" s="277"/>
      <c r="T239" s="277"/>
      <c r="U239" s="278"/>
      <c r="V239" s="103"/>
      <c r="W239" s="84">
        <f t="shared" si="101"/>
        <v>277</v>
      </c>
      <c r="X239" s="84"/>
      <c r="Y239" s="78">
        <f>SUM(E222:E239)</f>
        <v>276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77"/>
      <c r="N240" s="277"/>
      <c r="O240" s="277"/>
      <c r="P240" s="277"/>
      <c r="Q240" s="277"/>
      <c r="R240" s="277"/>
      <c r="S240" s="277"/>
      <c r="T240" s="277"/>
      <c r="U240" s="278"/>
      <c r="V240" s="103"/>
      <c r="W240" s="84">
        <f t="shared" si="101"/>
        <v>277</v>
      </c>
      <c r="X240" s="84"/>
      <c r="Y240" s="78">
        <f>SUM(E222:E240)</f>
        <v>276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77"/>
      <c r="N241" s="277"/>
      <c r="O241" s="277"/>
      <c r="P241" s="277"/>
      <c r="Q241" s="277"/>
      <c r="R241" s="277"/>
      <c r="S241" s="277"/>
      <c r="T241" s="277"/>
      <c r="U241" s="278"/>
      <c r="V241" s="103"/>
      <c r="W241" s="84">
        <f t="shared" si="101"/>
        <v>277</v>
      </c>
      <c r="X241" s="84"/>
      <c r="Y241" s="78">
        <f>SUM(E222:E241)</f>
        <v>276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77"/>
      <c r="N242" s="277"/>
      <c r="O242" s="277"/>
      <c r="P242" s="277"/>
      <c r="Q242" s="277"/>
      <c r="R242" s="277"/>
      <c r="S242" s="277"/>
      <c r="T242" s="277"/>
      <c r="U242" s="278"/>
      <c r="V242" s="103"/>
      <c r="W242" s="84">
        <f t="shared" si="101"/>
        <v>277</v>
      </c>
      <c r="X242" s="84"/>
      <c r="Y242" s="78">
        <f>SUM(E222:E242)</f>
        <v>276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77"/>
      <c r="N243" s="277"/>
      <c r="O243" s="277"/>
      <c r="P243" s="277"/>
      <c r="Q243" s="277"/>
      <c r="R243" s="277"/>
      <c r="S243" s="277"/>
      <c r="T243" s="277"/>
      <c r="U243" s="278"/>
      <c r="V243" s="103"/>
      <c r="W243" s="84">
        <f t="shared" si="101"/>
        <v>277</v>
      </c>
      <c r="X243" s="84"/>
      <c r="Y243" s="78">
        <f>SUM(E222:E243)</f>
        <v>276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77"/>
      <c r="N244" s="277"/>
      <c r="O244" s="277"/>
      <c r="P244" s="277"/>
      <c r="Q244" s="277"/>
      <c r="R244" s="277"/>
      <c r="S244" s="277"/>
      <c r="T244" s="277"/>
      <c r="U244" s="278"/>
      <c r="V244" s="103"/>
      <c r="W244" s="84">
        <f t="shared" si="101"/>
        <v>277</v>
      </c>
      <c r="X244" s="84"/>
      <c r="Y244" s="78">
        <f>SUM(E222:E244)</f>
        <v>276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77"/>
      <c r="N245" s="277"/>
      <c r="O245" s="277"/>
      <c r="P245" s="277"/>
      <c r="Q245" s="277"/>
      <c r="R245" s="277"/>
      <c r="S245" s="277"/>
      <c r="T245" s="277"/>
      <c r="U245" s="278"/>
      <c r="V245" s="103"/>
      <c r="W245" s="84">
        <f t="shared" si="101"/>
        <v>277</v>
      </c>
      <c r="X245" s="84"/>
      <c r="Y245" s="78">
        <f>SUM(E222:E245)</f>
        <v>276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77"/>
      <c r="N246" s="277"/>
      <c r="O246" s="277"/>
      <c r="P246" s="277"/>
      <c r="Q246" s="277"/>
      <c r="R246" s="277"/>
      <c r="S246" s="277"/>
      <c r="T246" s="277"/>
      <c r="U246" s="278"/>
      <c r="V246" s="103"/>
      <c r="W246" s="72"/>
      <c r="X246" s="72"/>
      <c r="Y246" s="78">
        <f>SUM(E222:E246)</f>
        <v>276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318" t="s">
        <v>315</v>
      </c>
      <c r="C247" s="319"/>
      <c r="D247" s="79"/>
      <c r="E247" s="80"/>
      <c r="F247" s="80"/>
      <c r="G247" s="81"/>
      <c r="H247" s="191"/>
      <c r="I247" s="191"/>
      <c r="J247" s="191"/>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311" t="s">
        <v>222</v>
      </c>
      <c r="C252" s="312"/>
      <c r="D252" s="313" t="s">
        <v>223</v>
      </c>
      <c r="E252" s="304"/>
      <c r="F252" s="88"/>
      <c r="G252" s="314" t="s">
        <v>224</v>
      </c>
      <c r="H252" s="315"/>
      <c r="I252" s="28">
        <f>SUM(E263:E287)</f>
        <v>132</v>
      </c>
      <c r="J252" s="316" t="s">
        <v>225</v>
      </c>
      <c r="K252" s="317"/>
      <c r="L252" s="304"/>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12</v>
      </c>
      <c r="J253" s="288" t="s">
        <v>231</v>
      </c>
      <c r="K253" s="289"/>
      <c r="L253" s="34">
        <f>I257</f>
        <v>577</v>
      </c>
      <c r="M253" s="195">
        <v>4</v>
      </c>
      <c r="N253" s="35">
        <f>SUM(AI253,AI264)</f>
        <v>0</v>
      </c>
      <c r="O253" s="35">
        <v>0</v>
      </c>
      <c r="P253" s="35">
        <f>SUM(AJ253,AJ264)</f>
        <v>0</v>
      </c>
      <c r="Q253" s="35">
        <v>0</v>
      </c>
      <c r="R253" s="35">
        <f>COUNTIFS($E263:$E287,"4",$F263:$F287,"Pole",$C263:$C287,"FST")</f>
        <v>0</v>
      </c>
      <c r="S253" s="35">
        <f>SUM(AL253,AK264)</f>
        <v>0</v>
      </c>
      <c r="T253" s="35">
        <v>0</v>
      </c>
      <c r="U253" s="35">
        <f>SUM(AK253,AL264)</f>
        <v>1</v>
      </c>
      <c r="V253" s="35">
        <v>0</v>
      </c>
      <c r="W253" s="34">
        <f>COUNTIFS($E263:$E287,"4",$F263:$F287,"HH",$C263:$C287,"FST")</f>
        <v>1</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290" t="s">
        <v>237</v>
      </c>
      <c r="H254" s="291"/>
      <c r="I254" s="35">
        <f>IF(E254=0,0,12-(MOD(I252,12)))</f>
        <v>12</v>
      </c>
      <c r="J254" s="288" t="s">
        <v>238</v>
      </c>
      <c r="K254" s="289"/>
      <c r="L254" s="39">
        <f>I258-I252</f>
        <v>576</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12</v>
      </c>
      <c r="F255" s="88"/>
      <c r="G255" s="320" t="s">
        <v>242</v>
      </c>
      <c r="H255" s="43" t="s">
        <v>243</v>
      </c>
      <c r="I255" s="35">
        <f>IF(E255&lt;&gt;0,1,0)</f>
        <v>1</v>
      </c>
      <c r="J255" s="290" t="s">
        <v>244</v>
      </c>
      <c r="K255" s="291"/>
      <c r="L255" s="44">
        <f>'Cable Calculator'!AH3</f>
        <v>427</v>
      </c>
      <c r="M255" s="195">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577</v>
      </c>
      <c r="F256" s="88"/>
      <c r="G256" s="321"/>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320" t="s">
        <v>251</v>
      </c>
      <c r="H257" s="51" t="s">
        <v>252</v>
      </c>
      <c r="I257" s="112">
        <f>E256</f>
        <v>577</v>
      </c>
      <c r="J257" s="322" t="s">
        <v>253</v>
      </c>
      <c r="K257" s="323"/>
      <c r="L257" s="324"/>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321"/>
      <c r="H258" s="47" t="s">
        <v>257</v>
      </c>
      <c r="I258" s="35">
        <f>IF(E256="","0",IF(AND(E253="EUC",E254=432), I257+(203-E255),IF(E256=0,0,(E256+(E254-E255)-1))))</f>
        <v>708</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132</v>
      </c>
      <c r="D259" s="31" t="s">
        <v>259</v>
      </c>
      <c r="E259" s="101" t="str">
        <f>IF(AS253="Y","DBL",IF(AS254="Y","TRPL",IF(AS255="Y","QUAD","")))</f>
        <v/>
      </c>
      <c r="F259" s="88"/>
      <c r="G259" s="191"/>
      <c r="H259" s="57"/>
      <c r="I259" s="191"/>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5"/>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7"/>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789</v>
      </c>
      <c r="E263" s="32">
        <v>4</v>
      </c>
      <c r="F263" s="32" t="s">
        <v>488</v>
      </c>
      <c r="G263" s="68" t="s">
        <v>277</v>
      </c>
      <c r="H263" s="69">
        <f>IF(I263=0,0,I263-(E263-1))</f>
        <v>705</v>
      </c>
      <c r="I263" s="70">
        <f>IF(E263=0,0,I258)</f>
        <v>708</v>
      </c>
      <c r="J263" s="71" t="s">
        <v>278</v>
      </c>
      <c r="K263" s="32"/>
      <c r="L263" s="232"/>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705-708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804</v>
      </c>
      <c r="E264" s="32">
        <v>8</v>
      </c>
      <c r="F264" s="32" t="s">
        <v>488</v>
      </c>
      <c r="G264" s="68" t="s">
        <v>277</v>
      </c>
      <c r="H264" s="69">
        <f t="shared" ref="H264:H287" si="111">IF(E264=0,0,I264-(E264-1))</f>
        <v>697</v>
      </c>
      <c r="I264" s="70">
        <f t="shared" ref="I264:I287" si="112">IF(E264=0,0,H263-1)</f>
        <v>704</v>
      </c>
      <c r="J264" s="73" t="str">
        <f>IF(C264="","--",IF(AND(C264&lt;&gt;"FST",C264&lt;&gt;"TCF",BA263&lt;&gt;0),BA263,"--"))</f>
        <v>--</v>
      </c>
      <c r="K264" s="32"/>
      <c r="L264" s="232"/>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697-704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36</v>
      </c>
      <c r="F265" s="32"/>
      <c r="G265" s="75" t="s">
        <v>277</v>
      </c>
      <c r="H265" s="69">
        <f t="shared" si="111"/>
        <v>661</v>
      </c>
      <c r="I265" s="70">
        <f t="shared" si="112"/>
        <v>696</v>
      </c>
      <c r="J265" s="73" t="str">
        <f t="shared" ref="J265:J287" si="113">IF(C265="","--",IF(AND(C265&lt;&gt;"FST",C265&lt;&gt;"TCF",BA264&lt;&gt;0),BA264,"--"))</f>
        <v>--</v>
      </c>
      <c r="K265" s="32"/>
      <c r="L265" s="232"/>
      <c r="M265" s="277" t="s">
        <v>414</v>
      </c>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661-696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t="s">
        <v>502</v>
      </c>
      <c r="D266" s="102"/>
      <c r="E266" s="32">
        <v>84</v>
      </c>
      <c r="F266" s="32"/>
      <c r="G266" s="68" t="s">
        <v>277</v>
      </c>
      <c r="H266" s="69">
        <f t="shared" si="111"/>
        <v>577</v>
      </c>
      <c r="I266" s="70">
        <f t="shared" si="112"/>
        <v>660</v>
      </c>
      <c r="J266" s="73" t="str">
        <f t="shared" si="113"/>
        <v>--</v>
      </c>
      <c r="K266" s="32"/>
      <c r="L266" s="232"/>
      <c r="M266" s="277" t="s">
        <v>415</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577-660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77"/>
      <c r="N274" s="277"/>
      <c r="O274" s="277"/>
      <c r="P274" s="277"/>
      <c r="Q274" s="277"/>
      <c r="R274" s="277"/>
      <c r="S274" s="277"/>
      <c r="T274" s="277"/>
      <c r="U274" s="278"/>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77"/>
      <c r="N275" s="277"/>
      <c r="O275" s="277"/>
      <c r="P275" s="277"/>
      <c r="Q275" s="277"/>
      <c r="R275" s="277"/>
      <c r="S275" s="277"/>
      <c r="T275" s="277"/>
      <c r="U275" s="278"/>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77"/>
      <c r="N276" s="277"/>
      <c r="O276" s="277"/>
      <c r="P276" s="277"/>
      <c r="Q276" s="277"/>
      <c r="R276" s="277"/>
      <c r="S276" s="277"/>
      <c r="T276" s="277"/>
      <c r="U276" s="278"/>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77"/>
      <c r="N277" s="277"/>
      <c r="O277" s="277"/>
      <c r="P277" s="277"/>
      <c r="Q277" s="277"/>
      <c r="R277" s="277"/>
      <c r="S277" s="277"/>
      <c r="T277" s="277"/>
      <c r="U277" s="278"/>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77"/>
      <c r="N278" s="277"/>
      <c r="O278" s="277"/>
      <c r="P278" s="277"/>
      <c r="Q278" s="277"/>
      <c r="R278" s="277"/>
      <c r="S278" s="277"/>
      <c r="T278" s="277"/>
      <c r="U278" s="278"/>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77"/>
      <c r="N279" s="277"/>
      <c r="O279" s="277"/>
      <c r="P279" s="277"/>
      <c r="Q279" s="277"/>
      <c r="R279" s="277"/>
      <c r="S279" s="277"/>
      <c r="T279" s="277"/>
      <c r="U279" s="278"/>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77"/>
      <c r="N280" s="277"/>
      <c r="O280" s="277"/>
      <c r="P280" s="277"/>
      <c r="Q280" s="277"/>
      <c r="R280" s="277"/>
      <c r="S280" s="277"/>
      <c r="T280" s="277"/>
      <c r="U280" s="278"/>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77"/>
      <c r="N281" s="277"/>
      <c r="O281" s="277"/>
      <c r="P281" s="277"/>
      <c r="Q281" s="277"/>
      <c r="R281" s="277"/>
      <c r="S281" s="277"/>
      <c r="T281" s="277"/>
      <c r="U281" s="278"/>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77"/>
      <c r="N282" s="277"/>
      <c r="O282" s="277"/>
      <c r="P282" s="277"/>
      <c r="Q282" s="277"/>
      <c r="R282" s="277"/>
      <c r="S282" s="277"/>
      <c r="T282" s="277"/>
      <c r="U282" s="278"/>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77"/>
      <c r="N283" s="277"/>
      <c r="O283" s="277"/>
      <c r="P283" s="277"/>
      <c r="Q283" s="277"/>
      <c r="R283" s="277"/>
      <c r="S283" s="277"/>
      <c r="T283" s="277"/>
      <c r="U283" s="278"/>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77"/>
      <c r="N284" s="277"/>
      <c r="O284" s="277"/>
      <c r="P284" s="277"/>
      <c r="Q284" s="277"/>
      <c r="R284" s="277"/>
      <c r="S284" s="277"/>
      <c r="T284" s="277"/>
      <c r="U284" s="278"/>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77"/>
      <c r="N285" s="277"/>
      <c r="O285" s="277"/>
      <c r="P285" s="277"/>
      <c r="Q285" s="277"/>
      <c r="R285" s="277"/>
      <c r="S285" s="277"/>
      <c r="T285" s="277"/>
      <c r="U285" s="278"/>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77"/>
      <c r="N286" s="277"/>
      <c r="O286" s="277"/>
      <c r="P286" s="277"/>
      <c r="Q286" s="277"/>
      <c r="R286" s="277"/>
      <c r="S286" s="277"/>
      <c r="T286" s="277"/>
      <c r="U286" s="278"/>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77"/>
      <c r="N287" s="277"/>
      <c r="O287" s="277"/>
      <c r="P287" s="277"/>
      <c r="Q287" s="277"/>
      <c r="R287" s="277"/>
      <c r="S287" s="277"/>
      <c r="T287" s="277"/>
      <c r="U287" s="278"/>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318" t="s">
        <v>317</v>
      </c>
      <c r="C288" s="319"/>
      <c r="D288" s="79"/>
      <c r="E288" s="80"/>
      <c r="F288" s="80"/>
      <c r="G288" s="81"/>
      <c r="H288" s="191"/>
      <c r="I288" s="191"/>
      <c r="J288" s="191"/>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311" t="s">
        <v>222</v>
      </c>
      <c r="C293" s="312"/>
      <c r="D293" s="313" t="s">
        <v>223</v>
      </c>
      <c r="E293" s="304"/>
      <c r="F293" s="88"/>
      <c r="G293" s="314" t="s">
        <v>224</v>
      </c>
      <c r="H293" s="315"/>
      <c r="I293" s="28">
        <f>SUM(E304:E328)</f>
        <v>144</v>
      </c>
      <c r="J293" s="316" t="s">
        <v>225</v>
      </c>
      <c r="K293" s="317"/>
      <c r="L293" s="304"/>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0</v>
      </c>
      <c r="J294" s="288" t="s">
        <v>231</v>
      </c>
      <c r="K294" s="289"/>
      <c r="L294" s="34">
        <f>I298</f>
        <v>433</v>
      </c>
      <c r="M294" s="195">
        <v>4</v>
      </c>
      <c r="N294" s="35">
        <f>SUM(AI294,AI305)</f>
        <v>0</v>
      </c>
      <c r="O294" s="35">
        <v>0</v>
      </c>
      <c r="P294" s="35">
        <f>SUM(AJ294,AJ305)</f>
        <v>0</v>
      </c>
      <c r="Q294" s="35">
        <v>0</v>
      </c>
      <c r="R294" s="35">
        <f>COUNTIFS($E304:$E328,"4",$F304:$F328,"Pole",$C304:$C328,"FST")</f>
        <v>0</v>
      </c>
      <c r="S294" s="35">
        <f>SUM(AL294,AK305)</f>
        <v>0</v>
      </c>
      <c r="T294" s="35">
        <v>0</v>
      </c>
      <c r="U294" s="35">
        <f>SUM(AK294,AL305)</f>
        <v>5</v>
      </c>
      <c r="V294" s="35">
        <v>0</v>
      </c>
      <c r="W294" s="34">
        <f>COUNTIFS($E304:$E328,"4",$F304:$F328,"HH",$C304:$C328,"FST")</f>
        <v>5</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5</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144</v>
      </c>
      <c r="F295" s="88"/>
      <c r="G295" s="290" t="s">
        <v>237</v>
      </c>
      <c r="H295" s="291"/>
      <c r="I295" s="35">
        <f>IF(E295=0,0,12-(MOD(I293,12)))</f>
        <v>12</v>
      </c>
      <c r="J295" s="288" t="s">
        <v>238</v>
      </c>
      <c r="K295" s="289"/>
      <c r="L295" s="39">
        <f>I299-I293</f>
        <v>432</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0</v>
      </c>
      <c r="F296" s="88"/>
      <c r="G296" s="320" t="s">
        <v>242</v>
      </c>
      <c r="H296" s="43" t="s">
        <v>243</v>
      </c>
      <c r="I296" s="35">
        <f>IF(E296&lt;&gt;0,1,0)</f>
        <v>0</v>
      </c>
      <c r="J296" s="290" t="s">
        <v>244</v>
      </c>
      <c r="K296" s="291"/>
      <c r="L296" s="44">
        <f>'Cable Calculator'!AM3</f>
        <v>1492</v>
      </c>
      <c r="M296" s="195">
        <v>8</v>
      </c>
      <c r="N296" s="35">
        <f>SUM(AI296,AI307)</f>
        <v>0</v>
      </c>
      <c r="O296" s="35">
        <v>0</v>
      </c>
      <c r="P296" s="35">
        <f>SUM(AJ296,AJ307)</f>
        <v>0</v>
      </c>
      <c r="Q296" s="35">
        <v>0</v>
      </c>
      <c r="R296" s="35">
        <f>COUNTIFS($E304:$E328,"8",$F304:$F328,"Pole",$C304:$C328,"FST")</f>
        <v>0</v>
      </c>
      <c r="S296" s="35">
        <f>SUM(AL296,AK307)</f>
        <v>0</v>
      </c>
      <c r="T296" s="35">
        <v>0</v>
      </c>
      <c r="U296" s="35">
        <f>SUM(AK296,AL307)</f>
        <v>2</v>
      </c>
      <c r="V296" s="35">
        <v>0</v>
      </c>
      <c r="W296" s="34">
        <f>COUNTIFS($E304:$E328,"8",$F304:$F328,"HH",$C304:$C328,"FST")</f>
        <v>2</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2</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433</v>
      </c>
      <c r="F297" s="88"/>
      <c r="G297" s="321"/>
      <c r="H297" s="47" t="s">
        <v>248</v>
      </c>
      <c r="I297" s="35">
        <f>IF(E296&lt;&gt;0,E296,0)</f>
        <v>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12</v>
      </c>
      <c r="F298" s="88"/>
      <c r="G298" s="320" t="s">
        <v>251</v>
      </c>
      <c r="H298" s="51" t="s">
        <v>252</v>
      </c>
      <c r="I298" s="112">
        <f>E297</f>
        <v>433</v>
      </c>
      <c r="J298" s="322" t="s">
        <v>253</v>
      </c>
      <c r="K298" s="323"/>
      <c r="L298" s="324"/>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321"/>
      <c r="H299" s="47" t="s">
        <v>257</v>
      </c>
      <c r="I299" s="35">
        <f>IF(E297="","0",IF(AND(E294="EUC",E295=432), I298+(203-E296),IF(E297=0,0,(E297+(E295-E296)-1))))</f>
        <v>576</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144</v>
      </c>
      <c r="D300" s="31" t="s">
        <v>259</v>
      </c>
      <c r="E300" s="101" t="str">
        <f>IF(AS294="Y","DBL",IF(AS295="Y","TRPL",IF(AS296="Y","QUAD","")))</f>
        <v/>
      </c>
      <c r="F300" s="88"/>
      <c r="G300" s="191"/>
      <c r="H300" s="57"/>
      <c r="I300" s="191"/>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5"/>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7"/>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790</v>
      </c>
      <c r="E304" s="32">
        <v>4</v>
      </c>
      <c r="F304" s="32" t="s">
        <v>488</v>
      </c>
      <c r="G304" s="68" t="s">
        <v>277</v>
      </c>
      <c r="H304" s="69">
        <f>IF(I304=0,0,I304-(E304-1))</f>
        <v>573</v>
      </c>
      <c r="I304" s="70">
        <f>IF(E304=0,0,I299)</f>
        <v>576</v>
      </c>
      <c r="J304" s="71" t="s">
        <v>278</v>
      </c>
      <c r="K304" s="32"/>
      <c r="L304" s="232"/>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573-576</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791</v>
      </c>
      <c r="E305" s="32">
        <v>4</v>
      </c>
      <c r="F305" s="32" t="s">
        <v>488</v>
      </c>
      <c r="G305" s="68" t="s">
        <v>277</v>
      </c>
      <c r="H305" s="69">
        <f t="shared" ref="H305:H328" si="128">IF(E305=0,0,I305-(E305-1))</f>
        <v>569</v>
      </c>
      <c r="I305" s="70">
        <f t="shared" ref="I305:I328" si="129">IF(E305=0,0,H304-1)</f>
        <v>572</v>
      </c>
      <c r="J305" s="73" t="str">
        <f>IF(C305="","--",IF(AND(C305&lt;&gt;"FST",C305&lt;&gt;"TCF",BA304&lt;&gt;0),BA304,"--"))</f>
        <v>--</v>
      </c>
      <c r="K305" s="32"/>
      <c r="L305" s="232"/>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569-572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t="s">
        <v>484</v>
      </c>
      <c r="D306" s="102" t="s">
        <v>793</v>
      </c>
      <c r="E306" s="32">
        <v>4</v>
      </c>
      <c r="F306" s="32" t="s">
        <v>488</v>
      </c>
      <c r="G306" s="75" t="s">
        <v>277</v>
      </c>
      <c r="H306" s="69">
        <f t="shared" si="128"/>
        <v>565</v>
      </c>
      <c r="I306" s="70">
        <f t="shared" si="129"/>
        <v>568</v>
      </c>
      <c r="J306" s="73" t="str">
        <f t="shared" ref="J306:J328" si="130">IF(C306="","--",IF(AND(C306&lt;&gt;"FST",C306&lt;&gt;"TCF",BA305&lt;&gt;0),BA305,"--"))</f>
        <v>--</v>
      </c>
      <c r="K306" s="32"/>
      <c r="L306" s="232"/>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565-568</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4</v>
      </c>
    </row>
    <row r="307" spans="1:53" ht="15.75" thickBot="1" x14ac:dyDescent="0.3">
      <c r="A307" s="88"/>
      <c r="B307" s="66" t="s">
        <v>281</v>
      </c>
      <c r="C307" s="67" t="s">
        <v>484</v>
      </c>
      <c r="D307" s="102" t="s">
        <v>792</v>
      </c>
      <c r="E307" s="32">
        <v>4</v>
      </c>
      <c r="F307" s="32" t="s">
        <v>488</v>
      </c>
      <c r="G307" s="68" t="s">
        <v>277</v>
      </c>
      <c r="H307" s="69">
        <f t="shared" si="128"/>
        <v>561</v>
      </c>
      <c r="I307" s="70">
        <f t="shared" si="129"/>
        <v>564</v>
      </c>
      <c r="J307" s="73" t="str">
        <f t="shared" si="130"/>
        <v>--</v>
      </c>
      <c r="K307" s="32"/>
      <c r="L307" s="232"/>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0</v>
      </c>
      <c r="AE307" s="109" t="str">
        <f t="shared" si="121"/>
        <v>561-564</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t="s">
        <v>484</v>
      </c>
      <c r="D308" s="102" t="s">
        <v>815</v>
      </c>
      <c r="E308" s="32">
        <v>4</v>
      </c>
      <c r="F308" s="32" t="s">
        <v>488</v>
      </c>
      <c r="G308" s="68" t="s">
        <v>277</v>
      </c>
      <c r="H308" s="69">
        <f t="shared" si="128"/>
        <v>557</v>
      </c>
      <c r="I308" s="70">
        <f t="shared" si="129"/>
        <v>560</v>
      </c>
      <c r="J308" s="73" t="str">
        <f t="shared" si="130"/>
        <v>--</v>
      </c>
      <c r="K308" s="32"/>
      <c r="L308" s="232"/>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557-560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4</v>
      </c>
    </row>
    <row r="309" spans="1:53" ht="15.75" thickBot="1" x14ac:dyDescent="0.3">
      <c r="A309" s="88"/>
      <c r="B309" s="66" t="s">
        <v>283</v>
      </c>
      <c r="C309" s="67" t="s">
        <v>484</v>
      </c>
      <c r="D309" s="102" t="s">
        <v>746</v>
      </c>
      <c r="E309" s="32">
        <v>8</v>
      </c>
      <c r="F309" s="32" t="s">
        <v>488</v>
      </c>
      <c r="G309" s="68" t="s">
        <v>277</v>
      </c>
      <c r="H309" s="69">
        <f t="shared" si="128"/>
        <v>549</v>
      </c>
      <c r="I309" s="70">
        <f t="shared" si="129"/>
        <v>556</v>
      </c>
      <c r="J309" s="73" t="str">
        <f t="shared" si="130"/>
        <v>--</v>
      </c>
      <c r="K309" s="32"/>
      <c r="L309" s="232"/>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0</v>
      </c>
      <c r="AE309" s="109" t="str">
        <f t="shared" si="121"/>
        <v>549-556</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t="s">
        <v>484</v>
      </c>
      <c r="D310" s="102" t="s">
        <v>772</v>
      </c>
      <c r="E310" s="32">
        <v>8</v>
      </c>
      <c r="F310" s="32" t="s">
        <v>488</v>
      </c>
      <c r="G310" s="68" t="s">
        <v>277</v>
      </c>
      <c r="H310" s="69">
        <f t="shared" si="128"/>
        <v>541</v>
      </c>
      <c r="I310" s="70">
        <f t="shared" si="129"/>
        <v>548</v>
      </c>
      <c r="J310" s="73" t="str">
        <f t="shared" si="130"/>
        <v>--</v>
      </c>
      <c r="K310" s="32"/>
      <c r="L310" s="232"/>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0</v>
      </c>
      <c r="AE310" s="109" t="str">
        <f t="shared" si="121"/>
        <v>541-548</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t="s">
        <v>502</v>
      </c>
      <c r="D311" s="102"/>
      <c r="E311" s="32">
        <v>24</v>
      </c>
      <c r="F311" s="32"/>
      <c r="G311" s="68" t="s">
        <v>277</v>
      </c>
      <c r="H311" s="69">
        <f t="shared" si="128"/>
        <v>517</v>
      </c>
      <c r="I311" s="70">
        <f t="shared" si="129"/>
        <v>540</v>
      </c>
      <c r="J311" s="73" t="str">
        <f t="shared" si="130"/>
        <v>--</v>
      </c>
      <c r="K311" s="32"/>
      <c r="L311" s="232"/>
      <c r="M311" s="277" t="s">
        <v>411</v>
      </c>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517-540</v>
      </c>
      <c r="AF311" s="109" t="str">
        <f t="shared" si="122"/>
        <v>N</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t="s">
        <v>502</v>
      </c>
      <c r="D312" s="102"/>
      <c r="E312" s="32">
        <v>84</v>
      </c>
      <c r="F312" s="32"/>
      <c r="G312" s="68" t="s">
        <v>277</v>
      </c>
      <c r="H312" s="69">
        <f t="shared" si="128"/>
        <v>433</v>
      </c>
      <c r="I312" s="70">
        <f t="shared" si="129"/>
        <v>516</v>
      </c>
      <c r="J312" s="73" t="str">
        <f t="shared" si="130"/>
        <v>--</v>
      </c>
      <c r="K312" s="32"/>
      <c r="L312" s="232"/>
      <c r="M312" s="277" t="s">
        <v>412</v>
      </c>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433-516</v>
      </c>
      <c r="AF312" s="109" t="str">
        <f t="shared" si="122"/>
        <v>N</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77"/>
      <c r="N315" s="277"/>
      <c r="O315" s="277"/>
      <c r="P315" s="277"/>
      <c r="Q315" s="277"/>
      <c r="R315" s="277"/>
      <c r="S315" s="277"/>
      <c r="T315" s="277"/>
      <c r="U315" s="278"/>
      <c r="V315" s="103"/>
      <c r="W315" s="84">
        <f>Y315+1</f>
        <v>145</v>
      </c>
      <c r="X315" s="84"/>
      <c r="Y315" s="78">
        <f>SUM(E304:E315)</f>
        <v>144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77"/>
      <c r="N316" s="277"/>
      <c r="O316" s="277"/>
      <c r="P316" s="277"/>
      <c r="Q316" s="277"/>
      <c r="R316" s="277"/>
      <c r="S316" s="277"/>
      <c r="T316" s="277"/>
      <c r="U316" s="278"/>
      <c r="V316" s="103"/>
      <c r="W316" s="84">
        <f>Y316+1</f>
        <v>145</v>
      </c>
      <c r="X316" s="84"/>
      <c r="Y316" s="78">
        <f>SUM(E304:E316)</f>
        <v>144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77"/>
      <c r="N317" s="277"/>
      <c r="O317" s="277"/>
      <c r="P317" s="277"/>
      <c r="Q317" s="277"/>
      <c r="R317" s="277"/>
      <c r="S317" s="277"/>
      <c r="T317" s="277"/>
      <c r="U317" s="278"/>
      <c r="V317" s="103"/>
      <c r="W317" s="84">
        <f>Y317+1</f>
        <v>145</v>
      </c>
      <c r="X317" s="84"/>
      <c r="Y317" s="78">
        <f>SUM(E304:E317)</f>
        <v>144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77"/>
      <c r="N318" s="277"/>
      <c r="O318" s="277"/>
      <c r="P318" s="277"/>
      <c r="Q318" s="277"/>
      <c r="R318" s="277"/>
      <c r="S318" s="277"/>
      <c r="T318" s="277"/>
      <c r="U318" s="278"/>
      <c r="V318" s="103"/>
      <c r="W318" s="84">
        <f>Y318+1</f>
        <v>145</v>
      </c>
      <c r="X318" s="84"/>
      <c r="Y318" s="78">
        <f>SUM(E304:E318)</f>
        <v>144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77"/>
      <c r="N319" s="277"/>
      <c r="O319" s="277"/>
      <c r="P319" s="277"/>
      <c r="Q319" s="277"/>
      <c r="R319" s="277"/>
      <c r="S319" s="277"/>
      <c r="T319" s="277"/>
      <c r="U319" s="278"/>
      <c r="V319" s="103"/>
      <c r="W319" s="84">
        <f t="shared" ref="W319:W327" si="135">Y319+1</f>
        <v>145</v>
      </c>
      <c r="X319" s="84"/>
      <c r="Y319" s="78">
        <f>SUM(E304:E319)</f>
        <v>144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77"/>
      <c r="N320" s="277"/>
      <c r="O320" s="277"/>
      <c r="P320" s="277"/>
      <c r="Q320" s="277"/>
      <c r="R320" s="277"/>
      <c r="S320" s="277"/>
      <c r="T320" s="277"/>
      <c r="U320" s="278"/>
      <c r="V320" s="103"/>
      <c r="W320" s="84">
        <f t="shared" si="135"/>
        <v>145</v>
      </c>
      <c r="X320" s="84"/>
      <c r="Y320" s="78">
        <f>SUM(E304:E320)</f>
        <v>144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77"/>
      <c r="N321" s="277"/>
      <c r="O321" s="277"/>
      <c r="P321" s="277"/>
      <c r="Q321" s="277"/>
      <c r="R321" s="277"/>
      <c r="S321" s="277"/>
      <c r="T321" s="277"/>
      <c r="U321" s="278"/>
      <c r="V321" s="103"/>
      <c r="W321" s="84">
        <f t="shared" si="135"/>
        <v>145</v>
      </c>
      <c r="X321" s="84"/>
      <c r="Y321" s="78">
        <f>SUM(E304:E321)</f>
        <v>144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77"/>
      <c r="N322" s="277"/>
      <c r="O322" s="277"/>
      <c r="P322" s="277"/>
      <c r="Q322" s="277"/>
      <c r="R322" s="277"/>
      <c r="S322" s="277"/>
      <c r="T322" s="277"/>
      <c r="U322" s="278"/>
      <c r="V322" s="103"/>
      <c r="W322" s="84">
        <f t="shared" si="135"/>
        <v>145</v>
      </c>
      <c r="X322" s="84"/>
      <c r="Y322" s="78">
        <f>SUM(E304:E322)</f>
        <v>144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77"/>
      <c r="N323" s="277"/>
      <c r="O323" s="277"/>
      <c r="P323" s="277"/>
      <c r="Q323" s="277"/>
      <c r="R323" s="277"/>
      <c r="S323" s="277"/>
      <c r="T323" s="277"/>
      <c r="U323" s="278"/>
      <c r="V323" s="103"/>
      <c r="W323" s="84">
        <f t="shared" si="135"/>
        <v>145</v>
      </c>
      <c r="X323" s="84"/>
      <c r="Y323" s="78">
        <f>SUM(E304:E323)</f>
        <v>144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77"/>
      <c r="N324" s="277"/>
      <c r="O324" s="277"/>
      <c r="P324" s="277"/>
      <c r="Q324" s="277"/>
      <c r="R324" s="277"/>
      <c r="S324" s="277"/>
      <c r="T324" s="277"/>
      <c r="U324" s="278"/>
      <c r="V324" s="103"/>
      <c r="W324" s="84">
        <f t="shared" si="135"/>
        <v>145</v>
      </c>
      <c r="X324" s="84"/>
      <c r="Y324" s="78">
        <f>SUM(E304:E324)</f>
        <v>144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77"/>
      <c r="N325" s="277"/>
      <c r="O325" s="277"/>
      <c r="P325" s="277"/>
      <c r="Q325" s="277"/>
      <c r="R325" s="277"/>
      <c r="S325" s="277"/>
      <c r="T325" s="277"/>
      <c r="U325" s="278"/>
      <c r="V325" s="103"/>
      <c r="W325" s="84">
        <f t="shared" si="135"/>
        <v>145</v>
      </c>
      <c r="X325" s="84"/>
      <c r="Y325" s="78">
        <f>SUM(E304:E325)</f>
        <v>144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77"/>
      <c r="N326" s="277"/>
      <c r="O326" s="277"/>
      <c r="P326" s="277"/>
      <c r="Q326" s="277"/>
      <c r="R326" s="277"/>
      <c r="S326" s="277"/>
      <c r="T326" s="277"/>
      <c r="U326" s="278"/>
      <c r="V326" s="103"/>
      <c r="W326" s="84">
        <f t="shared" si="135"/>
        <v>145</v>
      </c>
      <c r="X326" s="84"/>
      <c r="Y326" s="78">
        <f>SUM(E304:E326)</f>
        <v>144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77"/>
      <c r="N327" s="277"/>
      <c r="O327" s="277"/>
      <c r="P327" s="277"/>
      <c r="Q327" s="277"/>
      <c r="R327" s="277"/>
      <c r="S327" s="277"/>
      <c r="T327" s="277"/>
      <c r="U327" s="278"/>
      <c r="V327" s="103"/>
      <c r="W327" s="84">
        <f t="shared" si="135"/>
        <v>145</v>
      </c>
      <c r="X327" s="84"/>
      <c r="Y327" s="78">
        <f>SUM(E304:E327)</f>
        <v>144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77"/>
      <c r="N328" s="277"/>
      <c r="O328" s="277"/>
      <c r="P328" s="277"/>
      <c r="Q328" s="277"/>
      <c r="R328" s="277"/>
      <c r="S328" s="277"/>
      <c r="T328" s="277"/>
      <c r="U328" s="278"/>
      <c r="V328" s="103"/>
      <c r="W328" s="72"/>
      <c r="X328" s="72"/>
      <c r="Y328" s="78">
        <f>SUM(E304:E328)</f>
        <v>144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318" t="s">
        <v>319</v>
      </c>
      <c r="C329" s="319"/>
      <c r="D329" s="79"/>
      <c r="E329" s="80"/>
      <c r="F329" s="80"/>
      <c r="G329" s="81"/>
      <c r="H329" s="191"/>
      <c r="I329" s="191"/>
      <c r="J329" s="191"/>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18</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311" t="s">
        <v>222</v>
      </c>
      <c r="C334" s="312"/>
      <c r="D334" s="313" t="s">
        <v>223</v>
      </c>
      <c r="E334" s="304"/>
      <c r="F334" s="88"/>
      <c r="G334" s="314" t="s">
        <v>224</v>
      </c>
      <c r="H334" s="315"/>
      <c r="I334" s="28">
        <f>SUM(E345:E369)</f>
        <v>24</v>
      </c>
      <c r="J334" s="316" t="s">
        <v>225</v>
      </c>
      <c r="K334" s="317"/>
      <c r="L334" s="304"/>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0</v>
      </c>
      <c r="J335" s="288" t="s">
        <v>231</v>
      </c>
      <c r="K335" s="289"/>
      <c r="L335" s="34">
        <f>I339</f>
        <v>517</v>
      </c>
      <c r="M335" s="195">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24</v>
      </c>
      <c r="F336" s="88"/>
      <c r="G336" s="290" t="s">
        <v>237</v>
      </c>
      <c r="H336" s="291"/>
      <c r="I336" s="35">
        <f>IF(E336=0,0,12-(MOD(I334,12)))</f>
        <v>12</v>
      </c>
      <c r="J336" s="288" t="s">
        <v>238</v>
      </c>
      <c r="K336" s="289"/>
      <c r="L336" s="39">
        <f>I340-I334</f>
        <v>516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0</v>
      </c>
      <c r="F337" s="88"/>
      <c r="G337" s="320" t="s">
        <v>242</v>
      </c>
      <c r="H337" s="43" t="s">
        <v>243</v>
      </c>
      <c r="I337" s="35">
        <f>IF(E337&lt;&gt;0,1,0)</f>
        <v>0</v>
      </c>
      <c r="J337" s="290" t="s">
        <v>244</v>
      </c>
      <c r="K337" s="291"/>
      <c r="L337" s="44">
        <f>'Cable Calculator'!AR3</f>
        <v>1062</v>
      </c>
      <c r="M337" s="195">
        <v>8</v>
      </c>
      <c r="N337" s="35">
        <f>SUM(AI337,AI348)</f>
        <v>0</v>
      </c>
      <c r="O337" s="35">
        <v>0</v>
      </c>
      <c r="P337" s="35">
        <f>SUM(AJ337,AJ348)</f>
        <v>0</v>
      </c>
      <c r="Q337" s="35">
        <v>0</v>
      </c>
      <c r="R337" s="35">
        <f>COUNTIFS($E345:$E369,"8",$F345:$F369,"Pole",$C345:$C369,"FST")</f>
        <v>0</v>
      </c>
      <c r="S337" s="35">
        <f>SUM(AL337,AK348)</f>
        <v>0</v>
      </c>
      <c r="T337" s="35">
        <v>0</v>
      </c>
      <c r="U337" s="35">
        <f>SUM(AK337,AL348)</f>
        <v>2</v>
      </c>
      <c r="V337" s="35">
        <v>0</v>
      </c>
      <c r="W337" s="34">
        <f>COUNTIFS($E345:$E369,"8",$F345:$F369,"HH",$C345:$C369,"FST")</f>
        <v>2</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2</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517</v>
      </c>
      <c r="F338" s="88"/>
      <c r="G338" s="321"/>
      <c r="H338" s="47" t="s">
        <v>248</v>
      </c>
      <c r="I338" s="35">
        <f>IF(E337&lt;&gt;0,E337,0)</f>
        <v>0</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2</v>
      </c>
      <c r="F339" s="88"/>
      <c r="G339" s="320" t="s">
        <v>251</v>
      </c>
      <c r="H339" s="51" t="s">
        <v>252</v>
      </c>
      <c r="I339" s="112">
        <f>E338</f>
        <v>517</v>
      </c>
      <c r="J339" s="322" t="s">
        <v>253</v>
      </c>
      <c r="K339" s="323"/>
      <c r="L339" s="324"/>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321"/>
      <c r="H340" s="47" t="s">
        <v>257</v>
      </c>
      <c r="I340" s="35">
        <f>IF(E338="","0",IF(AND(E335="EUC",E336=432), I339+(203-E337),IF(E338=0,0,(E338+(E336-E337)-1))))</f>
        <v>540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24</v>
      </c>
      <c r="D341" s="31" t="s">
        <v>259</v>
      </c>
      <c r="E341" s="101" t="str">
        <f>IF(AS335="Y","DBL",IF(AS336="Y","TRPL",IF(AS337="Y","QUAD","")))</f>
        <v/>
      </c>
      <c r="F341" s="88"/>
      <c r="G341" s="191"/>
      <c r="H341" s="57"/>
      <c r="I341" s="191"/>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5"/>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7"/>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816</v>
      </c>
      <c r="E345" s="32">
        <v>4</v>
      </c>
      <c r="F345" s="32" t="s">
        <v>488</v>
      </c>
      <c r="G345" s="68" t="s">
        <v>277</v>
      </c>
      <c r="H345" s="69">
        <f>IF(I345=0,0,I345-(E345-1))</f>
        <v>537</v>
      </c>
      <c r="I345" s="70">
        <f>IF(E345=0,0,I340)</f>
        <v>540</v>
      </c>
      <c r="J345" s="71" t="s">
        <v>278</v>
      </c>
      <c r="K345" s="32"/>
      <c r="L345" s="232"/>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537-540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806</v>
      </c>
      <c r="E346" s="32">
        <v>4</v>
      </c>
      <c r="F346" s="32" t="s">
        <v>488</v>
      </c>
      <c r="G346" s="68" t="s">
        <v>277</v>
      </c>
      <c r="H346" s="69">
        <f t="shared" ref="H346:H369" si="145">IF(E346=0,0,I346-(E346-1))</f>
        <v>533</v>
      </c>
      <c r="I346" s="70">
        <f t="shared" ref="I346:I369" si="146">IF(E346=0,0,H345-1)</f>
        <v>536</v>
      </c>
      <c r="J346" s="73" t="str">
        <f>IF(C346="","--",IF(AND(C346&lt;&gt;"FST",C346&lt;&gt;"TCF",BA345&lt;&gt;0),BA345,"--"))</f>
        <v>--</v>
      </c>
      <c r="K346" s="32"/>
      <c r="L346" s="232"/>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533-536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748</v>
      </c>
      <c r="E347" s="32">
        <v>8</v>
      </c>
      <c r="F347" s="32" t="s">
        <v>488</v>
      </c>
      <c r="G347" s="75" t="s">
        <v>277</v>
      </c>
      <c r="H347" s="69">
        <f t="shared" si="145"/>
        <v>525</v>
      </c>
      <c r="I347" s="70">
        <f t="shared" si="146"/>
        <v>532</v>
      </c>
      <c r="J347" s="73" t="str">
        <f t="shared" ref="J347:J369" si="147">IF(C347="","--",IF(AND(C347&lt;&gt;"FST",C347&lt;&gt;"TCF",BA346&lt;&gt;0),BA346,"--"))</f>
        <v>--</v>
      </c>
      <c r="K347" s="32"/>
      <c r="L347" s="232"/>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525-532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484</v>
      </c>
      <c r="D348" s="102" t="s">
        <v>747</v>
      </c>
      <c r="E348" s="32">
        <v>8</v>
      </c>
      <c r="F348" s="32" t="s">
        <v>488</v>
      </c>
      <c r="G348" s="68" t="s">
        <v>277</v>
      </c>
      <c r="H348" s="69">
        <f t="shared" si="145"/>
        <v>517</v>
      </c>
      <c r="I348" s="70">
        <f t="shared" si="146"/>
        <v>524</v>
      </c>
      <c r="J348" s="73" t="str">
        <f t="shared" si="147"/>
        <v>--</v>
      </c>
      <c r="K348" s="32"/>
      <c r="L348" s="232"/>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517-524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77"/>
      <c r="N356" s="277"/>
      <c r="O356" s="277"/>
      <c r="P356" s="277"/>
      <c r="Q356" s="277"/>
      <c r="R356" s="277"/>
      <c r="S356" s="277"/>
      <c r="T356" s="277"/>
      <c r="U356" s="278"/>
      <c r="V356" s="103"/>
      <c r="W356" s="84">
        <f>Y356+1</f>
        <v>25</v>
      </c>
      <c r="X356" s="84"/>
      <c r="Y356" s="78">
        <f>SUM(E345:E356)</f>
        <v>24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77"/>
      <c r="N357" s="277"/>
      <c r="O357" s="277"/>
      <c r="P357" s="277"/>
      <c r="Q357" s="277"/>
      <c r="R357" s="277"/>
      <c r="S357" s="277"/>
      <c r="T357" s="277"/>
      <c r="U357" s="278"/>
      <c r="V357" s="103"/>
      <c r="W357" s="84">
        <f>Y357+1</f>
        <v>25</v>
      </c>
      <c r="X357" s="84"/>
      <c r="Y357" s="78">
        <f>SUM(E345:E357)</f>
        <v>24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77"/>
      <c r="N358" s="277"/>
      <c r="O358" s="277"/>
      <c r="P358" s="277"/>
      <c r="Q358" s="277"/>
      <c r="R358" s="277"/>
      <c r="S358" s="277"/>
      <c r="T358" s="277"/>
      <c r="U358" s="278"/>
      <c r="V358" s="103"/>
      <c r="W358" s="84">
        <f>Y358+1</f>
        <v>25</v>
      </c>
      <c r="X358" s="84"/>
      <c r="Y358" s="78">
        <f>SUM(E345:E358)</f>
        <v>24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77"/>
      <c r="N359" s="277"/>
      <c r="O359" s="277"/>
      <c r="P359" s="277"/>
      <c r="Q359" s="277"/>
      <c r="R359" s="277"/>
      <c r="S359" s="277"/>
      <c r="T359" s="277"/>
      <c r="U359" s="278"/>
      <c r="V359" s="103"/>
      <c r="W359" s="84">
        <f>Y359+1</f>
        <v>25</v>
      </c>
      <c r="X359" s="84"/>
      <c r="Y359" s="78">
        <f>SUM(E345:E359)</f>
        <v>24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77"/>
      <c r="N360" s="277"/>
      <c r="O360" s="277"/>
      <c r="P360" s="277"/>
      <c r="Q360" s="277"/>
      <c r="R360" s="277"/>
      <c r="S360" s="277"/>
      <c r="T360" s="277"/>
      <c r="U360" s="278"/>
      <c r="V360" s="103"/>
      <c r="W360" s="84">
        <f t="shared" ref="W360:W368" si="152">Y360+1</f>
        <v>25</v>
      </c>
      <c r="X360" s="84"/>
      <c r="Y360" s="78">
        <f>SUM(E345:E360)</f>
        <v>24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77"/>
      <c r="N361" s="277"/>
      <c r="O361" s="277"/>
      <c r="P361" s="277"/>
      <c r="Q361" s="277"/>
      <c r="R361" s="277"/>
      <c r="S361" s="277"/>
      <c r="T361" s="277"/>
      <c r="U361" s="278"/>
      <c r="V361" s="103"/>
      <c r="W361" s="84">
        <f t="shared" si="152"/>
        <v>25</v>
      </c>
      <c r="X361" s="84"/>
      <c r="Y361" s="78">
        <f>SUM(E345:E361)</f>
        <v>24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77"/>
      <c r="N362" s="277"/>
      <c r="O362" s="277"/>
      <c r="P362" s="277"/>
      <c r="Q362" s="277"/>
      <c r="R362" s="277"/>
      <c r="S362" s="277"/>
      <c r="T362" s="277"/>
      <c r="U362" s="278"/>
      <c r="V362" s="103"/>
      <c r="W362" s="84">
        <f t="shared" si="152"/>
        <v>25</v>
      </c>
      <c r="X362" s="84"/>
      <c r="Y362" s="78">
        <f>SUM(E345:E362)</f>
        <v>24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77"/>
      <c r="N363" s="277"/>
      <c r="O363" s="277"/>
      <c r="P363" s="277"/>
      <c r="Q363" s="277"/>
      <c r="R363" s="277"/>
      <c r="S363" s="277"/>
      <c r="T363" s="277"/>
      <c r="U363" s="278"/>
      <c r="V363" s="103"/>
      <c r="W363" s="84">
        <f t="shared" si="152"/>
        <v>25</v>
      </c>
      <c r="X363" s="84"/>
      <c r="Y363" s="78">
        <f>SUM(E345:E363)</f>
        <v>24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77"/>
      <c r="N364" s="277"/>
      <c r="O364" s="277"/>
      <c r="P364" s="277"/>
      <c r="Q364" s="277"/>
      <c r="R364" s="277"/>
      <c r="S364" s="277"/>
      <c r="T364" s="277"/>
      <c r="U364" s="278"/>
      <c r="V364" s="103"/>
      <c r="W364" s="84">
        <f t="shared" si="152"/>
        <v>25</v>
      </c>
      <c r="X364" s="84"/>
      <c r="Y364" s="78">
        <f>SUM(E345:E364)</f>
        <v>24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77"/>
      <c r="N365" s="277"/>
      <c r="O365" s="277"/>
      <c r="P365" s="277"/>
      <c r="Q365" s="277"/>
      <c r="R365" s="277"/>
      <c r="S365" s="277"/>
      <c r="T365" s="277"/>
      <c r="U365" s="278"/>
      <c r="V365" s="103"/>
      <c r="W365" s="84">
        <f t="shared" si="152"/>
        <v>25</v>
      </c>
      <c r="X365" s="84"/>
      <c r="Y365" s="78">
        <f>SUM(E345:E365)</f>
        <v>24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77"/>
      <c r="N366" s="277"/>
      <c r="O366" s="277"/>
      <c r="P366" s="277"/>
      <c r="Q366" s="277"/>
      <c r="R366" s="277"/>
      <c r="S366" s="277"/>
      <c r="T366" s="277"/>
      <c r="U366" s="278"/>
      <c r="V366" s="103"/>
      <c r="W366" s="84">
        <f t="shared" si="152"/>
        <v>25</v>
      </c>
      <c r="X366" s="84"/>
      <c r="Y366" s="78">
        <f>SUM(E345:E366)</f>
        <v>24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77"/>
      <c r="N367" s="277"/>
      <c r="O367" s="277"/>
      <c r="P367" s="277"/>
      <c r="Q367" s="277"/>
      <c r="R367" s="277"/>
      <c r="S367" s="277"/>
      <c r="T367" s="277"/>
      <c r="U367" s="278"/>
      <c r="V367" s="103"/>
      <c r="W367" s="84">
        <f t="shared" si="152"/>
        <v>25</v>
      </c>
      <c r="X367" s="84"/>
      <c r="Y367" s="78">
        <f>SUM(E345:E367)</f>
        <v>24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77"/>
      <c r="N368" s="277"/>
      <c r="O368" s="277"/>
      <c r="P368" s="277"/>
      <c r="Q368" s="277"/>
      <c r="R368" s="277"/>
      <c r="S368" s="277"/>
      <c r="T368" s="277"/>
      <c r="U368" s="278"/>
      <c r="V368" s="103"/>
      <c r="W368" s="84">
        <f t="shared" si="152"/>
        <v>25</v>
      </c>
      <c r="X368" s="84"/>
      <c r="Y368" s="78">
        <f>SUM(E345:E368)</f>
        <v>24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77"/>
      <c r="N369" s="277"/>
      <c r="O369" s="277"/>
      <c r="P369" s="277"/>
      <c r="Q369" s="277"/>
      <c r="R369" s="277"/>
      <c r="S369" s="277"/>
      <c r="T369" s="277"/>
      <c r="U369" s="278"/>
      <c r="V369" s="103"/>
      <c r="W369" s="72"/>
      <c r="X369" s="72"/>
      <c r="Y369" s="78">
        <f>SUM(E345:E369)</f>
        <v>24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318" t="s">
        <v>321</v>
      </c>
      <c r="C370" s="319"/>
      <c r="D370" s="79"/>
      <c r="E370" s="80"/>
      <c r="F370" s="80"/>
      <c r="G370" s="81"/>
      <c r="H370" s="191"/>
      <c r="I370" s="191"/>
      <c r="J370" s="191"/>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311" t="s">
        <v>222</v>
      </c>
      <c r="C375" s="312"/>
      <c r="D375" s="313" t="s">
        <v>223</v>
      </c>
      <c r="E375" s="304"/>
      <c r="F375" s="88"/>
      <c r="G375" s="314" t="s">
        <v>224</v>
      </c>
      <c r="H375" s="315"/>
      <c r="I375" s="28">
        <f>SUM(E386:E410)</f>
        <v>84</v>
      </c>
      <c r="J375" s="316" t="s">
        <v>225</v>
      </c>
      <c r="K375" s="317"/>
      <c r="L375" s="304"/>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EUC</v>
      </c>
      <c r="F376" s="88"/>
      <c r="G376" s="303" t="s">
        <v>230</v>
      </c>
      <c r="H376" s="304"/>
      <c r="I376" s="33">
        <f>E377-I375</f>
        <v>60</v>
      </c>
      <c r="J376" s="288" t="s">
        <v>231</v>
      </c>
      <c r="K376" s="289"/>
      <c r="L376" s="34">
        <f>I380</f>
        <v>433</v>
      </c>
      <c r="M376" s="195">
        <v>4</v>
      </c>
      <c r="N376" s="35">
        <f>SUM(AI376,AI387)</f>
        <v>0</v>
      </c>
      <c r="O376" s="35">
        <v>0</v>
      </c>
      <c r="P376" s="35">
        <f>SUM(AJ376,AJ387)</f>
        <v>0</v>
      </c>
      <c r="Q376" s="35">
        <v>0</v>
      </c>
      <c r="R376" s="35">
        <f>COUNTIFS($E386:$E410,"4",$F386:$F410,"Pole",$C386:$C410,"FST")</f>
        <v>2</v>
      </c>
      <c r="S376" s="35">
        <f>SUM(AL376,AK387)</f>
        <v>0</v>
      </c>
      <c r="T376" s="35">
        <v>0</v>
      </c>
      <c r="U376" s="35">
        <f>SUM(AK376,AL387)</f>
        <v>6</v>
      </c>
      <c r="V376" s="35">
        <v>0</v>
      </c>
      <c r="W376" s="34">
        <f>COUNTIFS($E386:$E410,"4",$F386:$F410,"HH",$C386:$C410,"FST")</f>
        <v>4</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144</v>
      </c>
      <c r="F377" s="88"/>
      <c r="G377" s="290" t="s">
        <v>237</v>
      </c>
      <c r="H377" s="291"/>
      <c r="I377" s="35">
        <f>IF(E377=0,0,12-(MOD(I375,12)))</f>
        <v>12</v>
      </c>
      <c r="J377" s="288" t="s">
        <v>238</v>
      </c>
      <c r="K377" s="289"/>
      <c r="L377" s="39">
        <f>I381-I375</f>
        <v>432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60</v>
      </c>
      <c r="F378" s="88"/>
      <c r="G378" s="320" t="s">
        <v>242</v>
      </c>
      <c r="H378" s="43" t="s">
        <v>243</v>
      </c>
      <c r="I378" s="35">
        <f>IF(E378&lt;&gt;0,1,0)</f>
        <v>1</v>
      </c>
      <c r="J378" s="290" t="s">
        <v>244</v>
      </c>
      <c r="K378" s="291"/>
      <c r="L378" s="44">
        <f>'Cable Calculator'!AW3</f>
        <v>2243</v>
      </c>
      <c r="M378" s="195">
        <v>8</v>
      </c>
      <c r="N378" s="35">
        <f>SUM(AI378,AI389)</f>
        <v>0</v>
      </c>
      <c r="O378" s="35">
        <v>0</v>
      </c>
      <c r="P378" s="35">
        <f>SUM(AJ378,AJ389)</f>
        <v>0</v>
      </c>
      <c r="Q378" s="35">
        <v>0</v>
      </c>
      <c r="R378" s="35">
        <f>COUNTIFS($E386:$E410,"8",$F386:$F410,"Pole",$C386:$C410,"FST")</f>
        <v>2</v>
      </c>
      <c r="S378" s="35">
        <f>SUM(AL378,AK389)</f>
        <v>0</v>
      </c>
      <c r="T378" s="35">
        <v>0</v>
      </c>
      <c r="U378" s="35">
        <f>SUM(AK378,AL389)</f>
        <v>3</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433</v>
      </c>
      <c r="F379" s="88"/>
      <c r="G379" s="321"/>
      <c r="H379" s="47" t="s">
        <v>248</v>
      </c>
      <c r="I379" s="35">
        <f>IF(E378&lt;&gt;0,E378,0)</f>
        <v>60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2</v>
      </c>
      <c r="V379" s="35">
        <f>IF($E376="EUC",SUM($AN411,AP411,AR411),"0")</f>
        <v>1</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12</v>
      </c>
      <c r="F380" s="88"/>
      <c r="G380" s="320" t="s">
        <v>251</v>
      </c>
      <c r="H380" s="51" t="s">
        <v>252</v>
      </c>
      <c r="I380" s="112">
        <f>E379</f>
        <v>433</v>
      </c>
      <c r="J380" s="322" t="s">
        <v>253</v>
      </c>
      <c r="K380" s="323"/>
      <c r="L380" s="324"/>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321"/>
      <c r="H381" s="47" t="s">
        <v>257</v>
      </c>
      <c r="I381" s="35">
        <f>IF(E379="","0",IF(AND(E376="EUC",E377=432), I380+(203-E378),IF(E379=0,0,(E379+(E377-E378)-1))))</f>
        <v>516</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84</v>
      </c>
      <c r="D382" s="31" t="s">
        <v>259</v>
      </c>
      <c r="E382" s="101" t="str">
        <f>IF(AS376="Y","DBL",IF(AS377="Y","TRPL",IF(AS378="Y","QUAD","")))</f>
        <v/>
      </c>
      <c r="F382" s="88"/>
      <c r="G382" s="191"/>
      <c r="H382" s="57"/>
      <c r="I382" s="191"/>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5"/>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7"/>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749</v>
      </c>
      <c r="E386" s="32">
        <v>4</v>
      </c>
      <c r="F386" s="32" t="s">
        <v>488</v>
      </c>
      <c r="G386" s="68" t="s">
        <v>277</v>
      </c>
      <c r="H386" s="69">
        <f>IF(I386=0,0,I386-(E386-1))</f>
        <v>513</v>
      </c>
      <c r="I386" s="70">
        <f>IF(E386=0,0,I381)</f>
        <v>516</v>
      </c>
      <c r="J386" s="71" t="s">
        <v>278</v>
      </c>
      <c r="K386" s="32"/>
      <c r="L386" s="232"/>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513-516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817</v>
      </c>
      <c r="E387" s="32">
        <v>4</v>
      </c>
      <c r="F387" s="32" t="s">
        <v>488</v>
      </c>
      <c r="G387" s="68" t="s">
        <v>277</v>
      </c>
      <c r="H387" s="69">
        <f t="shared" ref="H387:H410" si="162">IF(E387=0,0,I387-(E387-1))</f>
        <v>509</v>
      </c>
      <c r="I387" s="70">
        <f t="shared" ref="I387:I410" si="163">IF(E387=0,0,H386-1)</f>
        <v>512</v>
      </c>
      <c r="J387" s="73" t="str">
        <f>IF(C387="","--",IF(AND(C387&lt;&gt;"FST",C387&lt;&gt;"TCF",BA386&lt;&gt;0),BA386,"--"))</f>
        <v>--</v>
      </c>
      <c r="K387" s="32"/>
      <c r="L387" s="232"/>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509-512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750</v>
      </c>
      <c r="E388" s="32">
        <v>4</v>
      </c>
      <c r="F388" s="32" t="s">
        <v>488</v>
      </c>
      <c r="G388" s="75" t="s">
        <v>277</v>
      </c>
      <c r="H388" s="69">
        <f t="shared" si="162"/>
        <v>505</v>
      </c>
      <c r="I388" s="70">
        <f t="shared" si="163"/>
        <v>508</v>
      </c>
      <c r="J388" s="73" t="str">
        <f t="shared" ref="J388:J410" si="164">IF(C388="","--",IF(AND(C388&lt;&gt;"FST",C388&lt;&gt;"TCF",BA387&lt;&gt;0),BA387,"--"))</f>
        <v>--</v>
      </c>
      <c r="K388" s="32"/>
      <c r="L388" s="232"/>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505-508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4</v>
      </c>
    </row>
    <row r="389" spans="1:53" ht="15.75" thickBot="1" x14ac:dyDescent="0.3">
      <c r="A389" s="88"/>
      <c r="B389" s="66" t="s">
        <v>281</v>
      </c>
      <c r="C389" s="67" t="s">
        <v>484</v>
      </c>
      <c r="D389" s="102" t="s">
        <v>751</v>
      </c>
      <c r="E389" s="32">
        <v>4</v>
      </c>
      <c r="F389" s="32" t="s">
        <v>488</v>
      </c>
      <c r="G389" s="68" t="s">
        <v>277</v>
      </c>
      <c r="H389" s="69">
        <f t="shared" si="162"/>
        <v>501</v>
      </c>
      <c r="I389" s="70">
        <f t="shared" si="163"/>
        <v>504</v>
      </c>
      <c r="J389" s="73" t="str">
        <f t="shared" si="164"/>
        <v>--</v>
      </c>
      <c r="K389" s="32"/>
      <c r="L389" s="232"/>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501-504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484</v>
      </c>
      <c r="D390" s="102" t="s">
        <v>752</v>
      </c>
      <c r="E390" s="32">
        <v>8</v>
      </c>
      <c r="F390" s="32" t="s">
        <v>488</v>
      </c>
      <c r="G390" s="68" t="s">
        <v>277</v>
      </c>
      <c r="H390" s="69">
        <f t="shared" si="162"/>
        <v>493</v>
      </c>
      <c r="I390" s="70">
        <f t="shared" si="163"/>
        <v>500</v>
      </c>
      <c r="J390" s="73" t="str">
        <f t="shared" si="164"/>
        <v>--</v>
      </c>
      <c r="K390" s="32"/>
      <c r="L390" s="232"/>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493-500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t="s">
        <v>500</v>
      </c>
      <c r="D391" s="102"/>
      <c r="E391" s="32">
        <v>12</v>
      </c>
      <c r="F391" s="32"/>
      <c r="G391" s="68" t="s">
        <v>277</v>
      </c>
      <c r="H391" s="69">
        <f t="shared" si="162"/>
        <v>481</v>
      </c>
      <c r="I391" s="70">
        <f t="shared" si="163"/>
        <v>492</v>
      </c>
      <c r="J391" s="73" t="str">
        <f t="shared" si="164"/>
        <v>--</v>
      </c>
      <c r="K391" s="32"/>
      <c r="L391" s="232"/>
      <c r="M391" s="277" t="s">
        <v>413</v>
      </c>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481-492</v>
      </c>
      <c r="AF391" s="109" t="str">
        <f t="shared" si="156"/>
        <v>Y</v>
      </c>
      <c r="AG391" s="109" t="str">
        <f t="shared" si="157"/>
        <v>B</v>
      </c>
      <c r="AM391" s="109">
        <f t="shared" si="158"/>
        <v>0</v>
      </c>
      <c r="AN391" s="109">
        <f t="shared" si="159"/>
        <v>0</v>
      </c>
      <c r="AO391" s="109" t="str">
        <f t="shared" si="160"/>
        <v>Y</v>
      </c>
      <c r="AQ391" s="109" t="str">
        <f t="shared" si="161"/>
        <v/>
      </c>
      <c r="BA391" s="228">
        <f>MOD(SUM(E386:E392),12)</f>
        <v>0</v>
      </c>
    </row>
    <row r="392" spans="1:53" ht="15.75" thickBot="1" x14ac:dyDescent="0.3">
      <c r="A392" s="88"/>
      <c r="B392" s="66" t="s">
        <v>284</v>
      </c>
      <c r="C392" s="67" t="s">
        <v>500</v>
      </c>
      <c r="D392" s="102"/>
      <c r="E392" s="32">
        <v>12</v>
      </c>
      <c r="F392" s="32"/>
      <c r="G392" s="68" t="s">
        <v>277</v>
      </c>
      <c r="H392" s="69">
        <f t="shared" si="162"/>
        <v>469</v>
      </c>
      <c r="I392" s="70">
        <f t="shared" si="163"/>
        <v>480</v>
      </c>
      <c r="J392" s="73" t="str">
        <f t="shared" si="164"/>
        <v>--</v>
      </c>
      <c r="K392" s="32"/>
      <c r="L392" s="232"/>
      <c r="M392" s="277" t="s">
        <v>413</v>
      </c>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469-480</v>
      </c>
      <c r="AF392" s="109" t="str">
        <f t="shared" si="156"/>
        <v>Y</v>
      </c>
      <c r="AG392" s="109" t="str">
        <f t="shared" si="157"/>
        <v>B</v>
      </c>
      <c r="AM392" s="109">
        <f t="shared" si="158"/>
        <v>0</v>
      </c>
      <c r="AN392" s="109">
        <f t="shared" si="159"/>
        <v>0</v>
      </c>
      <c r="AO392" s="109" t="str">
        <f t="shared" si="160"/>
        <v>Y</v>
      </c>
      <c r="AQ392" s="109" t="str">
        <f t="shared" si="161"/>
        <v/>
      </c>
      <c r="BA392" s="228">
        <f>MOD(SUM(E386:E393),12)</f>
        <v>0</v>
      </c>
    </row>
    <row r="393" spans="1:53" ht="15.75" thickBot="1" x14ac:dyDescent="0.3">
      <c r="A393" s="88"/>
      <c r="B393" s="66" t="s">
        <v>285</v>
      </c>
      <c r="C393" s="67" t="s">
        <v>500</v>
      </c>
      <c r="D393" s="102"/>
      <c r="E393" s="32">
        <v>12</v>
      </c>
      <c r="F393" s="32"/>
      <c r="G393" s="68" t="s">
        <v>277</v>
      </c>
      <c r="H393" s="69">
        <f t="shared" si="162"/>
        <v>457</v>
      </c>
      <c r="I393" s="70">
        <f t="shared" si="163"/>
        <v>468</v>
      </c>
      <c r="J393" s="73" t="str">
        <f t="shared" si="164"/>
        <v>--</v>
      </c>
      <c r="K393" s="32"/>
      <c r="L393" s="232"/>
      <c r="M393" s="277" t="s">
        <v>413</v>
      </c>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457-468</v>
      </c>
      <c r="AF393" s="109" t="str">
        <f t="shared" si="156"/>
        <v>Y</v>
      </c>
      <c r="AG393" s="109" t="str">
        <f t="shared" si="157"/>
        <v>B</v>
      </c>
      <c r="AM393" s="109">
        <f t="shared" si="158"/>
        <v>0</v>
      </c>
      <c r="AN393" s="109">
        <f t="shared" si="159"/>
        <v>0</v>
      </c>
      <c r="AO393" s="109" t="str">
        <f t="shared" si="160"/>
        <v>Y</v>
      </c>
      <c r="AQ393" s="109" t="str">
        <f t="shared" si="161"/>
        <v/>
      </c>
      <c r="BA393" s="228">
        <f>MOD(SUM(E386:E394),12)</f>
        <v>4</v>
      </c>
    </row>
    <row r="394" spans="1:53" ht="15.75" thickBot="1" x14ac:dyDescent="0.3">
      <c r="A394" s="88"/>
      <c r="B394" s="66" t="s">
        <v>286</v>
      </c>
      <c r="C394" s="67" t="s">
        <v>484</v>
      </c>
      <c r="D394" s="102" t="s">
        <v>753</v>
      </c>
      <c r="E394" s="32">
        <v>4</v>
      </c>
      <c r="F394" s="32" t="s">
        <v>483</v>
      </c>
      <c r="G394" s="68" t="s">
        <v>277</v>
      </c>
      <c r="H394" s="69">
        <f t="shared" si="162"/>
        <v>453</v>
      </c>
      <c r="I394" s="70">
        <f t="shared" si="163"/>
        <v>456</v>
      </c>
      <c r="J394" s="73" t="str">
        <f t="shared" si="164"/>
        <v>--</v>
      </c>
      <c r="K394" s="32"/>
      <c r="L394" s="232"/>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453-456</v>
      </c>
      <c r="AF394" s="109" t="str">
        <f t="shared" si="156"/>
        <v>Y</v>
      </c>
      <c r="AG394" s="109" t="str">
        <f t="shared" si="157"/>
        <v>B</v>
      </c>
      <c r="AM394" s="109">
        <f t="shared" si="158"/>
        <v>0</v>
      </c>
      <c r="AN394" s="109">
        <f t="shared" si="159"/>
        <v>0</v>
      </c>
      <c r="AO394" s="109" t="str">
        <f t="shared" si="160"/>
        <v/>
      </c>
      <c r="AQ394" s="109" t="str">
        <f t="shared" si="161"/>
        <v/>
      </c>
      <c r="BA394" s="228">
        <f>MOD(SUM(E386:E395),12)</f>
        <v>8</v>
      </c>
    </row>
    <row r="395" spans="1:53" ht="15.75" thickBot="1" x14ac:dyDescent="0.3">
      <c r="A395" s="88"/>
      <c r="B395" s="66" t="s">
        <v>287</v>
      </c>
      <c r="C395" s="67" t="s">
        <v>484</v>
      </c>
      <c r="D395" s="102" t="s">
        <v>754</v>
      </c>
      <c r="E395" s="32">
        <v>4</v>
      </c>
      <c r="F395" s="32" t="s">
        <v>483</v>
      </c>
      <c r="G395" s="68" t="s">
        <v>277</v>
      </c>
      <c r="H395" s="69">
        <f t="shared" si="162"/>
        <v>449</v>
      </c>
      <c r="I395" s="70">
        <f t="shared" si="163"/>
        <v>452</v>
      </c>
      <c r="J395" s="73" t="str">
        <f t="shared" si="164"/>
        <v>--</v>
      </c>
      <c r="K395" s="32"/>
      <c r="L395" s="232"/>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0</v>
      </c>
      <c r="AE395" s="109" t="str">
        <f t="shared" si="155"/>
        <v>449-452</v>
      </c>
      <c r="AF395" s="109" t="str">
        <f t="shared" si="156"/>
        <v>Y</v>
      </c>
      <c r="AG395" s="109" t="str">
        <f t="shared" si="157"/>
        <v>B</v>
      </c>
      <c r="AM395" s="109">
        <f t="shared" si="158"/>
        <v>0</v>
      </c>
      <c r="AN395" s="109">
        <f t="shared" si="159"/>
        <v>0</v>
      </c>
      <c r="AO395" s="109" t="str">
        <f t="shared" si="160"/>
        <v/>
      </c>
      <c r="AQ395" s="109" t="str">
        <f t="shared" si="161"/>
        <v/>
      </c>
      <c r="BA395" s="228">
        <f>MOD(SUM(E386:E396),12)</f>
        <v>4</v>
      </c>
    </row>
    <row r="396" spans="1:53" ht="15.75" thickBot="1" x14ac:dyDescent="0.3">
      <c r="A396" s="88"/>
      <c r="B396" s="66" t="s">
        <v>288</v>
      </c>
      <c r="C396" s="67" t="s">
        <v>484</v>
      </c>
      <c r="D396" s="102" t="s">
        <v>818</v>
      </c>
      <c r="E396" s="32">
        <v>8</v>
      </c>
      <c r="F396" s="32" t="s">
        <v>483</v>
      </c>
      <c r="G396" s="68" t="s">
        <v>277</v>
      </c>
      <c r="H396" s="69">
        <f t="shared" si="162"/>
        <v>441</v>
      </c>
      <c r="I396" s="70">
        <f t="shared" si="163"/>
        <v>448</v>
      </c>
      <c r="J396" s="73" t="str">
        <f t="shared" si="164"/>
        <v>--</v>
      </c>
      <c r="K396" s="32"/>
      <c r="L396" s="232"/>
      <c r="M396" s="277"/>
      <c r="N396" s="277"/>
      <c r="O396" s="277"/>
      <c r="P396" s="277"/>
      <c r="Q396" s="277"/>
      <c r="R396" s="277"/>
      <c r="S396" s="277"/>
      <c r="T396" s="277"/>
      <c r="U396" s="278"/>
      <c r="V396" s="103"/>
      <c r="W396" s="84"/>
      <c r="X396" s="84"/>
      <c r="Y396" s="72"/>
      <c r="Z396" s="72"/>
      <c r="AA396" s="72"/>
      <c r="AB396" s="72"/>
      <c r="AC396" s="72">
        <f t="shared" si="153"/>
        <v>1</v>
      </c>
      <c r="AD396" s="72">
        <f t="shared" si="154"/>
        <v>0</v>
      </c>
      <c r="AE396" s="109" t="str">
        <f t="shared" si="155"/>
        <v>441-448</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t="s">
        <v>484</v>
      </c>
      <c r="D397" s="102" t="s">
        <v>819</v>
      </c>
      <c r="E397" s="32">
        <v>8</v>
      </c>
      <c r="F397" s="32" t="s">
        <v>483</v>
      </c>
      <c r="G397" s="68" t="s">
        <v>277</v>
      </c>
      <c r="H397" s="69">
        <f t="shared" si="162"/>
        <v>433</v>
      </c>
      <c r="I397" s="70">
        <f t="shared" si="163"/>
        <v>440</v>
      </c>
      <c r="J397" s="73" t="str">
        <f t="shared" si="164"/>
        <v>--</v>
      </c>
      <c r="K397" s="32"/>
      <c r="L397" s="232"/>
      <c r="M397" s="277"/>
      <c r="N397" s="277"/>
      <c r="O397" s="277"/>
      <c r="P397" s="277"/>
      <c r="Q397" s="277"/>
      <c r="R397" s="277"/>
      <c r="S397" s="277"/>
      <c r="T397" s="277"/>
      <c r="U397" s="278"/>
      <c r="V397" s="103"/>
      <c r="W397" s="84">
        <f>Y397+1</f>
        <v>85</v>
      </c>
      <c r="X397" s="84"/>
      <c r="Y397" s="78">
        <f>SUM(E386:E397)</f>
        <v>84</v>
      </c>
      <c r="Z397" s="72"/>
      <c r="AA397" s="72"/>
      <c r="AB397" s="72"/>
      <c r="AC397" s="72">
        <f t="shared" si="153"/>
        <v>1</v>
      </c>
      <c r="AD397" s="72">
        <f t="shared" si="154"/>
        <v>0</v>
      </c>
      <c r="AE397" s="109" t="str">
        <f t="shared" si="155"/>
        <v>433-440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77"/>
      <c r="N398" s="277"/>
      <c r="O398" s="277"/>
      <c r="P398" s="277"/>
      <c r="Q398" s="277"/>
      <c r="R398" s="277"/>
      <c r="S398" s="277"/>
      <c r="T398" s="277"/>
      <c r="U398" s="278"/>
      <c r="V398" s="103"/>
      <c r="W398" s="84">
        <f>Y398+1</f>
        <v>85</v>
      </c>
      <c r="X398" s="84"/>
      <c r="Y398" s="78">
        <f>SUM(E386:E398)</f>
        <v>84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77"/>
      <c r="N399" s="277"/>
      <c r="O399" s="277"/>
      <c r="P399" s="277"/>
      <c r="Q399" s="277"/>
      <c r="R399" s="277"/>
      <c r="S399" s="277"/>
      <c r="T399" s="277"/>
      <c r="U399" s="278"/>
      <c r="V399" s="103"/>
      <c r="W399" s="84">
        <f>Y399+1</f>
        <v>85</v>
      </c>
      <c r="X399" s="84"/>
      <c r="Y399" s="78">
        <f>SUM(E386:E399)</f>
        <v>84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77"/>
      <c r="N400" s="277"/>
      <c r="O400" s="277"/>
      <c r="P400" s="277"/>
      <c r="Q400" s="277"/>
      <c r="R400" s="277"/>
      <c r="S400" s="277"/>
      <c r="T400" s="277"/>
      <c r="U400" s="278"/>
      <c r="V400" s="103"/>
      <c r="W400" s="84">
        <f>Y400+1</f>
        <v>85</v>
      </c>
      <c r="X400" s="84"/>
      <c r="Y400" s="78">
        <f>SUM(E386:E400)</f>
        <v>84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77"/>
      <c r="N401" s="277"/>
      <c r="O401" s="277"/>
      <c r="P401" s="277"/>
      <c r="Q401" s="277"/>
      <c r="R401" s="277"/>
      <c r="S401" s="277"/>
      <c r="T401" s="277"/>
      <c r="U401" s="278"/>
      <c r="V401" s="103"/>
      <c r="W401" s="84">
        <f t="shared" ref="W401:W409" si="169">Y401+1</f>
        <v>85</v>
      </c>
      <c r="X401" s="84"/>
      <c r="Y401" s="78">
        <f>SUM(E386:E401)</f>
        <v>84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77"/>
      <c r="N402" s="277"/>
      <c r="O402" s="277"/>
      <c r="P402" s="277"/>
      <c r="Q402" s="277"/>
      <c r="R402" s="277"/>
      <c r="S402" s="277"/>
      <c r="T402" s="277"/>
      <c r="U402" s="278"/>
      <c r="V402" s="103"/>
      <c r="W402" s="84">
        <f t="shared" si="169"/>
        <v>85</v>
      </c>
      <c r="X402" s="84"/>
      <c r="Y402" s="78">
        <f>SUM(E386:E402)</f>
        <v>84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77"/>
      <c r="N403" s="277"/>
      <c r="O403" s="277"/>
      <c r="P403" s="277"/>
      <c r="Q403" s="277"/>
      <c r="R403" s="277"/>
      <c r="S403" s="277"/>
      <c r="T403" s="277"/>
      <c r="U403" s="278"/>
      <c r="V403" s="103"/>
      <c r="W403" s="84">
        <f t="shared" si="169"/>
        <v>85</v>
      </c>
      <c r="X403" s="84"/>
      <c r="Y403" s="78">
        <f>SUM(E386:E403)</f>
        <v>84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77"/>
      <c r="N404" s="277"/>
      <c r="O404" s="277"/>
      <c r="P404" s="277"/>
      <c r="Q404" s="277"/>
      <c r="R404" s="277"/>
      <c r="S404" s="277"/>
      <c r="T404" s="277"/>
      <c r="U404" s="278"/>
      <c r="V404" s="103"/>
      <c r="W404" s="84">
        <f t="shared" si="169"/>
        <v>85</v>
      </c>
      <c r="X404" s="84"/>
      <c r="Y404" s="78">
        <f>SUM(E386:E404)</f>
        <v>84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77"/>
      <c r="N405" s="277"/>
      <c r="O405" s="277"/>
      <c r="P405" s="277"/>
      <c r="Q405" s="277"/>
      <c r="R405" s="277"/>
      <c r="S405" s="277"/>
      <c r="T405" s="277"/>
      <c r="U405" s="278"/>
      <c r="V405" s="103"/>
      <c r="W405" s="84">
        <f t="shared" si="169"/>
        <v>85</v>
      </c>
      <c r="X405" s="84"/>
      <c r="Y405" s="78">
        <f>SUM(E386:E405)</f>
        <v>84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77"/>
      <c r="N406" s="277"/>
      <c r="O406" s="277"/>
      <c r="P406" s="277"/>
      <c r="Q406" s="277"/>
      <c r="R406" s="277"/>
      <c r="S406" s="277"/>
      <c r="T406" s="277"/>
      <c r="U406" s="278"/>
      <c r="V406" s="103"/>
      <c r="W406" s="84">
        <f t="shared" si="169"/>
        <v>85</v>
      </c>
      <c r="X406" s="84"/>
      <c r="Y406" s="78">
        <f>SUM(E386:E406)</f>
        <v>84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77"/>
      <c r="N407" s="277"/>
      <c r="O407" s="277"/>
      <c r="P407" s="277"/>
      <c r="Q407" s="277"/>
      <c r="R407" s="277"/>
      <c r="S407" s="277"/>
      <c r="T407" s="277"/>
      <c r="U407" s="278"/>
      <c r="V407" s="103"/>
      <c r="W407" s="84">
        <f t="shared" si="169"/>
        <v>85</v>
      </c>
      <c r="X407" s="84"/>
      <c r="Y407" s="78">
        <f>SUM(E386:E407)</f>
        <v>84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77"/>
      <c r="N408" s="277"/>
      <c r="O408" s="277"/>
      <c r="P408" s="277"/>
      <c r="Q408" s="277"/>
      <c r="R408" s="277"/>
      <c r="S408" s="277"/>
      <c r="T408" s="277"/>
      <c r="U408" s="278"/>
      <c r="V408" s="103"/>
      <c r="W408" s="84">
        <f t="shared" si="169"/>
        <v>85</v>
      </c>
      <c r="X408" s="84"/>
      <c r="Y408" s="78">
        <f>SUM(E386:E408)</f>
        <v>84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77"/>
      <c r="N409" s="277"/>
      <c r="O409" s="277"/>
      <c r="P409" s="277"/>
      <c r="Q409" s="277"/>
      <c r="R409" s="277"/>
      <c r="S409" s="277"/>
      <c r="T409" s="277"/>
      <c r="U409" s="278"/>
      <c r="V409" s="103"/>
      <c r="W409" s="84">
        <f t="shared" si="169"/>
        <v>85</v>
      </c>
      <c r="X409" s="84"/>
      <c r="Y409" s="78">
        <f>SUM(E386:E409)</f>
        <v>84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77"/>
      <c r="N410" s="277"/>
      <c r="O410" s="277"/>
      <c r="P410" s="277"/>
      <c r="Q410" s="277"/>
      <c r="R410" s="277"/>
      <c r="S410" s="277"/>
      <c r="T410" s="277"/>
      <c r="U410" s="278"/>
      <c r="V410" s="103"/>
      <c r="W410" s="72"/>
      <c r="X410" s="72"/>
      <c r="Y410" s="78">
        <f>SUM(E386:E410)</f>
        <v>84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318" t="s">
        <v>323</v>
      </c>
      <c r="C411" s="319"/>
      <c r="D411" s="79"/>
      <c r="E411" s="80"/>
      <c r="F411" s="80"/>
      <c r="G411" s="81"/>
      <c r="H411" s="191"/>
      <c r="I411" s="191"/>
      <c r="J411" s="191"/>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2</v>
      </c>
      <c r="AP411" s="109">
        <f>(COUNTIF(AO386:AO410,"Y")/3)</f>
        <v>1</v>
      </c>
      <c r="AQ411" s="109">
        <f>(COUNTIF(AQ386:AQ410,"Y")/2)</f>
        <v>0</v>
      </c>
      <c r="AR411" s="109">
        <f>(COUNTIF(AQ386:AQ410,"Y")/2)</f>
        <v>0</v>
      </c>
      <c r="BA411" s="227"/>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311" t="s">
        <v>222</v>
      </c>
      <c r="C416" s="312"/>
      <c r="D416" s="313" t="s">
        <v>223</v>
      </c>
      <c r="E416" s="304"/>
      <c r="F416" s="88"/>
      <c r="G416" s="314" t="s">
        <v>224</v>
      </c>
      <c r="H416" s="315"/>
      <c r="I416" s="28">
        <f>SUM(E427:E451)</f>
        <v>36</v>
      </c>
      <c r="J416" s="316" t="s">
        <v>225</v>
      </c>
      <c r="K416" s="317"/>
      <c r="L416" s="304"/>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5"/>
    </row>
    <row r="417" spans="1:53" ht="16.5" customHeight="1" thickTop="1" thickBot="1" x14ac:dyDescent="0.3">
      <c r="A417" s="88"/>
      <c r="B417" s="29" t="s">
        <v>228</v>
      </c>
      <c r="C417" s="30">
        <v>0</v>
      </c>
      <c r="D417" s="31" t="s">
        <v>229</v>
      </c>
      <c r="E417" s="66" t="str">
        <f>TEXT(IF('Cable Calculator'!BB7="","",'Cable Calculator'!BB7),)</f>
        <v>RPX</v>
      </c>
      <c r="F417" s="88"/>
      <c r="G417" s="303" t="s">
        <v>230</v>
      </c>
      <c r="H417" s="304"/>
      <c r="I417" s="33">
        <f>E418-I416</f>
        <v>12</v>
      </c>
      <c r="J417" s="288" t="s">
        <v>231</v>
      </c>
      <c r="K417" s="289"/>
      <c r="L417" s="34">
        <f>I421</f>
        <v>457</v>
      </c>
      <c r="M417" s="195">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48</v>
      </c>
      <c r="F418" s="88"/>
      <c r="G418" s="290" t="s">
        <v>237</v>
      </c>
      <c r="H418" s="291"/>
      <c r="I418" s="35">
        <f>IF(E418=0,0,12-(MOD(I416,12)))</f>
        <v>12</v>
      </c>
      <c r="J418" s="288" t="s">
        <v>238</v>
      </c>
      <c r="K418" s="289"/>
      <c r="L418" s="39">
        <f>I422-I416</f>
        <v>456</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Y</v>
      </c>
      <c r="AT418" s="110" t="s">
        <v>239</v>
      </c>
      <c r="AU418" s="109">
        <f>COUNTIFS($E417,"SS",$AS418,"Y")</f>
        <v>0</v>
      </c>
      <c r="AV418" s="108">
        <f>COUNTIFS($E417,"RPX",$AS418,"Y")</f>
        <v>1</v>
      </c>
      <c r="AW418" s="108">
        <f>COUNTIFS($E417,"EUC",$AS418,"Y")</f>
        <v>0</v>
      </c>
      <c r="AX418" s="109">
        <f>COUNTIFS($E417,"RPX-T",$AS418,"Y")</f>
        <v>0</v>
      </c>
      <c r="BA418" s="226"/>
    </row>
    <row r="419" spans="1:53" ht="16.5" customHeight="1" thickTop="1" thickBot="1" x14ac:dyDescent="0.3">
      <c r="A419" s="88"/>
      <c r="B419" s="40" t="s">
        <v>240</v>
      </c>
      <c r="C419" s="30">
        <v>0</v>
      </c>
      <c r="D419" s="41" t="s">
        <v>241</v>
      </c>
      <c r="E419" s="42">
        <v>12</v>
      </c>
      <c r="F419" s="88"/>
      <c r="G419" s="320" t="s">
        <v>242</v>
      </c>
      <c r="H419" s="43" t="s">
        <v>243</v>
      </c>
      <c r="I419" s="35">
        <f>IF(E419&lt;&gt;0,1,0)</f>
        <v>1</v>
      </c>
      <c r="J419" s="290" t="s">
        <v>244</v>
      </c>
      <c r="K419" s="291"/>
      <c r="L419" s="44">
        <f>'Cable Calculator'!BB3</f>
        <v>1656</v>
      </c>
      <c r="M419" s="195">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457</v>
      </c>
      <c r="F420" s="88"/>
      <c r="G420" s="321"/>
      <c r="H420" s="47" t="s">
        <v>248</v>
      </c>
      <c r="I420" s="35">
        <f>IF(E419&lt;&gt;0,E419,0)</f>
        <v>12</v>
      </c>
      <c r="J420" s="193"/>
      <c r="K420" s="194"/>
      <c r="L420" s="48"/>
      <c r="M420" s="195">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4</v>
      </c>
      <c r="F421" s="88"/>
      <c r="G421" s="320" t="s">
        <v>251</v>
      </c>
      <c r="H421" s="51" t="s">
        <v>252</v>
      </c>
      <c r="I421" s="112">
        <f>E420</f>
        <v>457</v>
      </c>
      <c r="J421" s="322" t="s">
        <v>253</v>
      </c>
      <c r="K421" s="323"/>
      <c r="L421" s="324"/>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Y</v>
      </c>
      <c r="F422" s="88"/>
      <c r="G422" s="321"/>
      <c r="H422" s="47" t="s">
        <v>257</v>
      </c>
      <c r="I422" s="35">
        <f>IF(E420="","0",IF(AND(E417="EUC",E418=432), I421+(203-E419),IF(E420=0,0,(E420+(E418-E419)-1))))</f>
        <v>492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36</v>
      </c>
      <c r="D423" s="31" t="s">
        <v>259</v>
      </c>
      <c r="E423" s="101" t="str">
        <f>IF(AS417="Y","DBL",IF(AS418="Y","TRPL",IF(AS419="Y","QUAD","")))</f>
        <v>TRPL</v>
      </c>
      <c r="F423" s="88"/>
      <c r="G423" s="191"/>
      <c r="H423" s="57"/>
      <c r="I423" s="191"/>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5"/>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7"/>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794</v>
      </c>
      <c r="E427" s="32">
        <v>4</v>
      </c>
      <c r="F427" s="32" t="s">
        <v>483</v>
      </c>
      <c r="G427" s="68" t="s">
        <v>277</v>
      </c>
      <c r="H427" s="69">
        <f>IF(I427=0,0,I427-(E427-1))</f>
        <v>489</v>
      </c>
      <c r="I427" s="70">
        <f>IF(E427=0,0,I422)</f>
        <v>492</v>
      </c>
      <c r="J427" s="71" t="s">
        <v>278</v>
      </c>
      <c r="K427" s="32"/>
      <c r="L427" s="232"/>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489-492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795</v>
      </c>
      <c r="E428" s="32">
        <v>4</v>
      </c>
      <c r="F428" s="32" t="s">
        <v>483</v>
      </c>
      <c r="G428" s="68" t="s">
        <v>277</v>
      </c>
      <c r="H428" s="69">
        <f t="shared" ref="H428:H451" si="179">IF(E428=0,0,I428-(E428-1))</f>
        <v>485</v>
      </c>
      <c r="I428" s="70">
        <f t="shared" ref="I428:I451" si="180">IF(E428=0,0,H427-1)</f>
        <v>488</v>
      </c>
      <c r="J428" s="73" t="str">
        <f>IF(C428="","--",IF(AND(C428&lt;&gt;"FST",C428&lt;&gt;"TCF",BA427&lt;&gt;0),BA427,"--"))</f>
        <v>--</v>
      </c>
      <c r="K428" s="32"/>
      <c r="L428" s="232"/>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485-488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8</v>
      </c>
    </row>
    <row r="429" spans="1:53" ht="15.75" thickBot="1" x14ac:dyDescent="0.3">
      <c r="A429" s="88"/>
      <c r="B429" s="74" t="s">
        <v>280</v>
      </c>
      <c r="C429" s="67" t="s">
        <v>484</v>
      </c>
      <c r="D429" s="102" t="s">
        <v>796</v>
      </c>
      <c r="E429" s="32">
        <v>8</v>
      </c>
      <c r="F429" s="32" t="s">
        <v>483</v>
      </c>
      <c r="G429" s="75" t="s">
        <v>277</v>
      </c>
      <c r="H429" s="69">
        <f t="shared" si="179"/>
        <v>477</v>
      </c>
      <c r="I429" s="70">
        <f t="shared" si="180"/>
        <v>484</v>
      </c>
      <c r="J429" s="73" t="str">
        <f t="shared" ref="J429:J451" si="181">IF(C429="","--",IF(AND(C429&lt;&gt;"FST",C429&lt;&gt;"TCF",BA428&lt;&gt;0),BA428,"--"))</f>
        <v>--</v>
      </c>
      <c r="K429" s="32"/>
      <c r="L429" s="232"/>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477-484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755</v>
      </c>
      <c r="E430" s="32">
        <v>8</v>
      </c>
      <c r="F430" s="32" t="s">
        <v>483</v>
      </c>
      <c r="G430" s="68" t="s">
        <v>277</v>
      </c>
      <c r="H430" s="69">
        <f t="shared" si="179"/>
        <v>469</v>
      </c>
      <c r="I430" s="70">
        <f t="shared" si="180"/>
        <v>476</v>
      </c>
      <c r="J430" s="73" t="str">
        <f t="shared" si="181"/>
        <v>--</v>
      </c>
      <c r="K430" s="32"/>
      <c r="L430" s="232"/>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0</v>
      </c>
      <c r="AE430" s="109" t="str">
        <f t="shared" si="172"/>
        <v>469-476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756</v>
      </c>
      <c r="E431" s="32">
        <v>4</v>
      </c>
      <c r="F431" s="32" t="s">
        <v>483</v>
      </c>
      <c r="G431" s="68" t="s">
        <v>277</v>
      </c>
      <c r="H431" s="69">
        <f t="shared" si="179"/>
        <v>465</v>
      </c>
      <c r="I431" s="70">
        <f t="shared" si="180"/>
        <v>468</v>
      </c>
      <c r="J431" s="73" t="str">
        <f t="shared" si="181"/>
        <v>--</v>
      </c>
      <c r="K431" s="32"/>
      <c r="L431" s="232"/>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465-468</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757</v>
      </c>
      <c r="E432" s="32">
        <v>4</v>
      </c>
      <c r="F432" s="32" t="s">
        <v>483</v>
      </c>
      <c r="G432" s="68" t="s">
        <v>277</v>
      </c>
      <c r="H432" s="69">
        <f t="shared" si="179"/>
        <v>461</v>
      </c>
      <c r="I432" s="70">
        <f t="shared" si="180"/>
        <v>464</v>
      </c>
      <c r="J432" s="73" t="str">
        <f t="shared" si="181"/>
        <v>--</v>
      </c>
      <c r="K432" s="32"/>
      <c r="L432" s="232"/>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0</v>
      </c>
      <c r="AE432" s="109" t="str">
        <f t="shared" si="172"/>
        <v>461-464</v>
      </c>
      <c r="AF432" s="109" t="str">
        <f t="shared" si="173"/>
        <v>Y</v>
      </c>
      <c r="AG432" s="109" t="str">
        <f t="shared" si="174"/>
        <v>A</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758</v>
      </c>
      <c r="E433" s="32">
        <v>4</v>
      </c>
      <c r="F433" s="32" t="s">
        <v>483</v>
      </c>
      <c r="G433" s="68" t="s">
        <v>277</v>
      </c>
      <c r="H433" s="69">
        <f t="shared" si="179"/>
        <v>457</v>
      </c>
      <c r="I433" s="70">
        <f t="shared" si="180"/>
        <v>460</v>
      </c>
      <c r="J433" s="73" t="str">
        <f t="shared" si="181"/>
        <v>--</v>
      </c>
      <c r="K433" s="32"/>
      <c r="L433" s="232"/>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0</v>
      </c>
      <c r="AE433" s="109" t="str">
        <f t="shared" si="172"/>
        <v>457-460</v>
      </c>
      <c r="AF433" s="109" t="str">
        <f t="shared" si="173"/>
        <v>Y</v>
      </c>
      <c r="AG433" s="109" t="str">
        <f t="shared" si="174"/>
        <v>A</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77"/>
      <c r="N438" s="277"/>
      <c r="O438" s="277"/>
      <c r="P438" s="277"/>
      <c r="Q438" s="277"/>
      <c r="R438" s="277"/>
      <c r="S438" s="277"/>
      <c r="T438" s="277"/>
      <c r="U438" s="278"/>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77"/>
      <c r="N439" s="277"/>
      <c r="O439" s="277"/>
      <c r="P439" s="277"/>
      <c r="Q439" s="277"/>
      <c r="R439" s="277"/>
      <c r="S439" s="277"/>
      <c r="T439" s="277"/>
      <c r="U439" s="278"/>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77"/>
      <c r="N440" s="277"/>
      <c r="O440" s="277"/>
      <c r="P440" s="277"/>
      <c r="Q440" s="277"/>
      <c r="R440" s="277"/>
      <c r="S440" s="277"/>
      <c r="T440" s="277"/>
      <c r="U440" s="278"/>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77"/>
      <c r="N441" s="277"/>
      <c r="O441" s="277"/>
      <c r="P441" s="277"/>
      <c r="Q441" s="277"/>
      <c r="R441" s="277"/>
      <c r="S441" s="277"/>
      <c r="T441" s="277"/>
      <c r="U441" s="278"/>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77"/>
      <c r="N442" s="277"/>
      <c r="O442" s="277"/>
      <c r="P442" s="277"/>
      <c r="Q442" s="277"/>
      <c r="R442" s="277"/>
      <c r="S442" s="277"/>
      <c r="T442" s="277"/>
      <c r="U442" s="278"/>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77"/>
      <c r="N443" s="277"/>
      <c r="O443" s="277"/>
      <c r="P443" s="277"/>
      <c r="Q443" s="277"/>
      <c r="R443" s="277"/>
      <c r="S443" s="277"/>
      <c r="T443" s="277"/>
      <c r="U443" s="278"/>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77"/>
      <c r="N444" s="277"/>
      <c r="O444" s="277"/>
      <c r="P444" s="277"/>
      <c r="Q444" s="277"/>
      <c r="R444" s="277"/>
      <c r="S444" s="277"/>
      <c r="T444" s="277"/>
      <c r="U444" s="278"/>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77"/>
      <c r="N445" s="277"/>
      <c r="O445" s="277"/>
      <c r="P445" s="277"/>
      <c r="Q445" s="277"/>
      <c r="R445" s="277"/>
      <c r="S445" s="277"/>
      <c r="T445" s="277"/>
      <c r="U445" s="278"/>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77"/>
      <c r="N446" s="277"/>
      <c r="O446" s="277"/>
      <c r="P446" s="277"/>
      <c r="Q446" s="277"/>
      <c r="R446" s="277"/>
      <c r="S446" s="277"/>
      <c r="T446" s="277"/>
      <c r="U446" s="278"/>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77"/>
      <c r="N447" s="277"/>
      <c r="O447" s="277"/>
      <c r="P447" s="277"/>
      <c r="Q447" s="277"/>
      <c r="R447" s="277"/>
      <c r="S447" s="277"/>
      <c r="T447" s="277"/>
      <c r="U447" s="278"/>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77"/>
      <c r="N448" s="277"/>
      <c r="O448" s="277"/>
      <c r="P448" s="277"/>
      <c r="Q448" s="277"/>
      <c r="R448" s="277"/>
      <c r="S448" s="277"/>
      <c r="T448" s="277"/>
      <c r="U448" s="278"/>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77"/>
      <c r="N449" s="277"/>
      <c r="O449" s="277"/>
      <c r="P449" s="277"/>
      <c r="Q449" s="277"/>
      <c r="R449" s="277"/>
      <c r="S449" s="277"/>
      <c r="T449" s="277"/>
      <c r="U449" s="278"/>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77"/>
      <c r="N450" s="277"/>
      <c r="O450" s="277"/>
      <c r="P450" s="277"/>
      <c r="Q450" s="277"/>
      <c r="R450" s="277"/>
      <c r="S450" s="277"/>
      <c r="T450" s="277"/>
      <c r="U450" s="278"/>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77"/>
      <c r="N451" s="277"/>
      <c r="O451" s="277"/>
      <c r="P451" s="277"/>
      <c r="Q451" s="277"/>
      <c r="R451" s="277"/>
      <c r="S451" s="277"/>
      <c r="T451" s="277"/>
      <c r="U451" s="278"/>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7"/>
    </row>
    <row r="452" spans="1:53" ht="16.5" thickBot="1" x14ac:dyDescent="0.3">
      <c r="A452" s="88"/>
      <c r="B452" s="318" t="s">
        <v>325</v>
      </c>
      <c r="C452" s="319"/>
      <c r="D452" s="79"/>
      <c r="E452" s="80"/>
      <c r="F452" s="80"/>
      <c r="G452" s="81"/>
      <c r="H452" s="191"/>
      <c r="I452" s="191"/>
      <c r="J452" s="191"/>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311" t="s">
        <v>222</v>
      </c>
      <c r="C457" s="312"/>
      <c r="D457" s="313" t="s">
        <v>223</v>
      </c>
      <c r="E457" s="304"/>
      <c r="F457" s="88"/>
      <c r="G457" s="314" t="s">
        <v>224</v>
      </c>
      <c r="H457" s="315"/>
      <c r="I457" s="28">
        <f>SUM(E468:E492)</f>
        <v>36</v>
      </c>
      <c r="J457" s="316" t="s">
        <v>225</v>
      </c>
      <c r="K457" s="317"/>
      <c r="L457" s="304"/>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EUC</v>
      </c>
      <c r="F458" s="88"/>
      <c r="G458" s="303" t="s">
        <v>230</v>
      </c>
      <c r="H458" s="304"/>
      <c r="I458" s="33">
        <f>E459-I457</f>
        <v>12</v>
      </c>
      <c r="J458" s="288" t="s">
        <v>231</v>
      </c>
      <c r="K458" s="289"/>
      <c r="L458" s="34">
        <f>I462</f>
        <v>661</v>
      </c>
      <c r="M458" s="195">
        <v>4</v>
      </c>
      <c r="N458" s="35">
        <f>SUM(AI458,AI469)</f>
        <v>0</v>
      </c>
      <c r="O458" s="35">
        <v>0</v>
      </c>
      <c r="P458" s="35">
        <f>SUM(AJ458,AJ469)</f>
        <v>0</v>
      </c>
      <c r="Q458" s="35">
        <v>0</v>
      </c>
      <c r="R458" s="35">
        <f>COUNTIFS($E468:$E492,"4",$F468:$F492,"Pole",$C468:$C492,"FST")</f>
        <v>0</v>
      </c>
      <c r="S458" s="35">
        <f>SUM(AL458,AK469)</f>
        <v>0</v>
      </c>
      <c r="T458" s="35">
        <v>0</v>
      </c>
      <c r="U458" s="35">
        <f>SUM(AK458,AL469)</f>
        <v>9</v>
      </c>
      <c r="V458" s="35">
        <v>0</v>
      </c>
      <c r="W458" s="34">
        <f>COUNTIFS($E468:$E492,"4",$F468:$F492,"HH",$C468:$C492,"FST")</f>
        <v>9</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f>IF($E458="EUC",COUNTIFS($C468:$C492,"FST",$E468:$E492,"4"),"0")</f>
        <v>9</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48</v>
      </c>
      <c r="F459" s="88"/>
      <c r="G459" s="290" t="s">
        <v>237</v>
      </c>
      <c r="H459" s="291"/>
      <c r="I459" s="35">
        <f>IF(E459=0,0,12-(MOD(I457,12)))</f>
        <v>12</v>
      </c>
      <c r="J459" s="288" t="s">
        <v>238</v>
      </c>
      <c r="K459" s="289"/>
      <c r="L459" s="39">
        <f>I463-I457</f>
        <v>660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320" t="s">
        <v>242</v>
      </c>
      <c r="H460" s="43" t="s">
        <v>243</v>
      </c>
      <c r="I460" s="35">
        <f>IF(E460&lt;&gt;0,1,0)</f>
        <v>1</v>
      </c>
      <c r="J460" s="290" t="s">
        <v>244</v>
      </c>
      <c r="K460" s="291"/>
      <c r="L460" s="44">
        <f>'Cable Calculator'!BG3</f>
        <v>1851</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661</v>
      </c>
      <c r="F461" s="88"/>
      <c r="G461" s="321"/>
      <c r="H461" s="47" t="s">
        <v>248</v>
      </c>
      <c r="I461" s="35">
        <f>IF(E460&lt;&gt;0,E460,0)</f>
        <v>12</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4</v>
      </c>
      <c r="F462" s="88"/>
      <c r="G462" s="320" t="s">
        <v>251</v>
      </c>
      <c r="H462" s="51" t="s">
        <v>252</v>
      </c>
      <c r="I462" s="112">
        <f>E461</f>
        <v>661</v>
      </c>
      <c r="J462" s="322" t="s">
        <v>253</v>
      </c>
      <c r="K462" s="323"/>
      <c r="L462" s="324"/>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321"/>
      <c r="H463" s="47" t="s">
        <v>257</v>
      </c>
      <c r="I463" s="35">
        <f>IF(E461="","0",IF(AND(E458="EUC",E459=432), I462+(203-E460),IF(E461=0,0,(E461+(E459-E460)-1))))</f>
        <v>696</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36</v>
      </c>
      <c r="D464" s="31" t="s">
        <v>259</v>
      </c>
      <c r="E464" s="101" t="str">
        <f>IF(AS458="Y","DBL",IF(AS459="Y","TRPL",IF(AS460="Y","QUAD","")))</f>
        <v/>
      </c>
      <c r="F464" s="88"/>
      <c r="G464" s="191"/>
      <c r="H464" s="57"/>
      <c r="I464" s="191"/>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5"/>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7"/>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820</v>
      </c>
      <c r="E468" s="32">
        <v>4</v>
      </c>
      <c r="F468" s="32" t="s">
        <v>488</v>
      </c>
      <c r="G468" s="68" t="s">
        <v>277</v>
      </c>
      <c r="H468" s="69">
        <f>IF(I468=0,0,I468-(E468-1))</f>
        <v>693</v>
      </c>
      <c r="I468" s="70">
        <f>IF(E468=0,0,I463)</f>
        <v>696</v>
      </c>
      <c r="J468" s="71" t="s">
        <v>278</v>
      </c>
      <c r="K468" s="32"/>
      <c r="L468" s="232"/>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693-696</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797</v>
      </c>
      <c r="E469" s="32">
        <v>4</v>
      </c>
      <c r="F469" s="32" t="s">
        <v>488</v>
      </c>
      <c r="G469" s="68" t="s">
        <v>277</v>
      </c>
      <c r="H469" s="69">
        <f t="shared" ref="H469:H492" si="196">IF(E469=0,0,I469-(E469-1))</f>
        <v>689</v>
      </c>
      <c r="I469" s="70">
        <f t="shared" ref="I469:I492" si="197">IF(E469=0,0,H468-1)</f>
        <v>692</v>
      </c>
      <c r="J469" s="73" t="str">
        <f>IF(C469="","--",IF(AND(C469&lt;&gt;"FST",C469&lt;&gt;"TCF",BA468&lt;&gt;0),BA468,"--"))</f>
        <v>--</v>
      </c>
      <c r="K469" s="32"/>
      <c r="L469" s="232"/>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689-692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8">
        <f>MOD(SUM(E468:E469),12)</f>
        <v>8</v>
      </c>
    </row>
    <row r="470" spans="1:53" ht="15.75" thickBot="1" x14ac:dyDescent="0.3">
      <c r="A470" s="88"/>
      <c r="B470" s="74" t="s">
        <v>280</v>
      </c>
      <c r="C470" s="67" t="s">
        <v>484</v>
      </c>
      <c r="D470" s="102" t="s">
        <v>798</v>
      </c>
      <c r="E470" s="32">
        <v>4</v>
      </c>
      <c r="F470" s="32" t="s">
        <v>488</v>
      </c>
      <c r="G470" s="75" t="s">
        <v>277</v>
      </c>
      <c r="H470" s="69">
        <f t="shared" si="196"/>
        <v>685</v>
      </c>
      <c r="I470" s="70">
        <f t="shared" si="197"/>
        <v>688</v>
      </c>
      <c r="J470" s="73" t="str">
        <f t="shared" ref="J470:J492" si="198">IF(C470="","--",IF(AND(C470&lt;&gt;"FST",C470&lt;&gt;"TCF",BA469&lt;&gt;0),BA469,"--"))</f>
        <v>--</v>
      </c>
      <c r="K470" s="32"/>
      <c r="L470" s="232"/>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685-688</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8">
        <f>MOD(SUM(E468:E471),12)</f>
        <v>4</v>
      </c>
    </row>
    <row r="471" spans="1:53" ht="15.75" thickBot="1" x14ac:dyDescent="0.3">
      <c r="A471" s="88"/>
      <c r="B471" s="66" t="s">
        <v>281</v>
      </c>
      <c r="C471" s="67" t="s">
        <v>484</v>
      </c>
      <c r="D471" s="102" t="s">
        <v>759</v>
      </c>
      <c r="E471" s="32">
        <v>4</v>
      </c>
      <c r="F471" s="32" t="s">
        <v>488</v>
      </c>
      <c r="G471" s="68" t="s">
        <v>277</v>
      </c>
      <c r="H471" s="69">
        <f t="shared" si="196"/>
        <v>681</v>
      </c>
      <c r="I471" s="70">
        <f t="shared" si="197"/>
        <v>684</v>
      </c>
      <c r="J471" s="73" t="str">
        <f t="shared" si="198"/>
        <v>--</v>
      </c>
      <c r="K471" s="32"/>
      <c r="L471" s="232"/>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681-684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8">
        <f>MOD(SUM(E468:E472),12)</f>
        <v>8</v>
      </c>
    </row>
    <row r="472" spans="1:53" ht="15.75" thickBot="1" x14ac:dyDescent="0.3">
      <c r="A472" s="88"/>
      <c r="B472" s="66" t="s">
        <v>282</v>
      </c>
      <c r="C472" s="67" t="s">
        <v>484</v>
      </c>
      <c r="D472" s="102" t="s">
        <v>799</v>
      </c>
      <c r="E472" s="32">
        <v>4</v>
      </c>
      <c r="F472" s="32" t="s">
        <v>488</v>
      </c>
      <c r="G472" s="68" t="s">
        <v>277</v>
      </c>
      <c r="H472" s="69">
        <f t="shared" si="196"/>
        <v>677</v>
      </c>
      <c r="I472" s="70">
        <f t="shared" si="197"/>
        <v>680</v>
      </c>
      <c r="J472" s="73" t="str">
        <f t="shared" si="198"/>
        <v>--</v>
      </c>
      <c r="K472" s="32"/>
      <c r="L472" s="232"/>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677-680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760</v>
      </c>
      <c r="E473" s="32">
        <v>4</v>
      </c>
      <c r="F473" s="32" t="s">
        <v>488</v>
      </c>
      <c r="G473" s="68" t="s">
        <v>277</v>
      </c>
      <c r="H473" s="69">
        <f t="shared" si="196"/>
        <v>673</v>
      </c>
      <c r="I473" s="70">
        <f t="shared" si="197"/>
        <v>676</v>
      </c>
      <c r="J473" s="73" t="str">
        <f t="shared" si="198"/>
        <v>--</v>
      </c>
      <c r="K473" s="32"/>
      <c r="L473" s="232"/>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0</v>
      </c>
      <c r="AE473" s="109" t="str">
        <f t="shared" si="189"/>
        <v>673-676</v>
      </c>
      <c r="AF473" s="109" t="str">
        <f t="shared" si="190"/>
        <v>Y</v>
      </c>
      <c r="AG473" s="109" t="str">
        <f t="shared" si="191"/>
        <v>B</v>
      </c>
      <c r="AM473" s="109">
        <f t="shared" si="192"/>
        <v>0</v>
      </c>
      <c r="AN473" s="109">
        <f t="shared" si="193"/>
        <v>0</v>
      </c>
      <c r="AO473" s="109" t="str">
        <f t="shared" si="194"/>
        <v/>
      </c>
      <c r="AQ473" s="109" t="str">
        <f t="shared" si="195"/>
        <v/>
      </c>
      <c r="BA473" s="228">
        <f>MOD(SUM(E468:E474),12)</f>
        <v>4</v>
      </c>
    </row>
    <row r="474" spans="1:53" ht="15.75" thickBot="1" x14ac:dyDescent="0.3">
      <c r="A474" s="88"/>
      <c r="B474" s="66" t="s">
        <v>284</v>
      </c>
      <c r="C474" s="67" t="s">
        <v>484</v>
      </c>
      <c r="D474" s="102" t="s">
        <v>821</v>
      </c>
      <c r="E474" s="32">
        <v>4</v>
      </c>
      <c r="F474" s="32" t="s">
        <v>488</v>
      </c>
      <c r="G474" s="68" t="s">
        <v>277</v>
      </c>
      <c r="H474" s="69">
        <f t="shared" si="196"/>
        <v>669</v>
      </c>
      <c r="I474" s="70">
        <f t="shared" si="197"/>
        <v>672</v>
      </c>
      <c r="J474" s="73" t="str">
        <f t="shared" si="198"/>
        <v>--</v>
      </c>
      <c r="K474" s="32"/>
      <c r="L474" s="232"/>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0</v>
      </c>
      <c r="AE474" s="109" t="str">
        <f t="shared" si="189"/>
        <v>669-672</v>
      </c>
      <c r="AF474" s="109" t="str">
        <f t="shared" si="190"/>
        <v>Y</v>
      </c>
      <c r="AG474" s="109" t="str">
        <f t="shared" si="191"/>
        <v>B</v>
      </c>
      <c r="AM474" s="109">
        <f t="shared" si="192"/>
        <v>0</v>
      </c>
      <c r="AN474" s="109">
        <f t="shared" si="193"/>
        <v>0</v>
      </c>
      <c r="AO474" s="109" t="str">
        <f t="shared" si="194"/>
        <v/>
      </c>
      <c r="AQ474" s="109" t="str">
        <f t="shared" si="195"/>
        <v/>
      </c>
      <c r="BA474" s="228">
        <f>MOD(SUM(E468:E475),12)</f>
        <v>8</v>
      </c>
    </row>
    <row r="475" spans="1:53" ht="15.75" thickBot="1" x14ac:dyDescent="0.3">
      <c r="A475" s="88"/>
      <c r="B475" s="66" t="s">
        <v>285</v>
      </c>
      <c r="C475" s="67" t="s">
        <v>484</v>
      </c>
      <c r="D475" s="102" t="s">
        <v>822</v>
      </c>
      <c r="E475" s="32">
        <v>4</v>
      </c>
      <c r="F475" s="32" t="s">
        <v>488</v>
      </c>
      <c r="G475" s="68" t="s">
        <v>277</v>
      </c>
      <c r="H475" s="69">
        <f t="shared" si="196"/>
        <v>665</v>
      </c>
      <c r="I475" s="70">
        <f t="shared" si="197"/>
        <v>668</v>
      </c>
      <c r="J475" s="73" t="str">
        <f t="shared" si="198"/>
        <v>--</v>
      </c>
      <c r="K475" s="32"/>
      <c r="L475" s="232"/>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0</v>
      </c>
      <c r="AE475" s="109" t="str">
        <f t="shared" si="189"/>
        <v>665-668</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t="s">
        <v>484</v>
      </c>
      <c r="D476" s="102" t="s">
        <v>761</v>
      </c>
      <c r="E476" s="32">
        <v>4</v>
      </c>
      <c r="F476" s="32" t="s">
        <v>488</v>
      </c>
      <c r="G476" s="68" t="s">
        <v>277</v>
      </c>
      <c r="H476" s="69">
        <f t="shared" si="196"/>
        <v>661</v>
      </c>
      <c r="I476" s="70">
        <f t="shared" si="197"/>
        <v>664</v>
      </c>
      <c r="J476" s="73" t="str">
        <f t="shared" si="198"/>
        <v>--</v>
      </c>
      <c r="K476" s="32"/>
      <c r="L476" s="232"/>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0</v>
      </c>
      <c r="AE476" s="109" t="str">
        <f t="shared" si="189"/>
        <v>661-664</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77"/>
      <c r="N479" s="277"/>
      <c r="O479" s="277"/>
      <c r="P479" s="277"/>
      <c r="Q479" s="277"/>
      <c r="R479" s="277"/>
      <c r="S479" s="277"/>
      <c r="T479" s="277"/>
      <c r="U479" s="278"/>
      <c r="V479" s="103"/>
      <c r="W479" s="84">
        <f>Y479+1</f>
        <v>37</v>
      </c>
      <c r="X479" s="84"/>
      <c r="Y479" s="78">
        <f>SUM(E468:E479)</f>
        <v>36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77"/>
      <c r="N480" s="277"/>
      <c r="O480" s="277"/>
      <c r="P480" s="277"/>
      <c r="Q480" s="277"/>
      <c r="R480" s="277"/>
      <c r="S480" s="277"/>
      <c r="T480" s="277"/>
      <c r="U480" s="278"/>
      <c r="V480" s="103"/>
      <c r="W480" s="84">
        <f>Y480+1</f>
        <v>37</v>
      </c>
      <c r="X480" s="84"/>
      <c r="Y480" s="78">
        <f>SUM(E468:E480)</f>
        <v>36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77"/>
      <c r="N481" s="277"/>
      <c r="O481" s="277"/>
      <c r="P481" s="277"/>
      <c r="Q481" s="277"/>
      <c r="R481" s="277"/>
      <c r="S481" s="277"/>
      <c r="T481" s="277"/>
      <c r="U481" s="278"/>
      <c r="V481" s="103"/>
      <c r="W481" s="84">
        <f>Y481+1</f>
        <v>37</v>
      </c>
      <c r="X481" s="84"/>
      <c r="Y481" s="78">
        <f>SUM(E468:E481)</f>
        <v>36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77"/>
      <c r="N482" s="277"/>
      <c r="O482" s="277"/>
      <c r="P482" s="277"/>
      <c r="Q482" s="277"/>
      <c r="R482" s="277"/>
      <c r="S482" s="277"/>
      <c r="T482" s="277"/>
      <c r="U482" s="278"/>
      <c r="V482" s="103"/>
      <c r="W482" s="84">
        <f>Y482+1</f>
        <v>37</v>
      </c>
      <c r="X482" s="84"/>
      <c r="Y482" s="78">
        <f>SUM(E468:E482)</f>
        <v>36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77"/>
      <c r="N483" s="277"/>
      <c r="O483" s="277"/>
      <c r="P483" s="277"/>
      <c r="Q483" s="277"/>
      <c r="R483" s="277"/>
      <c r="S483" s="277"/>
      <c r="T483" s="277"/>
      <c r="U483" s="278"/>
      <c r="V483" s="103"/>
      <c r="W483" s="84">
        <f t="shared" ref="W483:W491" si="203">Y483+1</f>
        <v>37</v>
      </c>
      <c r="X483" s="84"/>
      <c r="Y483" s="78">
        <f>SUM(E468:E483)</f>
        <v>36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77"/>
      <c r="N484" s="277"/>
      <c r="O484" s="277"/>
      <c r="P484" s="277"/>
      <c r="Q484" s="277"/>
      <c r="R484" s="277"/>
      <c r="S484" s="277"/>
      <c r="T484" s="277"/>
      <c r="U484" s="278"/>
      <c r="V484" s="103"/>
      <c r="W484" s="84">
        <f t="shared" si="203"/>
        <v>37</v>
      </c>
      <c r="X484" s="84"/>
      <c r="Y484" s="78">
        <f>SUM(E468:E484)</f>
        <v>36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77"/>
      <c r="N485" s="277"/>
      <c r="O485" s="277"/>
      <c r="P485" s="277"/>
      <c r="Q485" s="277"/>
      <c r="R485" s="277"/>
      <c r="S485" s="277"/>
      <c r="T485" s="277"/>
      <c r="U485" s="278"/>
      <c r="V485" s="103"/>
      <c r="W485" s="84">
        <f t="shared" si="203"/>
        <v>37</v>
      </c>
      <c r="X485" s="84"/>
      <c r="Y485" s="78">
        <f>SUM(E468:E485)</f>
        <v>36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77"/>
      <c r="N486" s="277"/>
      <c r="O486" s="277"/>
      <c r="P486" s="277"/>
      <c r="Q486" s="277"/>
      <c r="R486" s="277"/>
      <c r="S486" s="277"/>
      <c r="T486" s="277"/>
      <c r="U486" s="278"/>
      <c r="V486" s="103"/>
      <c r="W486" s="84">
        <f t="shared" si="203"/>
        <v>37</v>
      </c>
      <c r="X486" s="84"/>
      <c r="Y486" s="78">
        <f>SUM(E468:E486)</f>
        <v>36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77"/>
      <c r="N487" s="277"/>
      <c r="O487" s="277"/>
      <c r="P487" s="277"/>
      <c r="Q487" s="277"/>
      <c r="R487" s="277"/>
      <c r="S487" s="277"/>
      <c r="T487" s="277"/>
      <c r="U487" s="278"/>
      <c r="V487" s="103"/>
      <c r="W487" s="84">
        <f t="shared" si="203"/>
        <v>37</v>
      </c>
      <c r="X487" s="84"/>
      <c r="Y487" s="78">
        <f>SUM(E468:E487)</f>
        <v>36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77"/>
      <c r="N488" s="277"/>
      <c r="O488" s="277"/>
      <c r="P488" s="277"/>
      <c r="Q488" s="277"/>
      <c r="R488" s="277"/>
      <c r="S488" s="277"/>
      <c r="T488" s="277"/>
      <c r="U488" s="278"/>
      <c r="V488" s="103"/>
      <c r="W488" s="84">
        <f t="shared" si="203"/>
        <v>37</v>
      </c>
      <c r="X488" s="84"/>
      <c r="Y488" s="78">
        <f>SUM(E468:E488)</f>
        <v>36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77"/>
      <c r="N489" s="277"/>
      <c r="O489" s="277"/>
      <c r="P489" s="277"/>
      <c r="Q489" s="277"/>
      <c r="R489" s="277"/>
      <c r="S489" s="277"/>
      <c r="T489" s="277"/>
      <c r="U489" s="278"/>
      <c r="V489" s="103"/>
      <c r="W489" s="84">
        <f t="shared" si="203"/>
        <v>37</v>
      </c>
      <c r="X489" s="84"/>
      <c r="Y489" s="78">
        <f>SUM(E468:E489)</f>
        <v>36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77"/>
      <c r="N490" s="277"/>
      <c r="O490" s="277"/>
      <c r="P490" s="277"/>
      <c r="Q490" s="277"/>
      <c r="R490" s="277"/>
      <c r="S490" s="277"/>
      <c r="T490" s="277"/>
      <c r="U490" s="278"/>
      <c r="V490" s="103"/>
      <c r="W490" s="84">
        <f t="shared" si="203"/>
        <v>37</v>
      </c>
      <c r="X490" s="84"/>
      <c r="Y490" s="78">
        <f>SUM(E468:E490)</f>
        <v>36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77"/>
      <c r="N491" s="277"/>
      <c r="O491" s="277"/>
      <c r="P491" s="277"/>
      <c r="Q491" s="277"/>
      <c r="R491" s="277"/>
      <c r="S491" s="277"/>
      <c r="T491" s="277"/>
      <c r="U491" s="278"/>
      <c r="V491" s="103"/>
      <c r="W491" s="84">
        <f t="shared" si="203"/>
        <v>37</v>
      </c>
      <c r="X491" s="84"/>
      <c r="Y491" s="78">
        <f>SUM(E468:E491)</f>
        <v>36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77"/>
      <c r="N492" s="277"/>
      <c r="O492" s="277"/>
      <c r="P492" s="277"/>
      <c r="Q492" s="277"/>
      <c r="R492" s="277"/>
      <c r="S492" s="277"/>
      <c r="T492" s="277"/>
      <c r="U492" s="278"/>
      <c r="V492" s="103"/>
      <c r="W492" s="72"/>
      <c r="X492" s="72"/>
      <c r="Y492" s="78">
        <f>SUM(E468:E492)</f>
        <v>36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318" t="s">
        <v>327</v>
      </c>
      <c r="C493" s="319"/>
      <c r="D493" s="79"/>
      <c r="E493" s="80"/>
      <c r="F493" s="80"/>
      <c r="G493" s="81"/>
      <c r="H493" s="191"/>
      <c r="I493" s="191"/>
      <c r="J493" s="191"/>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16</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311" t="s">
        <v>222</v>
      </c>
      <c r="C498" s="312"/>
      <c r="D498" s="313" t="s">
        <v>223</v>
      </c>
      <c r="E498" s="304"/>
      <c r="F498" s="88"/>
      <c r="G498" s="314" t="s">
        <v>224</v>
      </c>
      <c r="H498" s="315"/>
      <c r="I498" s="28">
        <f>SUM(E509:E533)</f>
        <v>84</v>
      </c>
      <c r="J498" s="316" t="s">
        <v>225</v>
      </c>
      <c r="K498" s="317"/>
      <c r="L498" s="304"/>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60</v>
      </c>
      <c r="J499" s="288" t="s">
        <v>231</v>
      </c>
      <c r="K499" s="289"/>
      <c r="L499" s="34">
        <f>I503</f>
        <v>577</v>
      </c>
      <c r="M499" s="195">
        <v>4</v>
      </c>
      <c r="N499" s="35">
        <f>SUM(AI499,AI510)</f>
        <v>0</v>
      </c>
      <c r="O499" s="35">
        <v>0</v>
      </c>
      <c r="P499" s="35">
        <f>SUM(AJ499,AJ510)</f>
        <v>0</v>
      </c>
      <c r="Q499" s="35">
        <v>0</v>
      </c>
      <c r="R499" s="35">
        <f>COUNTIFS($E509:$E533,"4",$F509:$F533,"Pole",$C509:$C533,"FST")</f>
        <v>0</v>
      </c>
      <c r="S499" s="35">
        <f>SUM(AL499,AK510)</f>
        <v>0</v>
      </c>
      <c r="T499" s="35">
        <v>0</v>
      </c>
      <c r="U499" s="35">
        <f>SUM(AK499,AL510)</f>
        <v>6</v>
      </c>
      <c r="V499" s="35">
        <v>0</v>
      </c>
      <c r="W499" s="34">
        <f>COUNTIFS($E509:$E533,"4",$F509:$F533,"HH",$C509:$C533,"FST")</f>
        <v>6</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6</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144</v>
      </c>
      <c r="F500" s="88"/>
      <c r="G500" s="290" t="s">
        <v>237</v>
      </c>
      <c r="H500" s="291"/>
      <c r="I500" s="35">
        <f>IF(E500=0,0,12-(MOD(I498,12)))</f>
        <v>12</v>
      </c>
      <c r="J500" s="288" t="s">
        <v>238</v>
      </c>
      <c r="K500" s="289"/>
      <c r="L500" s="39">
        <f>I504-I498</f>
        <v>576</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60</v>
      </c>
      <c r="F501" s="88"/>
      <c r="G501" s="320" t="s">
        <v>242</v>
      </c>
      <c r="H501" s="43" t="s">
        <v>243</v>
      </c>
      <c r="I501" s="35">
        <f>IF(E501&lt;&gt;0,1,0)</f>
        <v>1</v>
      </c>
      <c r="J501" s="290" t="s">
        <v>244</v>
      </c>
      <c r="K501" s="291"/>
      <c r="L501" s="44">
        <f>'Cable Calculator'!BL3</f>
        <v>1729</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577</v>
      </c>
      <c r="F502" s="88"/>
      <c r="G502" s="321"/>
      <c r="H502" s="47" t="s">
        <v>248</v>
      </c>
      <c r="I502" s="35">
        <f>IF(E501&lt;&gt;0,E501,0)</f>
        <v>60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12</v>
      </c>
      <c r="F503" s="88"/>
      <c r="G503" s="320" t="s">
        <v>251</v>
      </c>
      <c r="H503" s="51" t="s">
        <v>252</v>
      </c>
      <c r="I503" s="112">
        <f>E502</f>
        <v>577</v>
      </c>
      <c r="J503" s="322" t="s">
        <v>253</v>
      </c>
      <c r="K503" s="323"/>
      <c r="L503" s="324"/>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660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84</v>
      </c>
      <c r="D505" s="31" t="s">
        <v>259</v>
      </c>
      <c r="E505" s="101" t="str">
        <f>IF(AS499="Y","DBL",IF(AS500="Y","TRPL",IF(AS501="Y","QUAD","")))</f>
        <v/>
      </c>
      <c r="F505" s="88"/>
      <c r="G505" s="191"/>
      <c r="H505" s="57"/>
      <c r="I505" s="191"/>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5"/>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7"/>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484</v>
      </c>
      <c r="D509" s="102" t="s">
        <v>823</v>
      </c>
      <c r="E509" s="32">
        <v>4</v>
      </c>
      <c r="F509" s="32" t="s">
        <v>488</v>
      </c>
      <c r="G509" s="68" t="s">
        <v>277</v>
      </c>
      <c r="H509" s="69">
        <f>IF(I509=0,0,I509-(E509-1))</f>
        <v>657</v>
      </c>
      <c r="I509" s="70">
        <f>IF(E509=0,0,I504)</f>
        <v>660</v>
      </c>
      <c r="J509" s="71" t="s">
        <v>278</v>
      </c>
      <c r="K509" s="32"/>
      <c r="L509" s="232"/>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657-660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4</v>
      </c>
    </row>
    <row r="510" spans="1:53" ht="15.75" thickBot="1" x14ac:dyDescent="0.3">
      <c r="A510" s="88"/>
      <c r="B510" s="66" t="s">
        <v>279</v>
      </c>
      <c r="C510" s="67" t="s">
        <v>484</v>
      </c>
      <c r="D510" s="102" t="s">
        <v>824</v>
      </c>
      <c r="E510" s="32">
        <v>4</v>
      </c>
      <c r="F510" s="32" t="s">
        <v>488</v>
      </c>
      <c r="G510" s="68" t="s">
        <v>277</v>
      </c>
      <c r="H510" s="69">
        <f t="shared" ref="H510:H533" si="213">IF(E510=0,0,I510-(E510-1))</f>
        <v>653</v>
      </c>
      <c r="I510" s="70">
        <f t="shared" ref="I510:I533" si="214">IF(E510=0,0,H509-1)</f>
        <v>656</v>
      </c>
      <c r="J510" s="73" t="str">
        <f>IF(C510="","--",IF(AND(C510&lt;&gt;"FST",C510&lt;&gt;"TCF",BA509&lt;&gt;0),BA509,"--"))</f>
        <v>--</v>
      </c>
      <c r="K510" s="32"/>
      <c r="L510" s="232"/>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653-656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8">
        <f>MOD(SUM(E509:E510),12)</f>
        <v>8</v>
      </c>
    </row>
    <row r="511" spans="1:53" ht="15.75" thickBot="1" x14ac:dyDescent="0.3">
      <c r="A511" s="88"/>
      <c r="B511" s="74" t="s">
        <v>280</v>
      </c>
      <c r="C511" s="67" t="s">
        <v>484</v>
      </c>
      <c r="D511" s="102" t="s">
        <v>762</v>
      </c>
      <c r="E511" s="32">
        <v>4</v>
      </c>
      <c r="F511" s="32" t="s">
        <v>488</v>
      </c>
      <c r="G511" s="75" t="s">
        <v>277</v>
      </c>
      <c r="H511" s="69">
        <f t="shared" si="213"/>
        <v>649</v>
      </c>
      <c r="I511" s="70">
        <f t="shared" si="214"/>
        <v>652</v>
      </c>
      <c r="J511" s="73" t="str">
        <f t="shared" ref="J511:J533" si="215">IF(C511="","--",IF(AND(C511&lt;&gt;"FST",C511&lt;&gt;"TCF",BA510&lt;&gt;0),BA510,"--"))</f>
        <v>--</v>
      </c>
      <c r="K511" s="32"/>
      <c r="L511" s="232"/>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649-652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8">
        <f>MOD(SUM(E509:E512),12)</f>
        <v>4</v>
      </c>
    </row>
    <row r="512" spans="1:53" ht="15.75" thickBot="1" x14ac:dyDescent="0.3">
      <c r="A512" s="88"/>
      <c r="B512" s="66" t="s">
        <v>281</v>
      </c>
      <c r="C512" s="67" t="s">
        <v>484</v>
      </c>
      <c r="D512" s="102" t="s">
        <v>763</v>
      </c>
      <c r="E512" s="32">
        <v>4</v>
      </c>
      <c r="F512" s="32" t="s">
        <v>488</v>
      </c>
      <c r="G512" s="68" t="s">
        <v>277</v>
      </c>
      <c r="H512" s="69">
        <f t="shared" si="213"/>
        <v>645</v>
      </c>
      <c r="I512" s="70">
        <f t="shared" si="214"/>
        <v>648</v>
      </c>
      <c r="J512" s="73" t="str">
        <f t="shared" si="215"/>
        <v>--</v>
      </c>
      <c r="K512" s="32"/>
      <c r="L512" s="232"/>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645-648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8">
        <f>MOD(SUM(E509:E513),12)</f>
        <v>8</v>
      </c>
    </row>
    <row r="513" spans="1:53" ht="15.75" thickBot="1" x14ac:dyDescent="0.3">
      <c r="A513" s="88"/>
      <c r="B513" s="66" t="s">
        <v>282</v>
      </c>
      <c r="C513" s="67" t="s">
        <v>484</v>
      </c>
      <c r="D513" s="102" t="s">
        <v>764</v>
      </c>
      <c r="E513" s="32">
        <v>4</v>
      </c>
      <c r="F513" s="32" t="s">
        <v>488</v>
      </c>
      <c r="G513" s="68" t="s">
        <v>277</v>
      </c>
      <c r="H513" s="69">
        <f t="shared" si="213"/>
        <v>641</v>
      </c>
      <c r="I513" s="70">
        <f t="shared" si="214"/>
        <v>644</v>
      </c>
      <c r="J513" s="73" t="str">
        <f t="shared" si="215"/>
        <v>--</v>
      </c>
      <c r="K513" s="32"/>
      <c r="L513" s="232"/>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641-644</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t="s">
        <v>484</v>
      </c>
      <c r="D514" s="102" t="s">
        <v>800</v>
      </c>
      <c r="E514" s="32">
        <v>4</v>
      </c>
      <c r="F514" s="32" t="s">
        <v>488</v>
      </c>
      <c r="G514" s="68" t="s">
        <v>277</v>
      </c>
      <c r="H514" s="69">
        <f t="shared" si="213"/>
        <v>637</v>
      </c>
      <c r="I514" s="70">
        <f t="shared" si="214"/>
        <v>640</v>
      </c>
      <c r="J514" s="73" t="str">
        <f t="shared" si="215"/>
        <v>--</v>
      </c>
      <c r="K514" s="32"/>
      <c r="L514" s="232"/>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0</v>
      </c>
      <c r="AE514" s="109" t="str">
        <f t="shared" si="206"/>
        <v>637-640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t="s">
        <v>502</v>
      </c>
      <c r="D515" s="102"/>
      <c r="E515" s="32">
        <v>60</v>
      </c>
      <c r="F515" s="32"/>
      <c r="G515" s="68" t="s">
        <v>277</v>
      </c>
      <c r="H515" s="69">
        <f t="shared" si="213"/>
        <v>577</v>
      </c>
      <c r="I515" s="70">
        <f t="shared" si="214"/>
        <v>636</v>
      </c>
      <c r="J515" s="73" t="str">
        <f t="shared" si="215"/>
        <v>--</v>
      </c>
      <c r="K515" s="32"/>
      <c r="L515" s="232"/>
      <c r="M515" s="277" t="s">
        <v>418</v>
      </c>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577-636</v>
      </c>
      <c r="AF515" s="109" t="str">
        <f t="shared" si="207"/>
        <v>N</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77"/>
      <c r="N520" s="277"/>
      <c r="O520" s="277"/>
      <c r="P520" s="277"/>
      <c r="Q520" s="277"/>
      <c r="R520" s="277"/>
      <c r="S520" s="277"/>
      <c r="T520" s="277"/>
      <c r="U520" s="278"/>
      <c r="V520" s="103"/>
      <c r="W520" s="84">
        <f>Y520+1</f>
        <v>85</v>
      </c>
      <c r="X520" s="84"/>
      <c r="Y520" s="78">
        <f>SUM(E509:E520)</f>
        <v>84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77"/>
      <c r="N521" s="277"/>
      <c r="O521" s="277"/>
      <c r="P521" s="277"/>
      <c r="Q521" s="277"/>
      <c r="R521" s="277"/>
      <c r="S521" s="277"/>
      <c r="T521" s="277"/>
      <c r="U521" s="278"/>
      <c r="V521" s="103"/>
      <c r="W521" s="84">
        <f>Y521+1</f>
        <v>85</v>
      </c>
      <c r="X521" s="84"/>
      <c r="Y521" s="78">
        <f>SUM(E509:E521)</f>
        <v>84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77"/>
      <c r="N522" s="277"/>
      <c r="O522" s="277"/>
      <c r="P522" s="277"/>
      <c r="Q522" s="277"/>
      <c r="R522" s="277"/>
      <c r="S522" s="277"/>
      <c r="T522" s="277"/>
      <c r="U522" s="278"/>
      <c r="V522" s="103"/>
      <c r="W522" s="84">
        <f>Y522+1</f>
        <v>85</v>
      </c>
      <c r="X522" s="84"/>
      <c r="Y522" s="78">
        <f>SUM(E509:E522)</f>
        <v>84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77"/>
      <c r="N523" s="277"/>
      <c r="O523" s="277"/>
      <c r="P523" s="277"/>
      <c r="Q523" s="277"/>
      <c r="R523" s="277"/>
      <c r="S523" s="277"/>
      <c r="T523" s="277"/>
      <c r="U523" s="278"/>
      <c r="V523" s="103"/>
      <c r="W523" s="84">
        <f>Y523+1</f>
        <v>85</v>
      </c>
      <c r="X523" s="84"/>
      <c r="Y523" s="78">
        <f>SUM(E509:E523)</f>
        <v>84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77"/>
      <c r="N524" s="277"/>
      <c r="O524" s="277"/>
      <c r="P524" s="277"/>
      <c r="Q524" s="277"/>
      <c r="R524" s="277"/>
      <c r="S524" s="277"/>
      <c r="T524" s="277"/>
      <c r="U524" s="278"/>
      <c r="V524" s="103"/>
      <c r="W524" s="84">
        <f t="shared" ref="W524:W532" si="220">Y524+1</f>
        <v>85</v>
      </c>
      <c r="X524" s="84"/>
      <c r="Y524" s="78">
        <f>SUM(E509:E524)</f>
        <v>84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77"/>
      <c r="N525" s="277"/>
      <c r="O525" s="277"/>
      <c r="P525" s="277"/>
      <c r="Q525" s="277"/>
      <c r="R525" s="277"/>
      <c r="S525" s="277"/>
      <c r="T525" s="277"/>
      <c r="U525" s="278"/>
      <c r="V525" s="103"/>
      <c r="W525" s="84">
        <f t="shared" si="220"/>
        <v>85</v>
      </c>
      <c r="X525" s="84"/>
      <c r="Y525" s="78">
        <f>SUM(E509:E525)</f>
        <v>84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77"/>
      <c r="N526" s="277"/>
      <c r="O526" s="277"/>
      <c r="P526" s="277"/>
      <c r="Q526" s="277"/>
      <c r="R526" s="277"/>
      <c r="S526" s="277"/>
      <c r="T526" s="277"/>
      <c r="U526" s="278"/>
      <c r="V526" s="103"/>
      <c r="W526" s="84">
        <f t="shared" si="220"/>
        <v>85</v>
      </c>
      <c r="X526" s="84"/>
      <c r="Y526" s="78">
        <f>SUM(E509:E526)</f>
        <v>84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77"/>
      <c r="N527" s="277"/>
      <c r="O527" s="277"/>
      <c r="P527" s="277"/>
      <c r="Q527" s="277"/>
      <c r="R527" s="277"/>
      <c r="S527" s="277"/>
      <c r="T527" s="277"/>
      <c r="U527" s="278"/>
      <c r="V527" s="103"/>
      <c r="W527" s="84">
        <f t="shared" si="220"/>
        <v>85</v>
      </c>
      <c r="X527" s="84"/>
      <c r="Y527" s="78">
        <f>SUM(E509:E527)</f>
        <v>84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77"/>
      <c r="N528" s="277"/>
      <c r="O528" s="277"/>
      <c r="P528" s="277"/>
      <c r="Q528" s="277"/>
      <c r="R528" s="277"/>
      <c r="S528" s="277"/>
      <c r="T528" s="277"/>
      <c r="U528" s="278"/>
      <c r="V528" s="103"/>
      <c r="W528" s="84">
        <f t="shared" si="220"/>
        <v>85</v>
      </c>
      <c r="X528" s="84"/>
      <c r="Y528" s="78">
        <f>SUM(E509:E528)</f>
        <v>84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77"/>
      <c r="N529" s="277"/>
      <c r="O529" s="277"/>
      <c r="P529" s="277"/>
      <c r="Q529" s="277"/>
      <c r="R529" s="277"/>
      <c r="S529" s="277"/>
      <c r="T529" s="277"/>
      <c r="U529" s="278"/>
      <c r="V529" s="103"/>
      <c r="W529" s="84">
        <f t="shared" si="220"/>
        <v>85</v>
      </c>
      <c r="X529" s="84"/>
      <c r="Y529" s="78">
        <f>SUM(E509:E529)</f>
        <v>84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77"/>
      <c r="N530" s="277"/>
      <c r="O530" s="277"/>
      <c r="P530" s="277"/>
      <c r="Q530" s="277"/>
      <c r="R530" s="277"/>
      <c r="S530" s="277"/>
      <c r="T530" s="277"/>
      <c r="U530" s="278"/>
      <c r="V530" s="103"/>
      <c r="W530" s="84">
        <f t="shared" si="220"/>
        <v>85</v>
      </c>
      <c r="X530" s="84"/>
      <c r="Y530" s="78">
        <f>SUM(E509:E530)</f>
        <v>84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77"/>
      <c r="N531" s="277"/>
      <c r="O531" s="277"/>
      <c r="P531" s="277"/>
      <c r="Q531" s="277"/>
      <c r="R531" s="277"/>
      <c r="S531" s="277"/>
      <c r="T531" s="277"/>
      <c r="U531" s="278"/>
      <c r="V531" s="103"/>
      <c r="W531" s="84">
        <f t="shared" si="220"/>
        <v>85</v>
      </c>
      <c r="X531" s="84"/>
      <c r="Y531" s="78">
        <f>SUM(E509:E531)</f>
        <v>84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77"/>
      <c r="N532" s="277"/>
      <c r="O532" s="277"/>
      <c r="P532" s="277"/>
      <c r="Q532" s="277"/>
      <c r="R532" s="277"/>
      <c r="S532" s="277"/>
      <c r="T532" s="277"/>
      <c r="U532" s="278"/>
      <c r="V532" s="103"/>
      <c r="W532" s="84">
        <f t="shared" si="220"/>
        <v>85</v>
      </c>
      <c r="X532" s="84"/>
      <c r="Y532" s="78">
        <f>SUM(E509:E532)</f>
        <v>84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77"/>
      <c r="N533" s="277"/>
      <c r="O533" s="277"/>
      <c r="P533" s="277"/>
      <c r="Q533" s="277"/>
      <c r="R533" s="277"/>
      <c r="S533" s="277"/>
      <c r="T533" s="277"/>
      <c r="U533" s="278"/>
      <c r="V533" s="103"/>
      <c r="W533" s="72"/>
      <c r="X533" s="72"/>
      <c r="Y533" s="78">
        <f>SUM(E509:E533)</f>
        <v>84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318" t="s">
        <v>329</v>
      </c>
      <c r="C534" s="319"/>
      <c r="D534" s="79"/>
      <c r="E534" s="80"/>
      <c r="F534" s="80"/>
      <c r="G534" s="81"/>
      <c r="H534" s="191"/>
      <c r="I534" s="191"/>
      <c r="J534" s="191"/>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311" t="s">
        <v>222</v>
      </c>
      <c r="C539" s="312"/>
      <c r="D539" s="313" t="s">
        <v>223</v>
      </c>
      <c r="E539" s="304"/>
      <c r="F539" s="88"/>
      <c r="G539" s="314" t="s">
        <v>224</v>
      </c>
      <c r="H539" s="315"/>
      <c r="I539" s="28">
        <f>SUM(E550:E574)</f>
        <v>24</v>
      </c>
      <c r="J539" s="316" t="s">
        <v>225</v>
      </c>
      <c r="K539" s="317"/>
      <c r="L539" s="304"/>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t="str">
        <f>IF(OR($AS540="Y",$AS541="Y",$AS542="Y"),"",COUNTIFS($E540,"SS",$E545,"Y"))</f>
        <v/>
      </c>
      <c r="AV539" s="111" t="str">
        <f>IF(OR($AS540="Y",$AS541="Y",$AS542="Y"),"",COUNTIFS($E540,"RPX",$E545,"Y"))</f>
        <v/>
      </c>
      <c r="AW539" s="111" t="str">
        <f>IF(OR($AS540="Y",$AS541="Y",$AS542="Y"),"",COUNTIFS($E540,"EUC",$E545,"Y"))</f>
        <v/>
      </c>
      <c r="AX539" s="109" t="str">
        <f>IF(OR($AS540="Y",$AS541="Y",$AS542="Y"),"",COUNTIFS($E540,"RPX-T",$E545,"Y"))</f>
        <v/>
      </c>
      <c r="BA539" s="225"/>
    </row>
    <row r="540" spans="1:53" ht="16.5" customHeight="1" thickTop="1" thickBot="1" x14ac:dyDescent="0.3">
      <c r="A540" s="88"/>
      <c r="B540" s="29" t="s">
        <v>228</v>
      </c>
      <c r="C540" s="30">
        <v>0</v>
      </c>
      <c r="D540" s="31" t="s">
        <v>229</v>
      </c>
      <c r="E540" s="66" t="str">
        <f>TEXT(IF('Cable Calculator'!BQ7="","",'Cable Calculator'!BQ7),)</f>
        <v>EUC</v>
      </c>
      <c r="F540" s="88"/>
      <c r="G540" s="303" t="s">
        <v>230</v>
      </c>
      <c r="H540" s="304"/>
      <c r="I540" s="33">
        <f>E541-I539</f>
        <v>0</v>
      </c>
      <c r="J540" s="288" t="s">
        <v>231</v>
      </c>
      <c r="K540" s="289"/>
      <c r="L540" s="34">
        <f>I544</f>
        <v>601</v>
      </c>
      <c r="M540" s="195">
        <v>4</v>
      </c>
      <c r="N540" s="35">
        <f>SUM(AI540,AI551)</f>
        <v>0</v>
      </c>
      <c r="O540" s="35">
        <v>0</v>
      </c>
      <c r="P540" s="35">
        <f>SUM(AJ540,AJ551)</f>
        <v>0</v>
      </c>
      <c r="Q540" s="35">
        <v>0</v>
      </c>
      <c r="R540" s="35">
        <f>COUNTIFS($E550:$E574,"4",$F550:$F574,"Pole",$C550:$C574,"FST")</f>
        <v>0</v>
      </c>
      <c r="S540" s="35">
        <f>SUM(AL540,AK551)</f>
        <v>0</v>
      </c>
      <c r="T540" s="35">
        <v>0</v>
      </c>
      <c r="U540" s="35">
        <f>SUM(AK540,AL551)</f>
        <v>4</v>
      </c>
      <c r="V540" s="35">
        <v>0</v>
      </c>
      <c r="W540" s="34">
        <f>COUNTIFS($E550:$E574,"4",$F550:$F574,"HH",$C550:$C574,"FST")</f>
        <v>4</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f>IF($E540="EUC",COUNTIFS($C550:$C574,"FST",$E550:$E574,"4"),"0")</f>
        <v>4</v>
      </c>
      <c r="AL540" s="109" t="str">
        <f>IF($E540="RPX-T",COUNTIFS($C550:$C574,"FST",$E550:$E574,"4"),"0")</f>
        <v>0</v>
      </c>
      <c r="AS540" s="109" t="str">
        <f>IF(AND(E545="Y",E541=24,E542=0),"Y","N")</f>
        <v>Y</v>
      </c>
      <c r="AT540" s="110" t="s">
        <v>234</v>
      </c>
      <c r="AU540" s="109">
        <f>COUNTIFS($E540,"SS",$AS540,"Y")</f>
        <v>0</v>
      </c>
      <c r="AV540" s="111">
        <f>COUNTIFS($E540,"RPX",$AS540,"Y")</f>
        <v>0</v>
      </c>
      <c r="AW540" s="111">
        <f>COUNTIFS($E540,"EUC",$AS540,"Y")</f>
        <v>1</v>
      </c>
      <c r="AX540" s="109">
        <f>COUNTIFS($E540,"RPX-T",$AS540,"Y")</f>
        <v>0</v>
      </c>
      <c r="BA540" s="226"/>
    </row>
    <row r="541" spans="1:53" ht="16.5" thickTop="1" thickBot="1" x14ac:dyDescent="0.3">
      <c r="A541" s="88"/>
      <c r="B541" s="36" t="s">
        <v>235</v>
      </c>
      <c r="C541" s="37">
        <v>0</v>
      </c>
      <c r="D541" s="38" t="s">
        <v>236</v>
      </c>
      <c r="E541" s="32">
        <v>24</v>
      </c>
      <c r="F541" s="88"/>
      <c r="G541" s="290" t="s">
        <v>237</v>
      </c>
      <c r="H541" s="291"/>
      <c r="I541" s="35">
        <f>IF(E541=0,0,12-(MOD(I539,12)))</f>
        <v>12</v>
      </c>
      <c r="J541" s="288" t="s">
        <v>238</v>
      </c>
      <c r="K541" s="289"/>
      <c r="L541" s="39">
        <f>I545-I539</f>
        <v>600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320" t="s">
        <v>242</v>
      </c>
      <c r="H542" s="43" t="s">
        <v>243</v>
      </c>
      <c r="I542" s="35">
        <f>IF(E542&lt;&gt;0,1,0)</f>
        <v>0</v>
      </c>
      <c r="J542" s="290" t="s">
        <v>244</v>
      </c>
      <c r="K542" s="291"/>
      <c r="L542" s="44">
        <f>'Cable Calculator'!BQ3</f>
        <v>1049</v>
      </c>
      <c r="M542" s="195">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601</v>
      </c>
      <c r="F543" s="88"/>
      <c r="G543" s="321"/>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320" t="s">
        <v>251</v>
      </c>
      <c r="H544" s="51" t="s">
        <v>252</v>
      </c>
      <c r="I544" s="112">
        <f>E543</f>
        <v>601</v>
      </c>
      <c r="J544" s="322" t="s">
        <v>253</v>
      </c>
      <c r="K544" s="323"/>
      <c r="L544" s="324"/>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Y</v>
      </c>
      <c r="F545" s="88"/>
      <c r="G545" s="321"/>
      <c r="H545" s="47" t="s">
        <v>257</v>
      </c>
      <c r="I545" s="35">
        <f>IF(E543="","0",IF(AND(E540="EUC",E541=432), I544+(203-E542),IF(E543=0,0,(E543+(E541-E542)-1))))</f>
        <v>624</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24</v>
      </c>
      <c r="D546" s="31" t="s">
        <v>259</v>
      </c>
      <c r="E546" s="101" t="str">
        <f>IF(AS540="Y","DBL",IF(AS541="Y","TRPL",IF(AS542="Y","QUAD","")))</f>
        <v>DBL</v>
      </c>
      <c r="F546" s="88"/>
      <c r="G546" s="191"/>
      <c r="H546" s="57"/>
      <c r="I546" s="191"/>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5"/>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7"/>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828</v>
      </c>
      <c r="E550" s="32">
        <v>4</v>
      </c>
      <c r="F550" s="32" t="s">
        <v>488</v>
      </c>
      <c r="G550" s="68" t="s">
        <v>277</v>
      </c>
      <c r="H550" s="69">
        <f>IF(I550=0,0,I550-(E550-1))</f>
        <v>621</v>
      </c>
      <c r="I550" s="70">
        <f>IF(E550=0,0,I545)</f>
        <v>624</v>
      </c>
      <c r="J550" s="71" t="s">
        <v>278</v>
      </c>
      <c r="K550" s="32"/>
      <c r="L550" s="232"/>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825</v>
      </c>
      <c r="E551" s="32">
        <v>4</v>
      </c>
      <c r="F551" s="32" t="s">
        <v>488</v>
      </c>
      <c r="G551" s="68" t="s">
        <v>277</v>
      </c>
      <c r="H551" s="69">
        <f t="shared" ref="H551:H574" si="230">IF(E551=0,0,I551-(E551-1))</f>
        <v>617</v>
      </c>
      <c r="I551" s="70">
        <f t="shared" ref="I551:I574" si="231">IF(E551=0,0,H550-1)</f>
        <v>620</v>
      </c>
      <c r="J551" s="73" t="str">
        <f>IF(C551="","--",IF(AND(C551&lt;&gt;"FST",C551&lt;&gt;"TCF",BA550&lt;&gt;0),BA550,"--"))</f>
        <v>--</v>
      </c>
      <c r="K551" s="32"/>
      <c r="L551" s="232"/>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8</v>
      </c>
    </row>
    <row r="552" spans="1:53" ht="15.75" thickBot="1" x14ac:dyDescent="0.3">
      <c r="A552" s="88"/>
      <c r="B552" s="74" t="s">
        <v>280</v>
      </c>
      <c r="C552" s="67" t="s">
        <v>484</v>
      </c>
      <c r="D552" s="102" t="s">
        <v>826</v>
      </c>
      <c r="E552" s="32">
        <v>4</v>
      </c>
      <c r="F552" s="32" t="s">
        <v>488</v>
      </c>
      <c r="G552" s="75" t="s">
        <v>277</v>
      </c>
      <c r="H552" s="69">
        <f t="shared" si="230"/>
        <v>613</v>
      </c>
      <c r="I552" s="70">
        <f t="shared" si="231"/>
        <v>616</v>
      </c>
      <c r="J552" s="73" t="str">
        <f t="shared" ref="J552:J574" si="232">IF(C552="","--",IF(AND(C552&lt;&gt;"FST",C552&lt;&gt;"TCF",BA551&lt;&gt;0),BA551,"--"))</f>
        <v>--</v>
      </c>
      <c r="K552" s="32"/>
      <c r="L552" s="232"/>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613-616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4</v>
      </c>
    </row>
    <row r="553" spans="1:53" ht="15.75" thickBot="1" x14ac:dyDescent="0.3">
      <c r="A553" s="88"/>
      <c r="B553" s="66" t="s">
        <v>281</v>
      </c>
      <c r="C553" s="67" t="s">
        <v>484</v>
      </c>
      <c r="D553" s="102" t="s">
        <v>770</v>
      </c>
      <c r="E553" s="32">
        <v>4</v>
      </c>
      <c r="F553" s="32" t="s">
        <v>488</v>
      </c>
      <c r="G553" s="68" t="s">
        <v>277</v>
      </c>
      <c r="H553" s="69">
        <f t="shared" si="230"/>
        <v>609</v>
      </c>
      <c r="I553" s="70">
        <f t="shared" si="231"/>
        <v>612</v>
      </c>
      <c r="J553" s="73" t="str">
        <f t="shared" si="232"/>
        <v>--</v>
      </c>
      <c r="K553" s="32"/>
      <c r="L553" s="232"/>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609-612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t="s">
        <v>484</v>
      </c>
      <c r="D554" s="102" t="s">
        <v>771</v>
      </c>
      <c r="E554" s="32">
        <v>8</v>
      </c>
      <c r="F554" s="32" t="s">
        <v>488</v>
      </c>
      <c r="G554" s="68" t="s">
        <v>277</v>
      </c>
      <c r="H554" s="69">
        <f t="shared" si="230"/>
        <v>601</v>
      </c>
      <c r="I554" s="70">
        <f t="shared" si="231"/>
        <v>608</v>
      </c>
      <c r="J554" s="73" t="str">
        <f t="shared" si="232"/>
        <v>--</v>
      </c>
      <c r="K554" s="32"/>
      <c r="L554" s="232"/>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601-608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77"/>
      <c r="N561" s="277"/>
      <c r="O561" s="277"/>
      <c r="P561" s="277"/>
      <c r="Q561" s="277"/>
      <c r="R561" s="277"/>
      <c r="S561" s="277"/>
      <c r="T561" s="277"/>
      <c r="U561" s="278"/>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77"/>
      <c r="N562" s="277"/>
      <c r="O562" s="277"/>
      <c r="P562" s="277"/>
      <c r="Q562" s="277"/>
      <c r="R562" s="277"/>
      <c r="S562" s="277"/>
      <c r="T562" s="277"/>
      <c r="U562" s="278"/>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77"/>
      <c r="N563" s="277"/>
      <c r="O563" s="277"/>
      <c r="P563" s="277"/>
      <c r="Q563" s="277"/>
      <c r="R563" s="277"/>
      <c r="S563" s="277"/>
      <c r="T563" s="277"/>
      <c r="U563" s="278"/>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77"/>
      <c r="N564" s="277"/>
      <c r="O564" s="277"/>
      <c r="P564" s="277"/>
      <c r="Q564" s="277"/>
      <c r="R564" s="277"/>
      <c r="S564" s="277"/>
      <c r="T564" s="277"/>
      <c r="U564" s="278"/>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77"/>
      <c r="N565" s="277"/>
      <c r="O565" s="277"/>
      <c r="P565" s="277"/>
      <c r="Q565" s="277"/>
      <c r="R565" s="277"/>
      <c r="S565" s="277"/>
      <c r="T565" s="277"/>
      <c r="U565" s="278"/>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77"/>
      <c r="N566" s="277"/>
      <c r="O566" s="277"/>
      <c r="P566" s="277"/>
      <c r="Q566" s="277"/>
      <c r="R566" s="277"/>
      <c r="S566" s="277"/>
      <c r="T566" s="277"/>
      <c r="U566" s="278"/>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77"/>
      <c r="N567" s="277"/>
      <c r="O567" s="277"/>
      <c r="P567" s="277"/>
      <c r="Q567" s="277"/>
      <c r="R567" s="277"/>
      <c r="S567" s="277"/>
      <c r="T567" s="277"/>
      <c r="U567" s="278"/>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77"/>
      <c r="N568" s="277"/>
      <c r="O568" s="277"/>
      <c r="P568" s="277"/>
      <c r="Q568" s="277"/>
      <c r="R568" s="277"/>
      <c r="S568" s="277"/>
      <c r="T568" s="277"/>
      <c r="U568" s="278"/>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77"/>
      <c r="N569" s="277"/>
      <c r="O569" s="277"/>
      <c r="P569" s="277"/>
      <c r="Q569" s="277"/>
      <c r="R569" s="277"/>
      <c r="S569" s="277"/>
      <c r="T569" s="277"/>
      <c r="U569" s="278"/>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77"/>
      <c r="N570" s="277"/>
      <c r="O570" s="277"/>
      <c r="P570" s="277"/>
      <c r="Q570" s="277"/>
      <c r="R570" s="277"/>
      <c r="S570" s="277"/>
      <c r="T570" s="277"/>
      <c r="U570" s="278"/>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77"/>
      <c r="N571" s="277"/>
      <c r="O571" s="277"/>
      <c r="P571" s="277"/>
      <c r="Q571" s="277"/>
      <c r="R571" s="277"/>
      <c r="S571" s="277"/>
      <c r="T571" s="277"/>
      <c r="U571" s="278"/>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77"/>
      <c r="N572" s="277"/>
      <c r="O572" s="277"/>
      <c r="P572" s="277"/>
      <c r="Q572" s="277"/>
      <c r="R572" s="277"/>
      <c r="S572" s="277"/>
      <c r="T572" s="277"/>
      <c r="U572" s="278"/>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77"/>
      <c r="N573" s="277"/>
      <c r="O573" s="277"/>
      <c r="P573" s="277"/>
      <c r="Q573" s="277"/>
      <c r="R573" s="277"/>
      <c r="S573" s="277"/>
      <c r="T573" s="277"/>
      <c r="U573" s="278"/>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77"/>
      <c r="N574" s="277"/>
      <c r="O574" s="277"/>
      <c r="P574" s="277"/>
      <c r="Q574" s="277"/>
      <c r="R574" s="277"/>
      <c r="S574" s="277"/>
      <c r="T574" s="277"/>
      <c r="U574" s="278"/>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318" t="s">
        <v>331</v>
      </c>
      <c r="C575" s="319"/>
      <c r="D575" s="79"/>
      <c r="E575" s="80"/>
      <c r="F575" s="80"/>
      <c r="G575" s="81"/>
      <c r="H575" s="191"/>
      <c r="I575" s="191"/>
      <c r="J575" s="191"/>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20</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311" t="s">
        <v>222</v>
      </c>
      <c r="C580" s="312"/>
      <c r="D580" s="313" t="s">
        <v>223</v>
      </c>
      <c r="E580" s="304"/>
      <c r="F580" s="88"/>
      <c r="G580" s="314" t="s">
        <v>224</v>
      </c>
      <c r="H580" s="315"/>
      <c r="I580" s="28">
        <f>SUM(E591:E615)</f>
        <v>36</v>
      </c>
      <c r="J580" s="316" t="s">
        <v>225</v>
      </c>
      <c r="K580" s="317"/>
      <c r="L580" s="304"/>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t="str">
        <f>IF(OR($AS581="Y",$AS582="Y",$AS583="Y"),"",COUNTIFS($E581,"SS",$E586,"Y"))</f>
        <v/>
      </c>
      <c r="AV580" s="111" t="str">
        <f>IF(OR($AS581="Y",$AS582="Y",$AS583="Y"),"",COUNTIFS($E581,"RPX",$E586,"Y"))</f>
        <v/>
      </c>
      <c r="AW580" s="111" t="str">
        <f>IF(OR($AS581="Y",$AS582="Y",$AS583="Y"),"",COUNTIFS($E581,"EUC",$E586,"Y"))</f>
        <v/>
      </c>
      <c r="AX580" s="109" t="str">
        <f>IF(OR($AS581="Y",$AS582="Y",$AS583="Y"),"",COUNTIFS($E581,"RPX-T",$E586,"Y"))</f>
        <v/>
      </c>
      <c r="BA580" s="225"/>
    </row>
    <row r="581" spans="1:53" ht="16.5" customHeight="1" thickTop="1" thickBot="1" x14ac:dyDescent="0.3">
      <c r="A581" s="88"/>
      <c r="B581" s="29" t="s">
        <v>228</v>
      </c>
      <c r="C581" s="30">
        <v>0</v>
      </c>
      <c r="D581" s="31" t="s">
        <v>229</v>
      </c>
      <c r="E581" s="66" t="str">
        <f>TEXT(IF('Cable Calculator'!BV7="","",'Cable Calculator'!BV7),)</f>
        <v>EUC</v>
      </c>
      <c r="F581" s="88"/>
      <c r="G581" s="303" t="s">
        <v>230</v>
      </c>
      <c r="H581" s="304"/>
      <c r="I581" s="33">
        <f>E582-I580</f>
        <v>12</v>
      </c>
      <c r="J581" s="288" t="s">
        <v>231</v>
      </c>
      <c r="K581" s="289"/>
      <c r="L581" s="34">
        <f>I585</f>
        <v>709</v>
      </c>
      <c r="M581" s="195">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48</v>
      </c>
      <c r="F582" s="88"/>
      <c r="G582" s="290" t="s">
        <v>237</v>
      </c>
      <c r="H582" s="291"/>
      <c r="I582" s="35">
        <f>IF(E582=0,0,12-(MOD(I580,12)))</f>
        <v>12</v>
      </c>
      <c r="J582" s="288" t="s">
        <v>238</v>
      </c>
      <c r="K582" s="289"/>
      <c r="L582" s="39">
        <f>I586-I580</f>
        <v>708</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Y</v>
      </c>
      <c r="AT582" s="110" t="s">
        <v>239</v>
      </c>
      <c r="AU582" s="109">
        <f>COUNTIFS($E581,"SS",$AS582,"Y")</f>
        <v>0</v>
      </c>
      <c r="AV582" s="108">
        <f>COUNTIFS($E581,"RPX",$AS582,"Y")</f>
        <v>0</v>
      </c>
      <c r="AW582" s="108">
        <f>COUNTIFS($E581,"EUC",$AS582,"Y")</f>
        <v>1</v>
      </c>
      <c r="AX582" s="109">
        <f>COUNTIFS($E581,"RPX-T",$AS582,"Y")</f>
        <v>0</v>
      </c>
      <c r="BA582" s="226"/>
    </row>
    <row r="583" spans="1:53" ht="16.5" customHeight="1" thickTop="1" thickBot="1" x14ac:dyDescent="0.3">
      <c r="A583" s="88"/>
      <c r="B583" s="40" t="s">
        <v>240</v>
      </c>
      <c r="C583" s="30">
        <v>0</v>
      </c>
      <c r="D583" s="41" t="s">
        <v>241</v>
      </c>
      <c r="E583" s="42">
        <v>12</v>
      </c>
      <c r="F583" s="88"/>
      <c r="G583" s="320" t="s">
        <v>242</v>
      </c>
      <c r="H583" s="43" t="s">
        <v>243</v>
      </c>
      <c r="I583" s="35">
        <f>IF(E583&lt;&gt;0,1,0)</f>
        <v>1</v>
      </c>
      <c r="J583" s="290" t="s">
        <v>244</v>
      </c>
      <c r="K583" s="291"/>
      <c r="L583" s="44">
        <f>'Cable Calculator'!BV3</f>
        <v>1730</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709</v>
      </c>
      <c r="F584" s="88"/>
      <c r="G584" s="321"/>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4</v>
      </c>
      <c r="F585" s="88"/>
      <c r="G585" s="320" t="s">
        <v>251</v>
      </c>
      <c r="H585" s="51" t="s">
        <v>252</v>
      </c>
      <c r="I585" s="112">
        <f>E584</f>
        <v>709</v>
      </c>
      <c r="J585" s="322" t="s">
        <v>253</v>
      </c>
      <c r="K585" s="323"/>
      <c r="L585" s="324"/>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Y</v>
      </c>
      <c r="F586" s="88"/>
      <c r="G586" s="321"/>
      <c r="H586" s="47" t="s">
        <v>257</v>
      </c>
      <c r="I586" s="35">
        <f>IF(E584="","0",IF(AND(E581="EUC",E582=432), I585+(203-E583),IF(E584=0,0,(E584+(E582-E583)-1))))</f>
        <v>744</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36</v>
      </c>
      <c r="D587" s="31" t="s">
        <v>259</v>
      </c>
      <c r="E587" s="101" t="str">
        <f>IF(AS581="Y","DBL",IF(AS582="Y","TRPL",IF(AS583="Y","QUAD","")))</f>
        <v>TRPL</v>
      </c>
      <c r="F587" s="88"/>
      <c r="G587" s="191"/>
      <c r="H587" s="57"/>
      <c r="I587" s="191"/>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5"/>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7"/>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807</v>
      </c>
      <c r="E591" s="32">
        <v>4</v>
      </c>
      <c r="F591" s="32" t="s">
        <v>488</v>
      </c>
      <c r="G591" s="68" t="s">
        <v>277</v>
      </c>
      <c r="H591" s="69">
        <f>IF(I591=0,0,I591-(E591-1))</f>
        <v>741</v>
      </c>
      <c r="I591" s="70">
        <f>IF(E591=0,0,I586)</f>
        <v>744</v>
      </c>
      <c r="J591" s="71" t="s">
        <v>278</v>
      </c>
      <c r="K591" s="32"/>
      <c r="L591" s="232"/>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741-744</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811</v>
      </c>
      <c r="E592" s="32">
        <v>4</v>
      </c>
      <c r="F592" s="32" t="s">
        <v>488</v>
      </c>
      <c r="G592" s="68" t="s">
        <v>277</v>
      </c>
      <c r="H592" s="69">
        <f t="shared" ref="H592:H615" si="247">IF(E592=0,0,I592-(E592-1))</f>
        <v>737</v>
      </c>
      <c r="I592" s="70">
        <f t="shared" ref="I592:I615" si="248">IF(E592=0,0,H591-1)</f>
        <v>740</v>
      </c>
      <c r="J592" s="73" t="str">
        <f>IF(C592="","--",IF(AND(C592&lt;&gt;"FST",C592&lt;&gt;"TCF",BA591&lt;&gt;0),BA591,"--"))</f>
        <v>--</v>
      </c>
      <c r="K592" s="32"/>
      <c r="L592" s="232"/>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737-740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8</v>
      </c>
    </row>
    <row r="593" spans="1:53" ht="15.75" thickBot="1" x14ac:dyDescent="0.3">
      <c r="A593" s="88"/>
      <c r="B593" s="74" t="s">
        <v>280</v>
      </c>
      <c r="C593" s="67" t="s">
        <v>484</v>
      </c>
      <c r="D593" s="102" t="s">
        <v>812</v>
      </c>
      <c r="E593" s="32">
        <v>4</v>
      </c>
      <c r="F593" s="32" t="s">
        <v>488</v>
      </c>
      <c r="G593" s="75" t="s">
        <v>277</v>
      </c>
      <c r="H593" s="69">
        <f t="shared" si="247"/>
        <v>733</v>
      </c>
      <c r="I593" s="70">
        <f t="shared" si="248"/>
        <v>736</v>
      </c>
      <c r="J593" s="73" t="str">
        <f t="shared" ref="J593:J615" si="249">IF(C593="","--",IF(AND(C593&lt;&gt;"FST",C593&lt;&gt;"TCF",BA592&lt;&gt;0),BA592,"--"))</f>
        <v>--</v>
      </c>
      <c r="K593" s="32"/>
      <c r="L593" s="232"/>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733-736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4</v>
      </c>
    </row>
    <row r="594" spans="1:53" ht="15.75" thickBot="1" x14ac:dyDescent="0.3">
      <c r="A594" s="88"/>
      <c r="B594" s="66" t="s">
        <v>281</v>
      </c>
      <c r="C594" s="67" t="s">
        <v>484</v>
      </c>
      <c r="D594" s="102" t="s">
        <v>813</v>
      </c>
      <c r="E594" s="32">
        <v>4</v>
      </c>
      <c r="F594" s="32" t="s">
        <v>488</v>
      </c>
      <c r="G594" s="68" t="s">
        <v>277</v>
      </c>
      <c r="H594" s="69">
        <f t="shared" si="247"/>
        <v>729</v>
      </c>
      <c r="I594" s="70">
        <f t="shared" si="248"/>
        <v>732</v>
      </c>
      <c r="J594" s="73" t="str">
        <f t="shared" si="249"/>
        <v>--</v>
      </c>
      <c r="K594" s="32"/>
      <c r="L594" s="232"/>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0</v>
      </c>
      <c r="AE594" s="109" t="str">
        <f t="shared" si="240"/>
        <v>729-732</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8</v>
      </c>
    </row>
    <row r="595" spans="1:53" ht="15.75" thickBot="1" x14ac:dyDescent="0.3">
      <c r="A595" s="88"/>
      <c r="B595" s="66" t="s">
        <v>282</v>
      </c>
      <c r="C595" s="67" t="s">
        <v>484</v>
      </c>
      <c r="D595" s="102" t="s">
        <v>784</v>
      </c>
      <c r="E595" s="32">
        <v>4</v>
      </c>
      <c r="F595" s="32" t="s">
        <v>488</v>
      </c>
      <c r="G595" s="68" t="s">
        <v>277</v>
      </c>
      <c r="H595" s="69">
        <f t="shared" si="247"/>
        <v>725</v>
      </c>
      <c r="I595" s="70">
        <f t="shared" si="248"/>
        <v>728</v>
      </c>
      <c r="J595" s="73" t="str">
        <f t="shared" si="249"/>
        <v>--</v>
      </c>
      <c r="K595" s="32"/>
      <c r="L595" s="232"/>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725-728</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t="s">
        <v>484</v>
      </c>
      <c r="D596" s="102" t="s">
        <v>785</v>
      </c>
      <c r="E596" s="32">
        <v>4</v>
      </c>
      <c r="F596" s="32" t="s">
        <v>488</v>
      </c>
      <c r="G596" s="68" t="s">
        <v>277</v>
      </c>
      <c r="H596" s="69">
        <f t="shared" si="247"/>
        <v>721</v>
      </c>
      <c r="I596" s="70">
        <f t="shared" si="248"/>
        <v>724</v>
      </c>
      <c r="J596" s="73" t="str">
        <f t="shared" si="249"/>
        <v>--</v>
      </c>
      <c r="K596" s="32"/>
      <c r="L596" s="232"/>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0</v>
      </c>
      <c r="AE596" s="109" t="str">
        <f t="shared" si="240"/>
        <v>721-724</v>
      </c>
      <c r="AF596" s="109" t="str">
        <f t="shared" si="241"/>
        <v>Y</v>
      </c>
      <c r="AG596" s="109" t="str">
        <f t="shared" si="242"/>
        <v>B</v>
      </c>
      <c r="AM596" s="109">
        <f t="shared" si="243"/>
        <v>0</v>
      </c>
      <c r="AN596" s="109">
        <f t="shared" si="244"/>
        <v>0</v>
      </c>
      <c r="AO596" s="109" t="str">
        <f t="shared" si="245"/>
        <v/>
      </c>
      <c r="AQ596" s="109" t="str">
        <f t="shared" si="246"/>
        <v/>
      </c>
      <c r="BA596" s="228">
        <f>MOD(SUM(E591:E597),12)</f>
        <v>4</v>
      </c>
    </row>
    <row r="597" spans="1:53" ht="15.75" thickBot="1" x14ac:dyDescent="0.3">
      <c r="A597" s="88"/>
      <c r="B597" s="66" t="s">
        <v>284</v>
      </c>
      <c r="C597" s="67" t="s">
        <v>484</v>
      </c>
      <c r="D597" s="102" t="s">
        <v>786</v>
      </c>
      <c r="E597" s="32">
        <v>4</v>
      </c>
      <c r="F597" s="32" t="s">
        <v>488</v>
      </c>
      <c r="G597" s="68" t="s">
        <v>277</v>
      </c>
      <c r="H597" s="69">
        <f t="shared" si="247"/>
        <v>717</v>
      </c>
      <c r="I597" s="70">
        <f t="shared" si="248"/>
        <v>720</v>
      </c>
      <c r="J597" s="73" t="str">
        <f t="shared" si="249"/>
        <v>--</v>
      </c>
      <c r="K597" s="32"/>
      <c r="L597" s="232"/>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0</v>
      </c>
      <c r="AE597" s="109" t="str">
        <f t="shared" si="240"/>
        <v>717-720</v>
      </c>
      <c r="AF597" s="109" t="str">
        <f t="shared" si="241"/>
        <v>Y</v>
      </c>
      <c r="AG597" s="109" t="str">
        <f t="shared" si="242"/>
        <v>B</v>
      </c>
      <c r="AM597" s="109">
        <f t="shared" si="243"/>
        <v>0</v>
      </c>
      <c r="AN597" s="109">
        <f t="shared" si="244"/>
        <v>0</v>
      </c>
      <c r="AO597" s="109" t="str">
        <f t="shared" si="245"/>
        <v/>
      </c>
      <c r="AQ597" s="109" t="str">
        <f t="shared" si="246"/>
        <v/>
      </c>
      <c r="BA597" s="228">
        <f>MOD(SUM(E591:E598),12)</f>
        <v>8</v>
      </c>
    </row>
    <row r="598" spans="1:53" ht="15.75" thickBot="1" x14ac:dyDescent="0.3">
      <c r="A598" s="88"/>
      <c r="B598" s="66" t="s">
        <v>285</v>
      </c>
      <c r="C598" s="67" t="s">
        <v>484</v>
      </c>
      <c r="D598" s="102" t="s">
        <v>787</v>
      </c>
      <c r="E598" s="32">
        <v>4</v>
      </c>
      <c r="F598" s="32" t="s">
        <v>488</v>
      </c>
      <c r="G598" s="68" t="s">
        <v>277</v>
      </c>
      <c r="H598" s="69">
        <f t="shared" si="247"/>
        <v>713</v>
      </c>
      <c r="I598" s="70">
        <f t="shared" si="248"/>
        <v>716</v>
      </c>
      <c r="J598" s="73" t="str">
        <f t="shared" si="249"/>
        <v>--</v>
      </c>
      <c r="K598" s="32"/>
      <c r="L598" s="232"/>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0</v>
      </c>
      <c r="AE598" s="109" t="str">
        <f t="shared" si="240"/>
        <v>713-716</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t="s">
        <v>484</v>
      </c>
      <c r="D599" s="102" t="s">
        <v>788</v>
      </c>
      <c r="E599" s="32">
        <v>4</v>
      </c>
      <c r="F599" s="32" t="s">
        <v>488</v>
      </c>
      <c r="G599" s="68" t="s">
        <v>277</v>
      </c>
      <c r="H599" s="69">
        <f t="shared" si="247"/>
        <v>709</v>
      </c>
      <c r="I599" s="70">
        <f t="shared" si="248"/>
        <v>712</v>
      </c>
      <c r="J599" s="73" t="str">
        <f t="shared" si="249"/>
        <v>--</v>
      </c>
      <c r="K599" s="32"/>
      <c r="L599" s="232"/>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0</v>
      </c>
      <c r="AE599" s="109" t="str">
        <f t="shared" si="240"/>
        <v>709-712</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77"/>
      <c r="N602" s="277"/>
      <c r="O602" s="277"/>
      <c r="P602" s="277"/>
      <c r="Q602" s="277"/>
      <c r="R602" s="277"/>
      <c r="S602" s="277"/>
      <c r="T602" s="277"/>
      <c r="U602" s="278"/>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77"/>
      <c r="N603" s="277"/>
      <c r="O603" s="277"/>
      <c r="P603" s="277"/>
      <c r="Q603" s="277"/>
      <c r="R603" s="277"/>
      <c r="S603" s="277"/>
      <c r="T603" s="277"/>
      <c r="U603" s="278"/>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77"/>
      <c r="N604" s="277"/>
      <c r="O604" s="277"/>
      <c r="P604" s="277"/>
      <c r="Q604" s="277"/>
      <c r="R604" s="277"/>
      <c r="S604" s="277"/>
      <c r="T604" s="277"/>
      <c r="U604" s="278"/>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77"/>
      <c r="N605" s="277"/>
      <c r="O605" s="277"/>
      <c r="P605" s="277"/>
      <c r="Q605" s="277"/>
      <c r="R605" s="277"/>
      <c r="S605" s="277"/>
      <c r="T605" s="277"/>
      <c r="U605" s="278"/>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77"/>
      <c r="N606" s="277"/>
      <c r="O606" s="277"/>
      <c r="P606" s="277"/>
      <c r="Q606" s="277"/>
      <c r="R606" s="277"/>
      <c r="S606" s="277"/>
      <c r="T606" s="277"/>
      <c r="U606" s="278"/>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77"/>
      <c r="N607" s="277"/>
      <c r="O607" s="277"/>
      <c r="P607" s="277"/>
      <c r="Q607" s="277"/>
      <c r="R607" s="277"/>
      <c r="S607" s="277"/>
      <c r="T607" s="277"/>
      <c r="U607" s="278"/>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77"/>
      <c r="N608" s="277"/>
      <c r="O608" s="277"/>
      <c r="P608" s="277"/>
      <c r="Q608" s="277"/>
      <c r="R608" s="277"/>
      <c r="S608" s="277"/>
      <c r="T608" s="277"/>
      <c r="U608" s="278"/>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77"/>
      <c r="N609" s="277"/>
      <c r="O609" s="277"/>
      <c r="P609" s="277"/>
      <c r="Q609" s="277"/>
      <c r="R609" s="277"/>
      <c r="S609" s="277"/>
      <c r="T609" s="277"/>
      <c r="U609" s="278"/>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77"/>
      <c r="N610" s="277"/>
      <c r="O610" s="277"/>
      <c r="P610" s="277"/>
      <c r="Q610" s="277"/>
      <c r="R610" s="277"/>
      <c r="S610" s="277"/>
      <c r="T610" s="277"/>
      <c r="U610" s="278"/>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77"/>
      <c r="N611" s="277"/>
      <c r="O611" s="277"/>
      <c r="P611" s="277"/>
      <c r="Q611" s="277"/>
      <c r="R611" s="277"/>
      <c r="S611" s="277"/>
      <c r="T611" s="277"/>
      <c r="U611" s="278"/>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77"/>
      <c r="N612" s="277"/>
      <c r="O612" s="277"/>
      <c r="P612" s="277"/>
      <c r="Q612" s="277"/>
      <c r="R612" s="277"/>
      <c r="S612" s="277"/>
      <c r="T612" s="277"/>
      <c r="U612" s="278"/>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77"/>
      <c r="N613" s="277"/>
      <c r="O613" s="277"/>
      <c r="P613" s="277"/>
      <c r="Q613" s="277"/>
      <c r="R613" s="277"/>
      <c r="S613" s="277"/>
      <c r="T613" s="277"/>
      <c r="U613" s="278"/>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77"/>
      <c r="N614" s="277"/>
      <c r="O614" s="277"/>
      <c r="P614" s="277"/>
      <c r="Q614" s="277"/>
      <c r="R614" s="277"/>
      <c r="S614" s="277"/>
      <c r="T614" s="277"/>
      <c r="U614" s="278"/>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77"/>
      <c r="N615" s="277"/>
      <c r="O615" s="277"/>
      <c r="P615" s="277"/>
      <c r="Q615" s="277"/>
      <c r="R615" s="277"/>
      <c r="S615" s="277"/>
      <c r="T615" s="277"/>
      <c r="U615" s="278"/>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318" t="s">
        <v>333</v>
      </c>
      <c r="C616" s="319"/>
      <c r="D616" s="79"/>
      <c r="E616" s="80"/>
      <c r="F616" s="80"/>
      <c r="G616" s="81"/>
      <c r="H616" s="191"/>
      <c r="I616" s="191"/>
      <c r="J616" s="191"/>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311" t="s">
        <v>222</v>
      </c>
      <c r="C621" s="312"/>
      <c r="D621" s="313" t="s">
        <v>223</v>
      </c>
      <c r="E621" s="304"/>
      <c r="F621" s="88"/>
      <c r="G621" s="314" t="s">
        <v>224</v>
      </c>
      <c r="H621" s="315"/>
      <c r="I621" s="28">
        <f>SUM(E632:E656)</f>
        <v>60</v>
      </c>
      <c r="J621" s="316" t="s">
        <v>225</v>
      </c>
      <c r="K621" s="317"/>
      <c r="L621" s="304"/>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3" t="s">
        <v>230</v>
      </c>
      <c r="H622" s="304"/>
      <c r="I622" s="33">
        <f>E623-I621</f>
        <v>12</v>
      </c>
      <c r="J622" s="288" t="s">
        <v>231</v>
      </c>
      <c r="K622" s="289"/>
      <c r="L622" s="34">
        <f>I626</f>
        <v>577</v>
      </c>
      <c r="M622" s="195">
        <v>4</v>
      </c>
      <c r="N622" s="35">
        <f>SUM(AI622,AI633)</f>
        <v>0</v>
      </c>
      <c r="O622" s="35">
        <v>0</v>
      </c>
      <c r="P622" s="35">
        <f>SUM(AJ622,AJ633)</f>
        <v>0</v>
      </c>
      <c r="Q622" s="35">
        <v>0</v>
      </c>
      <c r="R622" s="35">
        <f>COUNTIFS($E632:$E656,"4",$F632:$F656,"Pole",$C632:$C656,"FST")</f>
        <v>0</v>
      </c>
      <c r="S622" s="35">
        <f>SUM(AL622,AK633)</f>
        <v>0</v>
      </c>
      <c r="T622" s="35">
        <v>0</v>
      </c>
      <c r="U622" s="35">
        <f>SUM(AK622,AL633)</f>
        <v>7</v>
      </c>
      <c r="V622" s="35">
        <v>0</v>
      </c>
      <c r="W622" s="34">
        <f>COUNTIFS($E632:$E656,"4",$F632:$F656,"HH",$C632:$C656,"FST")</f>
        <v>7</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f>IF($E622="EUC",COUNTIFS($C632:$C656,"FST",$E632:$E656,"4"),"0")</f>
        <v>7</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72</v>
      </c>
      <c r="F623" s="88"/>
      <c r="G623" s="290" t="s">
        <v>237</v>
      </c>
      <c r="H623" s="291"/>
      <c r="I623" s="35">
        <f>IF(E623=0,0,12-(MOD(I621,12)))</f>
        <v>12</v>
      </c>
      <c r="J623" s="288" t="s">
        <v>238</v>
      </c>
      <c r="K623" s="289"/>
      <c r="L623" s="39">
        <f>I627-I621</f>
        <v>576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12</v>
      </c>
      <c r="F624" s="88"/>
      <c r="G624" s="320" t="s">
        <v>242</v>
      </c>
      <c r="H624" s="43" t="s">
        <v>243</v>
      </c>
      <c r="I624" s="35">
        <f>IF(E624&lt;&gt;0,1,0)</f>
        <v>1</v>
      </c>
      <c r="J624" s="290" t="s">
        <v>244</v>
      </c>
      <c r="K624" s="291"/>
      <c r="L624" s="44">
        <f>'Cable Calculator'!CA3</f>
        <v>1426</v>
      </c>
      <c r="M624" s="195">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577</v>
      </c>
      <c r="F625" s="88"/>
      <c r="G625" s="321"/>
      <c r="H625" s="47" t="s">
        <v>248</v>
      </c>
      <c r="I625" s="35">
        <f>IF(E624&lt;&gt;0,E624,0)</f>
        <v>12</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1</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6</v>
      </c>
      <c r="F626" s="88"/>
      <c r="G626" s="320" t="s">
        <v>251</v>
      </c>
      <c r="H626" s="51" t="s">
        <v>252</v>
      </c>
      <c r="I626" s="112">
        <f>E625</f>
        <v>577</v>
      </c>
      <c r="J626" s="322" t="s">
        <v>253</v>
      </c>
      <c r="K626" s="323"/>
      <c r="L626" s="324"/>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636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60</v>
      </c>
      <c r="D628" s="31" t="s">
        <v>259</v>
      </c>
      <c r="E628" s="101" t="str">
        <f>IF(AS622="Y","DBL",IF(AS623="Y","TRPL",IF(AS624="Y","QUAD","")))</f>
        <v/>
      </c>
      <c r="F628" s="88"/>
      <c r="G628" s="191"/>
      <c r="H628" s="57"/>
      <c r="I628" s="191"/>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5"/>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7"/>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827</v>
      </c>
      <c r="E632" s="32">
        <v>4</v>
      </c>
      <c r="F632" s="32" t="s">
        <v>488</v>
      </c>
      <c r="G632" s="68" t="s">
        <v>277</v>
      </c>
      <c r="H632" s="69">
        <f>IF(I632=0,0,I632-(E632-1))</f>
        <v>633</v>
      </c>
      <c r="I632" s="70">
        <f>IF(E632=0,0,I627)</f>
        <v>636</v>
      </c>
      <c r="J632" s="71" t="s">
        <v>278</v>
      </c>
      <c r="K632" s="32"/>
      <c r="L632" s="232"/>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633-636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765</v>
      </c>
      <c r="E633" s="32">
        <v>4</v>
      </c>
      <c r="F633" s="32" t="s">
        <v>488</v>
      </c>
      <c r="G633" s="68" t="s">
        <v>277</v>
      </c>
      <c r="H633" s="69">
        <f t="shared" ref="H633:H656" si="264">IF(E633=0,0,I633-(E633-1))</f>
        <v>629</v>
      </c>
      <c r="I633" s="70">
        <f t="shared" ref="I633:I656" si="265">IF(E633=0,0,H632-1)</f>
        <v>632</v>
      </c>
      <c r="J633" s="73" t="str">
        <f>IF(C633="","--",IF(AND(C633&lt;&gt;"FST",C633&lt;&gt;"TCF",BA632&lt;&gt;0),BA632,"--"))</f>
        <v>--</v>
      </c>
      <c r="K633" s="32"/>
      <c r="L633" s="232"/>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629-632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766</v>
      </c>
      <c r="E634" s="32">
        <v>4</v>
      </c>
      <c r="F634" s="32" t="s">
        <v>488</v>
      </c>
      <c r="G634" s="75" t="s">
        <v>277</v>
      </c>
      <c r="H634" s="69">
        <f t="shared" si="264"/>
        <v>625</v>
      </c>
      <c r="I634" s="70">
        <f t="shared" si="265"/>
        <v>628</v>
      </c>
      <c r="J634" s="73" t="str">
        <f t="shared" ref="J634:J656" si="266">IF(C634="","--",IF(AND(C634&lt;&gt;"FST",C634&lt;&gt;"TCF",BA633&lt;&gt;0),BA633,"--"))</f>
        <v>--</v>
      </c>
      <c r="K634" s="32"/>
      <c r="L634" s="232"/>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625-628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499</v>
      </c>
      <c r="D635" s="102"/>
      <c r="E635" s="32">
        <v>12</v>
      </c>
      <c r="F635" s="32"/>
      <c r="G635" s="68" t="s">
        <v>277</v>
      </c>
      <c r="H635" s="69">
        <f t="shared" si="264"/>
        <v>613</v>
      </c>
      <c r="I635" s="70">
        <f t="shared" si="265"/>
        <v>624</v>
      </c>
      <c r="J635" s="73" t="str">
        <f t="shared" si="266"/>
        <v>--</v>
      </c>
      <c r="K635" s="32"/>
      <c r="L635" s="232"/>
      <c r="M635" s="277" t="s">
        <v>416</v>
      </c>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613-624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0.5</v>
      </c>
      <c r="AN635" s="109">
        <f t="shared" si="261"/>
        <v>0.5</v>
      </c>
      <c r="AO635" s="109" t="str">
        <f t="shared" si="262"/>
        <v/>
      </c>
      <c r="AQ635" s="109" t="str">
        <f t="shared" si="263"/>
        <v/>
      </c>
      <c r="BA635" s="228">
        <f>MOD(SUM(E632:E636),12)</f>
        <v>0</v>
      </c>
    </row>
    <row r="636" spans="1:53" ht="15.75" thickBot="1" x14ac:dyDescent="0.3">
      <c r="A636" s="88"/>
      <c r="B636" s="66" t="s">
        <v>282</v>
      </c>
      <c r="C636" s="67" t="s">
        <v>499</v>
      </c>
      <c r="D636" s="102"/>
      <c r="E636" s="32">
        <v>12</v>
      </c>
      <c r="F636" s="32"/>
      <c r="G636" s="68" t="s">
        <v>277</v>
      </c>
      <c r="H636" s="69">
        <f t="shared" si="264"/>
        <v>601</v>
      </c>
      <c r="I636" s="70">
        <f t="shared" si="265"/>
        <v>612</v>
      </c>
      <c r="J636" s="73" t="str">
        <f t="shared" si="266"/>
        <v>--</v>
      </c>
      <c r="K636" s="32"/>
      <c r="L636" s="232"/>
      <c r="M636" s="277" t="s">
        <v>416</v>
      </c>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601-612</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0.5</v>
      </c>
      <c r="AN636" s="109">
        <f t="shared" si="261"/>
        <v>0.5</v>
      </c>
      <c r="AO636" s="109" t="str">
        <f t="shared" si="262"/>
        <v/>
      </c>
      <c r="AQ636" s="109" t="str">
        <f t="shared" si="263"/>
        <v/>
      </c>
      <c r="BA636" s="228">
        <f>MOD(SUM(E632:E637),12)</f>
        <v>4</v>
      </c>
    </row>
    <row r="637" spans="1:53" ht="15.75" thickBot="1" x14ac:dyDescent="0.3">
      <c r="A637" s="88"/>
      <c r="B637" s="66" t="s">
        <v>283</v>
      </c>
      <c r="C637" s="67" t="s">
        <v>484</v>
      </c>
      <c r="D637" s="102" t="s">
        <v>767</v>
      </c>
      <c r="E637" s="32">
        <v>4</v>
      </c>
      <c r="F637" s="32" t="s">
        <v>488</v>
      </c>
      <c r="G637" s="68" t="s">
        <v>277</v>
      </c>
      <c r="H637" s="69">
        <f t="shared" si="264"/>
        <v>597</v>
      </c>
      <c r="I637" s="70">
        <f t="shared" si="265"/>
        <v>600</v>
      </c>
      <c r="J637" s="73" t="str">
        <f t="shared" si="266"/>
        <v>--</v>
      </c>
      <c r="K637" s="32"/>
      <c r="L637" s="232"/>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0</v>
      </c>
      <c r="AE637" s="109" t="str">
        <f t="shared" si="257"/>
        <v>597-600</v>
      </c>
      <c r="AF637" s="109" t="str">
        <f t="shared" si="258"/>
        <v>Y</v>
      </c>
      <c r="AG637" s="109" t="str">
        <f t="shared" si="259"/>
        <v>B</v>
      </c>
      <c r="AM637" s="109">
        <f t="shared" si="260"/>
        <v>0</v>
      </c>
      <c r="AN637" s="109">
        <f t="shared" si="261"/>
        <v>0</v>
      </c>
      <c r="AO637" s="109" t="str">
        <f t="shared" si="262"/>
        <v/>
      </c>
      <c r="AQ637" s="109" t="str">
        <f t="shared" si="263"/>
        <v/>
      </c>
      <c r="BA637" s="228">
        <f>MOD(SUM(E632:E638),12)</f>
        <v>8</v>
      </c>
    </row>
    <row r="638" spans="1:53" ht="15.75" thickBot="1" x14ac:dyDescent="0.3">
      <c r="A638" s="88"/>
      <c r="B638" s="66" t="s">
        <v>284</v>
      </c>
      <c r="C638" s="67" t="s">
        <v>484</v>
      </c>
      <c r="D638" s="102" t="s">
        <v>768</v>
      </c>
      <c r="E638" s="32">
        <v>4</v>
      </c>
      <c r="F638" s="32" t="s">
        <v>488</v>
      </c>
      <c r="G638" s="68" t="s">
        <v>277</v>
      </c>
      <c r="H638" s="69">
        <f t="shared" si="264"/>
        <v>593</v>
      </c>
      <c r="I638" s="70">
        <f t="shared" si="265"/>
        <v>596</v>
      </c>
      <c r="J638" s="73" t="str">
        <f t="shared" si="266"/>
        <v>--</v>
      </c>
      <c r="K638" s="32"/>
      <c r="L638" s="232"/>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0</v>
      </c>
      <c r="AE638" s="109" t="str">
        <f t="shared" si="257"/>
        <v>593-596</v>
      </c>
      <c r="AF638" s="109" t="str">
        <f t="shared" si="258"/>
        <v>Y</v>
      </c>
      <c r="AG638" s="109" t="str">
        <f t="shared" si="259"/>
        <v>B</v>
      </c>
      <c r="AM638" s="109">
        <f t="shared" si="260"/>
        <v>0</v>
      </c>
      <c r="AN638" s="109">
        <f t="shared" si="261"/>
        <v>0</v>
      </c>
      <c r="AO638" s="109" t="str">
        <f t="shared" si="262"/>
        <v/>
      </c>
      <c r="AQ638" s="109" t="str">
        <f t="shared" si="263"/>
        <v/>
      </c>
      <c r="BA638" s="228">
        <f>MOD(SUM(E632:E639),12)</f>
        <v>4</v>
      </c>
    </row>
    <row r="639" spans="1:53" ht="15.75" thickBot="1" x14ac:dyDescent="0.3">
      <c r="A639" s="88"/>
      <c r="B639" s="66" t="s">
        <v>285</v>
      </c>
      <c r="C639" s="67" t="s">
        <v>484</v>
      </c>
      <c r="D639" s="102" t="s">
        <v>829</v>
      </c>
      <c r="E639" s="32">
        <v>8</v>
      </c>
      <c r="F639" s="32" t="s">
        <v>488</v>
      </c>
      <c r="G639" s="68" t="s">
        <v>277</v>
      </c>
      <c r="H639" s="69">
        <f t="shared" si="264"/>
        <v>585</v>
      </c>
      <c r="I639" s="70">
        <f t="shared" si="265"/>
        <v>592</v>
      </c>
      <c r="J639" s="73" t="str">
        <f t="shared" si="266"/>
        <v>--</v>
      </c>
      <c r="K639" s="32"/>
      <c r="L639" s="232"/>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0</v>
      </c>
      <c r="AE639" s="109" t="str">
        <f t="shared" si="257"/>
        <v>585-592</v>
      </c>
      <c r="AF639" s="109" t="str">
        <f t="shared" si="258"/>
        <v>Y</v>
      </c>
      <c r="AG639" s="109" t="str">
        <f t="shared" si="259"/>
        <v>B</v>
      </c>
      <c r="AM639" s="109">
        <f t="shared" si="260"/>
        <v>0</v>
      </c>
      <c r="AN639" s="109">
        <f t="shared" si="261"/>
        <v>0</v>
      </c>
      <c r="AO639" s="109" t="str">
        <f t="shared" si="262"/>
        <v/>
      </c>
      <c r="AQ639" s="109" t="str">
        <f t="shared" si="263"/>
        <v/>
      </c>
      <c r="BA639" s="228">
        <f>MOD(SUM(E632:E640),12)</f>
        <v>8</v>
      </c>
    </row>
    <row r="640" spans="1:53" ht="15.75" thickBot="1" x14ac:dyDescent="0.3">
      <c r="A640" s="88"/>
      <c r="B640" s="66" t="s">
        <v>286</v>
      </c>
      <c r="C640" s="67" t="s">
        <v>484</v>
      </c>
      <c r="D640" s="102" t="s">
        <v>769</v>
      </c>
      <c r="E640" s="32">
        <v>4</v>
      </c>
      <c r="F640" s="32" t="s">
        <v>488</v>
      </c>
      <c r="G640" s="68" t="s">
        <v>277</v>
      </c>
      <c r="H640" s="69">
        <f t="shared" si="264"/>
        <v>581</v>
      </c>
      <c r="I640" s="70">
        <f t="shared" si="265"/>
        <v>584</v>
      </c>
      <c r="J640" s="73" t="str">
        <f t="shared" si="266"/>
        <v>--</v>
      </c>
      <c r="K640" s="32"/>
      <c r="L640" s="232"/>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0</v>
      </c>
      <c r="AE640" s="109" t="str">
        <f t="shared" si="257"/>
        <v>581-584</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t="s">
        <v>484</v>
      </c>
      <c r="D641" s="102" t="s">
        <v>803</v>
      </c>
      <c r="E641" s="32">
        <v>4</v>
      </c>
      <c r="F641" s="32" t="s">
        <v>488</v>
      </c>
      <c r="G641" s="68" t="s">
        <v>277</v>
      </c>
      <c r="H641" s="69">
        <f t="shared" si="264"/>
        <v>577</v>
      </c>
      <c r="I641" s="70">
        <f t="shared" si="265"/>
        <v>580</v>
      </c>
      <c r="J641" s="73" t="str">
        <f t="shared" si="266"/>
        <v>--</v>
      </c>
      <c r="K641" s="32"/>
      <c r="L641" s="232"/>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0</v>
      </c>
      <c r="AE641" s="109" t="str">
        <f t="shared" si="257"/>
        <v>577-580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77"/>
      <c r="N643" s="277"/>
      <c r="O643" s="277"/>
      <c r="P643" s="277"/>
      <c r="Q643" s="277"/>
      <c r="R643" s="277"/>
      <c r="S643" s="277"/>
      <c r="T643" s="277"/>
      <c r="U643" s="278"/>
      <c r="V643" s="103"/>
      <c r="W643" s="84">
        <f>Y643+1</f>
        <v>61</v>
      </c>
      <c r="X643" s="84"/>
      <c r="Y643" s="78">
        <f>SUM(E632:E643)</f>
        <v>60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77"/>
      <c r="N644" s="277"/>
      <c r="O644" s="277"/>
      <c r="P644" s="277"/>
      <c r="Q644" s="277"/>
      <c r="R644" s="277"/>
      <c r="S644" s="277"/>
      <c r="T644" s="277"/>
      <c r="U644" s="278"/>
      <c r="V644" s="103"/>
      <c r="W644" s="84">
        <f>Y644+1</f>
        <v>61</v>
      </c>
      <c r="X644" s="84"/>
      <c r="Y644" s="78">
        <f>SUM(E632:E644)</f>
        <v>60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77"/>
      <c r="N645" s="277"/>
      <c r="O645" s="277"/>
      <c r="P645" s="277"/>
      <c r="Q645" s="277"/>
      <c r="R645" s="277"/>
      <c r="S645" s="277"/>
      <c r="T645" s="277"/>
      <c r="U645" s="278"/>
      <c r="V645" s="103"/>
      <c r="W645" s="84">
        <f>Y645+1</f>
        <v>61</v>
      </c>
      <c r="X645" s="84"/>
      <c r="Y645" s="78">
        <f>SUM(E632:E645)</f>
        <v>60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77"/>
      <c r="N646" s="277"/>
      <c r="O646" s="277"/>
      <c r="P646" s="277"/>
      <c r="Q646" s="277"/>
      <c r="R646" s="277"/>
      <c r="S646" s="277"/>
      <c r="T646" s="277"/>
      <c r="U646" s="278"/>
      <c r="V646" s="103"/>
      <c r="W646" s="84">
        <f>Y646+1</f>
        <v>61</v>
      </c>
      <c r="X646" s="84"/>
      <c r="Y646" s="78">
        <f>SUM(E632:E646)</f>
        <v>60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77"/>
      <c r="N647" s="277"/>
      <c r="O647" s="277"/>
      <c r="P647" s="277"/>
      <c r="Q647" s="277"/>
      <c r="R647" s="277"/>
      <c r="S647" s="277"/>
      <c r="T647" s="277"/>
      <c r="U647" s="278"/>
      <c r="V647" s="103"/>
      <c r="W647" s="84">
        <f t="shared" ref="W647:W655" si="271">Y647+1</f>
        <v>61</v>
      </c>
      <c r="X647" s="84"/>
      <c r="Y647" s="78">
        <f>SUM(E632:E647)</f>
        <v>60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77"/>
      <c r="N648" s="277"/>
      <c r="O648" s="277"/>
      <c r="P648" s="277"/>
      <c r="Q648" s="277"/>
      <c r="R648" s="277"/>
      <c r="S648" s="277"/>
      <c r="T648" s="277"/>
      <c r="U648" s="278"/>
      <c r="V648" s="103"/>
      <c r="W648" s="84">
        <f t="shared" si="271"/>
        <v>61</v>
      </c>
      <c r="X648" s="84"/>
      <c r="Y648" s="78">
        <f>SUM(E632:E648)</f>
        <v>60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77"/>
      <c r="N649" s="277"/>
      <c r="O649" s="277"/>
      <c r="P649" s="277"/>
      <c r="Q649" s="277"/>
      <c r="R649" s="277"/>
      <c r="S649" s="277"/>
      <c r="T649" s="277"/>
      <c r="U649" s="278"/>
      <c r="V649" s="103"/>
      <c r="W649" s="84">
        <f t="shared" si="271"/>
        <v>61</v>
      </c>
      <c r="X649" s="84"/>
      <c r="Y649" s="78">
        <f>SUM(E632:E649)</f>
        <v>60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77"/>
      <c r="N650" s="277"/>
      <c r="O650" s="277"/>
      <c r="P650" s="277"/>
      <c r="Q650" s="277"/>
      <c r="R650" s="277"/>
      <c r="S650" s="277"/>
      <c r="T650" s="277"/>
      <c r="U650" s="278"/>
      <c r="V650" s="103"/>
      <c r="W650" s="84">
        <f t="shared" si="271"/>
        <v>61</v>
      </c>
      <c r="X650" s="84"/>
      <c r="Y650" s="78">
        <f>SUM(E632:E650)</f>
        <v>60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77"/>
      <c r="N651" s="277"/>
      <c r="O651" s="277"/>
      <c r="P651" s="277"/>
      <c r="Q651" s="277"/>
      <c r="R651" s="277"/>
      <c r="S651" s="277"/>
      <c r="T651" s="277"/>
      <c r="U651" s="278"/>
      <c r="V651" s="103"/>
      <c r="W651" s="84">
        <f t="shared" si="271"/>
        <v>61</v>
      </c>
      <c r="X651" s="84"/>
      <c r="Y651" s="78">
        <f>SUM(E632:E651)</f>
        <v>60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77"/>
      <c r="N652" s="277"/>
      <c r="O652" s="277"/>
      <c r="P652" s="277"/>
      <c r="Q652" s="277"/>
      <c r="R652" s="277"/>
      <c r="S652" s="277"/>
      <c r="T652" s="277"/>
      <c r="U652" s="278"/>
      <c r="V652" s="103"/>
      <c r="W652" s="84">
        <f t="shared" si="271"/>
        <v>61</v>
      </c>
      <c r="X652" s="84"/>
      <c r="Y652" s="78">
        <f>SUM(E632:E652)</f>
        <v>60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77"/>
      <c r="N653" s="277"/>
      <c r="O653" s="277"/>
      <c r="P653" s="277"/>
      <c r="Q653" s="277"/>
      <c r="R653" s="277"/>
      <c r="S653" s="277"/>
      <c r="T653" s="277"/>
      <c r="U653" s="278"/>
      <c r="V653" s="103"/>
      <c r="W653" s="84">
        <f t="shared" si="271"/>
        <v>61</v>
      </c>
      <c r="X653" s="84"/>
      <c r="Y653" s="78">
        <f>SUM(E632:E653)</f>
        <v>60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77"/>
      <c r="N654" s="277"/>
      <c r="O654" s="277"/>
      <c r="P654" s="277"/>
      <c r="Q654" s="277"/>
      <c r="R654" s="277"/>
      <c r="S654" s="277"/>
      <c r="T654" s="277"/>
      <c r="U654" s="278"/>
      <c r="V654" s="103"/>
      <c r="W654" s="84">
        <f t="shared" si="271"/>
        <v>61</v>
      </c>
      <c r="X654" s="84"/>
      <c r="Y654" s="78">
        <f>SUM(E632:E654)</f>
        <v>60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77"/>
      <c r="N655" s="277"/>
      <c r="O655" s="277"/>
      <c r="P655" s="277"/>
      <c r="Q655" s="277"/>
      <c r="R655" s="277"/>
      <c r="S655" s="277"/>
      <c r="T655" s="277"/>
      <c r="U655" s="278"/>
      <c r="V655" s="103"/>
      <c r="W655" s="84">
        <f t="shared" si="271"/>
        <v>61</v>
      </c>
      <c r="X655" s="84"/>
      <c r="Y655" s="78">
        <f>SUM(E632:E655)</f>
        <v>60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77"/>
      <c r="N656" s="277"/>
      <c r="O656" s="277"/>
      <c r="P656" s="277"/>
      <c r="Q656" s="277"/>
      <c r="R656" s="277"/>
      <c r="S656" s="277"/>
      <c r="T656" s="277"/>
      <c r="U656" s="278"/>
      <c r="V656" s="103"/>
      <c r="W656" s="72"/>
      <c r="X656" s="72"/>
      <c r="Y656" s="78">
        <f>SUM(E632:E656)</f>
        <v>60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318" t="s">
        <v>335</v>
      </c>
      <c r="C657" s="319"/>
      <c r="D657" s="79"/>
      <c r="E657" s="80"/>
      <c r="F657" s="80"/>
      <c r="G657" s="81"/>
      <c r="H657" s="191"/>
      <c r="I657" s="191"/>
      <c r="J657" s="191"/>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17</v>
      </c>
      <c r="AM657" s="109">
        <f>SUM(AM632:AM656)</f>
        <v>1</v>
      </c>
      <c r="AN657" s="109">
        <f>SUM(AN632:AN656)</f>
        <v>1</v>
      </c>
      <c r="AO657" s="109">
        <f>((COUNTIF(AO632:AO656,"Y")/3)*2)</f>
        <v>0</v>
      </c>
      <c r="AP657" s="109">
        <f>(COUNTIF(AO632:AO656,"Y")/3)</f>
        <v>0</v>
      </c>
      <c r="AQ657" s="109">
        <f>(COUNTIF(AQ632:AQ656,"Y")/2)</f>
        <v>0</v>
      </c>
      <c r="AR657" s="109">
        <f>(COUNTIF(AQ632:AQ656,"Y")/2)</f>
        <v>0</v>
      </c>
      <c r="BA657" s="227"/>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c r="F666" s="88"/>
      <c r="G666" s="321"/>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5"/>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7"/>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318" t="s">
        <v>337</v>
      </c>
      <c r="C698" s="319"/>
      <c r="D698" s="79"/>
      <c r="E698" s="80"/>
      <c r="F698" s="80"/>
      <c r="G698" s="81"/>
      <c r="H698" s="191"/>
      <c r="I698" s="191"/>
      <c r="J698" s="191"/>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c r="F707" s="88"/>
      <c r="G707" s="321"/>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5"/>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7"/>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318" t="s">
        <v>339</v>
      </c>
      <c r="C739" s="319"/>
      <c r="D739" s="79"/>
      <c r="E739" s="80"/>
      <c r="F739" s="80"/>
      <c r="G739" s="81"/>
      <c r="H739" s="191"/>
      <c r="I739" s="191"/>
      <c r="J739" s="191"/>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c r="F748" s="88"/>
      <c r="G748" s="321"/>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5"/>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7"/>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318" t="s">
        <v>341</v>
      </c>
      <c r="C780" s="319"/>
      <c r="D780" s="79"/>
      <c r="E780" s="80"/>
      <c r="F780" s="80"/>
      <c r="G780" s="81"/>
      <c r="H780" s="191"/>
      <c r="I780" s="191"/>
      <c r="J780" s="191"/>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321"/>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5"/>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7"/>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318" t="s">
        <v>343</v>
      </c>
      <c r="C821" s="319"/>
      <c r="D821" s="79"/>
      <c r="E821" s="80"/>
      <c r="F821" s="80"/>
      <c r="G821" s="81"/>
      <c r="H821" s="191"/>
      <c r="I821" s="191"/>
      <c r="J821" s="191"/>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321"/>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5"/>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7"/>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318" t="s">
        <v>345</v>
      </c>
      <c r="C862" s="319"/>
      <c r="D862" s="79"/>
      <c r="E862" s="80"/>
      <c r="F862" s="80"/>
      <c r="G862" s="81"/>
      <c r="H862" s="191"/>
      <c r="I862" s="191"/>
      <c r="J862" s="191"/>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321"/>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5"/>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7"/>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318" t="s">
        <v>347</v>
      </c>
      <c r="C903" s="319"/>
      <c r="D903" s="79"/>
      <c r="E903" s="80"/>
      <c r="F903" s="80"/>
      <c r="G903" s="81"/>
      <c r="H903" s="191"/>
      <c r="I903" s="191"/>
      <c r="J903" s="191"/>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321"/>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5"/>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7"/>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321"/>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5"/>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7"/>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318" t="s">
        <v>351</v>
      </c>
      <c r="C985" s="319"/>
      <c r="D985" s="79"/>
      <c r="E985" s="80"/>
      <c r="F985" s="80"/>
      <c r="G985" s="81"/>
      <c r="H985" s="191"/>
      <c r="I985" s="191"/>
      <c r="J985" s="191"/>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321"/>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5"/>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7"/>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318" t="s">
        <v>353</v>
      </c>
      <c r="C1026" s="319"/>
      <c r="D1026" s="79"/>
      <c r="E1026" s="80"/>
      <c r="F1026" s="80"/>
      <c r="G1026" s="81"/>
      <c r="H1026" s="191"/>
      <c r="I1026" s="191"/>
      <c r="J1026" s="191"/>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321"/>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5"/>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7"/>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318" t="s">
        <v>355</v>
      </c>
      <c r="C1067" s="319"/>
      <c r="D1067" s="79"/>
      <c r="E1067" s="80"/>
      <c r="F1067" s="80"/>
      <c r="G1067" s="81"/>
      <c r="H1067" s="191"/>
      <c r="I1067" s="191"/>
      <c r="J1067" s="191"/>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321"/>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5"/>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7"/>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318" t="s">
        <v>357</v>
      </c>
      <c r="C1108" s="319"/>
      <c r="D1108" s="79"/>
      <c r="E1108" s="80"/>
      <c r="F1108" s="80"/>
      <c r="G1108" s="81"/>
      <c r="H1108" s="191"/>
      <c r="I1108" s="191"/>
      <c r="J1108" s="191"/>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321"/>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5"/>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7"/>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318" t="s">
        <v>359</v>
      </c>
      <c r="C1149" s="319"/>
      <c r="D1149" s="79"/>
      <c r="E1149" s="80"/>
      <c r="F1149" s="80"/>
      <c r="G1149" s="81"/>
      <c r="H1149" s="191"/>
      <c r="I1149" s="191"/>
      <c r="J1149" s="191"/>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321"/>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5"/>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7"/>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318" t="s">
        <v>361</v>
      </c>
      <c r="C1190" s="319"/>
      <c r="D1190" s="79"/>
      <c r="E1190" s="80"/>
      <c r="F1190" s="80"/>
      <c r="G1190" s="81"/>
      <c r="H1190" s="191"/>
      <c r="I1190" s="191"/>
      <c r="J1190" s="191"/>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321"/>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5"/>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7"/>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318" t="s">
        <v>363</v>
      </c>
      <c r="C1231" s="319"/>
      <c r="D1231" s="79"/>
      <c r="E1231" s="80"/>
      <c r="F1231" s="80"/>
      <c r="G1231" s="81"/>
      <c r="H1231" s="191"/>
      <c r="I1231" s="191"/>
      <c r="J1231" s="191"/>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321"/>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5"/>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7"/>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318" t="s">
        <v>365</v>
      </c>
      <c r="C1272" s="319"/>
      <c r="D1272" s="79"/>
      <c r="E1272" s="80"/>
      <c r="F1272" s="80"/>
      <c r="G1272" s="81"/>
      <c r="H1272" s="191"/>
      <c r="I1272" s="191"/>
      <c r="J1272" s="191"/>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321"/>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5"/>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7"/>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318" t="s">
        <v>367</v>
      </c>
      <c r="C1313" s="319"/>
      <c r="D1313" s="79"/>
      <c r="E1313" s="80"/>
      <c r="F1313" s="80"/>
      <c r="G1313" s="81"/>
      <c r="H1313" s="191"/>
      <c r="I1313" s="191"/>
      <c r="J1313" s="191"/>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321"/>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5"/>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7"/>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318" t="s">
        <v>369</v>
      </c>
      <c r="C1354" s="319"/>
      <c r="D1354" s="79"/>
      <c r="E1354" s="80"/>
      <c r="F1354" s="80"/>
      <c r="G1354" s="81"/>
      <c r="H1354" s="191"/>
      <c r="I1354" s="191"/>
      <c r="J1354" s="191"/>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321"/>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5"/>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7"/>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318" t="s">
        <v>371</v>
      </c>
      <c r="C1395" s="319"/>
      <c r="D1395" s="79"/>
      <c r="E1395" s="80"/>
      <c r="F1395" s="80"/>
      <c r="G1395" s="81"/>
      <c r="H1395" s="191"/>
      <c r="I1395" s="191"/>
      <c r="J1395" s="191"/>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321"/>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5"/>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7"/>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318" t="s">
        <v>373</v>
      </c>
      <c r="C1436" s="319"/>
      <c r="D1436" s="79"/>
      <c r="E1436" s="80"/>
      <c r="F1436" s="80"/>
      <c r="G1436" s="81"/>
      <c r="H1436" s="191"/>
      <c r="I1436" s="191"/>
      <c r="J1436" s="191"/>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321"/>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5"/>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7"/>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318" t="s">
        <v>375</v>
      </c>
      <c r="C1477" s="319"/>
      <c r="D1477" s="79"/>
      <c r="E1477" s="80"/>
      <c r="F1477" s="80"/>
      <c r="G1477" s="81"/>
      <c r="H1477" s="191"/>
      <c r="I1477" s="191"/>
      <c r="J1477" s="191"/>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321"/>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5"/>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7"/>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318" t="s">
        <v>377</v>
      </c>
      <c r="C1518" s="319"/>
      <c r="D1518" s="79"/>
      <c r="E1518" s="80"/>
      <c r="F1518" s="80"/>
      <c r="G1518" s="81"/>
      <c r="H1518" s="191"/>
      <c r="I1518" s="191"/>
      <c r="J1518" s="191"/>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321"/>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5"/>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7"/>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318" t="s">
        <v>379</v>
      </c>
      <c r="C1559" s="319"/>
      <c r="D1559" s="79"/>
      <c r="E1559" s="80"/>
      <c r="F1559" s="80"/>
      <c r="G1559" s="81"/>
      <c r="H1559" s="191"/>
      <c r="I1559" s="191"/>
      <c r="J1559" s="191"/>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321"/>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5"/>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7"/>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318" t="s">
        <v>381</v>
      </c>
      <c r="C1600" s="319"/>
      <c r="D1600" s="79"/>
      <c r="E1600" s="80"/>
      <c r="F1600" s="80"/>
      <c r="G1600" s="81"/>
      <c r="H1600" s="191"/>
      <c r="I1600" s="191"/>
      <c r="J1600" s="191"/>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321"/>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5"/>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7"/>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318" t="s">
        <v>383</v>
      </c>
      <c r="C1641" s="319"/>
      <c r="D1641" s="79"/>
      <c r="E1641" s="80"/>
      <c r="F1641" s="80"/>
      <c r="G1641" s="81"/>
      <c r="H1641" s="191"/>
      <c r="I1641" s="191"/>
      <c r="J1641" s="191"/>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321"/>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5"/>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7"/>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318" t="s">
        <v>385</v>
      </c>
      <c r="C1682" s="319"/>
      <c r="D1682" s="79"/>
      <c r="E1682" s="80"/>
      <c r="F1682" s="80"/>
      <c r="G1682" s="81"/>
      <c r="H1682" s="191"/>
      <c r="I1682" s="191"/>
      <c r="J1682" s="191"/>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321"/>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5"/>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7"/>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318" t="s">
        <v>387</v>
      </c>
      <c r="C1723" s="319"/>
      <c r="D1723" s="79"/>
      <c r="E1723" s="80"/>
      <c r="F1723" s="80"/>
      <c r="G1723" s="81"/>
      <c r="H1723" s="191"/>
      <c r="I1723" s="191"/>
      <c r="J1723" s="191"/>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321"/>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5"/>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7"/>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318" t="s">
        <v>389</v>
      </c>
      <c r="C1764" s="319"/>
      <c r="D1764" s="79"/>
      <c r="E1764" s="80"/>
      <c r="F1764" s="80"/>
      <c r="G1764" s="81"/>
      <c r="H1764" s="191"/>
      <c r="I1764" s="191"/>
      <c r="J1764" s="191"/>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321"/>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5"/>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7"/>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318" t="s">
        <v>391</v>
      </c>
      <c r="C1805" s="319"/>
      <c r="D1805" s="79"/>
      <c r="E1805" s="80"/>
      <c r="F1805" s="80"/>
      <c r="G1805" s="81"/>
      <c r="H1805" s="191"/>
      <c r="I1805" s="191"/>
      <c r="J1805" s="191"/>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321"/>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5"/>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7"/>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318" t="s">
        <v>393</v>
      </c>
      <c r="C1846" s="319"/>
      <c r="D1846" s="79"/>
      <c r="E1846" s="80"/>
      <c r="F1846" s="80"/>
      <c r="G1846" s="81"/>
      <c r="H1846" s="191"/>
      <c r="I1846" s="191"/>
      <c r="J1846" s="191"/>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321"/>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5"/>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7"/>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318" t="s">
        <v>395</v>
      </c>
      <c r="C1887" s="319"/>
      <c r="D1887" s="79"/>
      <c r="E1887" s="80"/>
      <c r="F1887" s="80"/>
      <c r="G1887" s="81"/>
      <c r="H1887" s="191"/>
      <c r="I1887" s="191"/>
      <c r="J1887" s="191"/>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321"/>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5"/>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7"/>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318" t="s">
        <v>397</v>
      </c>
      <c r="C1928" s="319"/>
      <c r="D1928" s="79"/>
      <c r="E1928" s="80"/>
      <c r="F1928" s="80"/>
      <c r="G1928" s="81"/>
      <c r="H1928" s="191"/>
      <c r="I1928" s="191"/>
      <c r="J1928" s="191"/>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321"/>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5"/>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7"/>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318" t="s">
        <v>399</v>
      </c>
      <c r="C1969" s="319"/>
      <c r="D1969" s="79"/>
      <c r="E1969" s="80"/>
      <c r="F1969" s="80"/>
      <c r="G1969" s="81"/>
      <c r="H1969" s="191"/>
      <c r="I1969" s="191"/>
      <c r="J1969" s="191"/>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321"/>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5"/>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7"/>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318" t="s">
        <v>401</v>
      </c>
      <c r="C2010" s="319"/>
      <c r="D2010" s="79"/>
      <c r="E2010" s="80"/>
      <c r="F2010" s="80"/>
      <c r="G2010" s="81"/>
      <c r="H2010" s="191"/>
      <c r="I2010" s="191"/>
      <c r="J2010" s="191"/>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321"/>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5"/>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7"/>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318" t="s">
        <v>307</v>
      </c>
      <c r="C2051" s="319"/>
      <c r="D2051" s="79"/>
      <c r="E2051" s="80"/>
      <c r="F2051" s="80"/>
      <c r="G2051" s="81"/>
      <c r="H2051" s="191"/>
      <c r="I2051" s="191"/>
      <c r="J2051" s="191"/>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O10" sqref="O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52034.520000000004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3552.2500000000005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4644.4800000000005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80</v>
      </c>
      <c r="F2" s="185">
        <f t="shared" ref="F2:F5" si="0">PRODUCT(D2:E2)</f>
        <v>8972</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7</v>
      </c>
      <c r="K2" s="179">
        <f>COUNTIFS('Assignment Tool'!$E$17:$E$2050, "4",'Assignment Tool'!$F$17:$F$2050,"PED", 'Assignment Tool'!$C$17:$C$2050, "FST",'Assignment Tool'!$K$17:$K$2050,"")</f>
        <v>0</v>
      </c>
      <c r="L2" s="179">
        <f>COUNTIFS('Assignment Tool'!$E$17:$E$2050, "4",'Assignment Tool'!$F$17:$F$2050,"HH", 'Assignment Tool'!$C$17:$C$2050, "FST",'Assignment Tool'!$K$17:$K$2050,"")</f>
        <v>73</v>
      </c>
      <c r="N2" s="180">
        <f>PRODUCT(SUM(G2,J2),D2)</f>
        <v>785.05000000000007</v>
      </c>
      <c r="O2" s="179">
        <f>PRODUCT(SUM(H2:I2,K2:L2),D2)</f>
        <v>8186.9500000000007</v>
      </c>
      <c r="P2" s="182">
        <f>SUM(N2:N5,F11:F16,F27:F36,F43:F46,F51:F54,N88:N135)</f>
        <v>3552.2500000000005</v>
      </c>
      <c r="Q2" s="181">
        <f>SUM(O2:O5,F17:F26,F37:F42,F47:F50,F55:F58,F60:F67,O88:O135)</f>
        <v>52034.520000000004</v>
      </c>
      <c r="R2" s="126">
        <f>SUM(F69:F71)</f>
        <v>4644.4800000000005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14</v>
      </c>
      <c r="F4" s="185">
        <f t="shared" si="0"/>
        <v>2376.7800000000002</v>
      </c>
      <c r="G4" s="180">
        <f>COUNTIFS('Assignment Tool'!$E$17:$E$2050, "8", 'Assignment Tool'!$F$17:$F$2050, "POLE", 'Assignment Tool'!$C$17:$C$2050, "FST",'Assignment Tool'!$K$17:$K$2050,"")</f>
        <v>4</v>
      </c>
      <c r="H4" s="179">
        <f>COUNTIFS('Assignment Tool'!$E$17:$E$2050, "8", 'Assignment Tool'!$F$17:$F$2050, "PED", 'Assignment Tool'!$C$17:$C$2050, "FST",'Assignment Tool'!$K$17:$K$2050,"")</f>
        <v>0</v>
      </c>
      <c r="I4" s="179">
        <f>COUNTIFS('Assignment Tool'!$E$17:$E$2050, "8", 'Assignment Tool'!$F$17:$F$2050, "HH", 'Assignment Tool'!$C$17:$C$2050, "FST",'Assignment Tool'!$K$17:$K$2050,"")</f>
        <v>10</v>
      </c>
      <c r="N4" s="180">
        <f t="shared" ref="N4:N5" si="2">PRODUCT(G4,D4)</f>
        <v>679.08</v>
      </c>
      <c r="O4" s="179">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5">
        <f t="shared" si="0"/>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 t="shared" si="2"/>
        <v>0</v>
      </c>
      <c r="O5" s="179">
        <f t="shared" si="3"/>
        <v>0</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2</v>
      </c>
      <c r="F12" s="180">
        <f t="shared" ref="F12:F58" si="5">E12*D12</f>
        <v>430.3</v>
      </c>
      <c r="Q12" s="21"/>
      <c r="R12" s="21"/>
      <c r="Y12" s="1">
        <v>72</v>
      </c>
      <c r="AA12" s="1">
        <f t="shared" si="4"/>
        <v>132</v>
      </c>
      <c r="AC12" s="1">
        <v>900</v>
      </c>
    </row>
    <row r="13" spans="1:29" x14ac:dyDescent="0.25">
      <c r="A13" s="180">
        <v>100083493</v>
      </c>
      <c r="B13" s="180"/>
      <c r="C13" s="180" t="s">
        <v>505</v>
      </c>
      <c r="D13" s="1">
        <v>183.1</v>
      </c>
      <c r="E13" s="162">
        <f>'Construction Exempt Material'!B19</f>
        <v>5</v>
      </c>
      <c r="F13" s="180">
        <f t="shared" si="5"/>
        <v>915.5</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7</v>
      </c>
      <c r="F17" s="179">
        <f t="shared" si="5"/>
        <v>1867.3899999999999</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75</v>
      </c>
      <c r="F20" s="179">
        <f t="shared" si="5"/>
        <v>14989.500000000002</v>
      </c>
      <c r="AA20" s="1">
        <f t="shared" si="4"/>
        <v>228</v>
      </c>
    </row>
    <row r="21" spans="1:27" x14ac:dyDescent="0.25">
      <c r="A21" s="179">
        <v>200008456</v>
      </c>
      <c r="B21" s="179"/>
      <c r="C21" s="179" t="s">
        <v>513</v>
      </c>
      <c r="D21" s="1">
        <v>201.13</v>
      </c>
      <c r="E21" s="162">
        <f>'Construction Exempt Material'!B27</f>
        <v>0</v>
      </c>
      <c r="F21" s="179">
        <f t="shared" si="5"/>
        <v>0</v>
      </c>
      <c r="AA21" s="1">
        <f t="shared" si="4"/>
        <v>240</v>
      </c>
    </row>
    <row r="22" spans="1:27" x14ac:dyDescent="0.25">
      <c r="A22" s="179">
        <v>100089396</v>
      </c>
      <c r="B22" s="179"/>
      <c r="C22" s="179" t="s">
        <v>514</v>
      </c>
      <c r="D22" s="1">
        <v>266.77</v>
      </c>
      <c r="E22" s="162">
        <f>'Construction Exempt Material'!B28</f>
        <v>4</v>
      </c>
      <c r="F22" s="179">
        <f t="shared" si="5"/>
        <v>1067.08</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1</v>
      </c>
      <c r="F45" s="180">
        <f t="shared" si="5"/>
        <v>742.32</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2</v>
      </c>
      <c r="F48" s="179">
        <f t="shared" si="5"/>
        <v>1067.06</v>
      </c>
    </row>
    <row r="49" spans="1:10" x14ac:dyDescent="0.25">
      <c r="A49" s="179">
        <v>200002565</v>
      </c>
      <c r="B49" s="179"/>
      <c r="C49" s="179" t="s">
        <v>541</v>
      </c>
      <c r="D49" s="1">
        <v>804.41</v>
      </c>
      <c r="E49" s="162">
        <f>'Construction Exempt Material'!B55</f>
        <v>1</v>
      </c>
      <c r="F49" s="179">
        <f t="shared" si="5"/>
        <v>804.41</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83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75</v>
      </c>
      <c r="F62" s="179">
        <f t="shared" si="6"/>
        <v>10795.5</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12</v>
      </c>
      <c r="F63" s="179">
        <f t="shared" si="6"/>
        <v>5925.24</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4</v>
      </c>
      <c r="F64" s="179">
        <f t="shared" si="6"/>
        <v>2559.4</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0</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48</v>
      </c>
      <c r="F69" s="126">
        <f>E69*D69</f>
        <v>1087.68</v>
      </c>
    </row>
    <row r="70" spans="1:16" x14ac:dyDescent="0.25">
      <c r="A70" s="1">
        <v>100069989</v>
      </c>
      <c r="B70" s="1" t="s">
        <v>565</v>
      </c>
      <c r="C70" s="1" t="s">
        <v>566</v>
      </c>
      <c r="D70" s="1">
        <v>0.65</v>
      </c>
      <c r="E70" s="1">
        <f>'Construction Exempt Material'!B69</f>
        <v>5472</v>
      </c>
      <c r="F70" s="126">
        <f>E70*D70</f>
        <v>3556.8</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805</v>
      </c>
      <c r="D2" s="339" t="s">
        <v>681</v>
      </c>
      <c r="E2" s="340"/>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80</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14</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75</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12</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4</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5</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75</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5472</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48</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1" t="s">
        <v>697</v>
      </c>
      <c r="C73" s="342"/>
      <c r="D73" s="343"/>
      <c r="E73" s="337" t="s">
        <v>698</v>
      </c>
      <c r="F73" s="338"/>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2024-06-20T14:26:42Z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