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00000000-0000-0000-0000-000000000000}"/>
  <workbookPr updateLinks="never" codeName="ThisWorkbook" defaultThemeVersion="124226"/>
  <mc:AlternateContent xmlns:mc="http://schemas.openxmlformats.org/markup-compatibility/2006">
    <mc:Choice Requires="x15">
      <x15ac:absPath xmlns:x15ac="http://schemas.microsoft.com/office/spreadsheetml/2010/11/ac" url="D:\5.-LIGHTGIG\1.-TRABAJOS ONY\29.1-A02RNLQ (LOUSIANA F2)\7.-CORRECCIONES ATT\CORRECCION 3 ATT\"/>
    </mc:Choice>
  </mc:AlternateContent>
  <xr:revisionPtr revIDLastSave="0" documentId="13_ncr:1_{C5CC3847-21AF-4126-8A2A-6DF6E1A8121C}" xr6:coauthVersionLast="47" xr6:coauthVersionMax="47" xr10:uidLastSave="{00000000-0000-0000-0000-000000000000}"/>
  <bookViews>
    <workbookView xWindow="28680" yWindow="-135" windowWidth="29040" windowHeight="1584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15" i="29"/>
  <c r="J614" i="29"/>
  <c r="J613" i="29"/>
  <c r="J612" i="29"/>
  <c r="J611" i="29"/>
  <c r="J610" i="29"/>
  <c r="J609" i="29"/>
  <c r="J608" i="29"/>
  <c r="J607" i="29"/>
  <c r="J606" i="29"/>
  <c r="J605" i="29"/>
  <c r="J604" i="29"/>
  <c r="J603" i="29"/>
  <c r="J602" i="29"/>
  <c r="J601" i="29"/>
  <c r="J600" i="29"/>
  <c r="J574" i="29"/>
  <c r="J573" i="29"/>
  <c r="J572" i="29"/>
  <c r="J571" i="29"/>
  <c r="J570" i="29"/>
  <c r="J569" i="29"/>
  <c r="J568" i="29"/>
  <c r="J567" i="29"/>
  <c r="J566" i="29"/>
  <c r="J565" i="29"/>
  <c r="J564" i="29"/>
  <c r="J563" i="29"/>
  <c r="J562" i="29"/>
  <c r="J561" i="29"/>
  <c r="J560" i="29"/>
  <c r="J559" i="29"/>
  <c r="J558" i="29"/>
  <c r="J557" i="29"/>
  <c r="J556" i="29"/>
  <c r="J555" i="29"/>
  <c r="J533" i="29"/>
  <c r="J532" i="29"/>
  <c r="J531" i="29"/>
  <c r="J530" i="29"/>
  <c r="J529" i="29"/>
  <c r="J528" i="29"/>
  <c r="J527" i="29"/>
  <c r="J526" i="29"/>
  <c r="J525"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30" i="29" l="1"/>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Y563" i="29"/>
  <c r="W563" i="29" s="1"/>
  <c r="Y562" i="29"/>
  <c r="W562" i="29" s="1"/>
  <c r="Y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I561" i="29" s="1"/>
  <c r="H561" i="29" s="1"/>
  <c r="I562" i="29" s="1"/>
  <c r="H562" i="29" s="1"/>
  <c r="I563" i="29" s="1"/>
  <c r="H563" i="29" s="1"/>
  <c r="I564" i="29" s="1"/>
  <c r="H564"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Y523" i="29"/>
  <c r="W523" i="29" s="1"/>
  <c r="Y522" i="29"/>
  <c r="Y521" i="29"/>
  <c r="W521" i="29" s="1"/>
  <c r="Y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I520" i="29" s="1"/>
  <c r="H520" i="29" s="1"/>
  <c r="I521" i="29" s="1"/>
  <c r="H521" i="29" s="1"/>
  <c r="I522" i="29" s="1"/>
  <c r="H522" i="29" s="1"/>
  <c r="I523" i="29" s="1"/>
  <c r="H523" i="29" s="1"/>
  <c r="I524" i="29" s="1"/>
  <c r="H524"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Y398" i="29"/>
  <c r="W398" i="29" s="1"/>
  <c r="Y397" i="29"/>
  <c r="W397" i="29" s="1"/>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Y153" i="29"/>
  <c r="Y152" i="29"/>
  <c r="W152" i="29" s="1"/>
  <c r="Y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I153" i="29" s="1"/>
  <c r="H153" i="29" s="1"/>
  <c r="I154" i="29" s="1"/>
  <c r="H154"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96" i="29" l="1"/>
  <c r="AA1271" i="29"/>
  <c r="AA1312" i="29"/>
  <c r="AA1389" i="29"/>
  <c r="I172" i="29"/>
  <c r="Z858" i="29"/>
  <c r="Z940" i="29"/>
  <c r="Z982" i="29"/>
  <c r="Z1588" i="29"/>
  <c r="Z1593" i="29"/>
  <c r="AA1148" i="29"/>
  <c r="AA1188" i="29"/>
  <c r="AA1270" i="29"/>
  <c r="L1484" i="29"/>
  <c r="AA1554" i="29"/>
  <c r="Z1597" i="29"/>
  <c r="AA1639" i="29"/>
  <c r="AA1801" i="29"/>
  <c r="AB1908" i="29"/>
  <c r="AA1909" i="29" s="1"/>
  <c r="AA1925" i="29"/>
  <c r="Z1963" i="29"/>
  <c r="Z1999" i="29"/>
  <c r="AA897" i="29"/>
  <c r="Z899" i="29"/>
  <c r="AA1143" i="29"/>
  <c r="Z1546" i="29"/>
  <c r="W1588" i="29"/>
  <c r="AA1591" i="29" s="1"/>
  <c r="AA1761" i="29"/>
  <c r="Z1800" i="29"/>
  <c r="Z1962" i="29"/>
  <c r="I463" i="29"/>
  <c r="Z400" i="29"/>
  <c r="AA609" i="29"/>
  <c r="I500" i="29"/>
  <c r="I459" i="29"/>
  <c r="AA446" i="29"/>
  <c r="Z360" i="29"/>
  <c r="M464" i="29"/>
  <c r="AK471" i="29"/>
  <c r="AA281" i="29"/>
  <c r="AA163" i="29"/>
  <c r="AA160" i="29"/>
  <c r="AA164" i="29"/>
  <c r="P133"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397" i="29" s="1"/>
  <c r="H397" i="29" s="1"/>
  <c r="I398" i="29" s="1"/>
  <c r="H398" i="29" s="1"/>
  <c r="I399" i="29" s="1"/>
  <c r="H399"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B3" i="34" l="1"/>
  <c r="BW3" i="34"/>
  <c r="BM3" i="34"/>
  <c r="BH3" i="34"/>
  <c r="BG3" i="34" s="1"/>
  <c r="BG2" i="34" s="1"/>
  <c r="AX3" i="34"/>
  <c r="AS3" i="34"/>
  <c r="BW5" i="34"/>
  <c r="J5" i="34"/>
  <c r="FC3" i="34"/>
  <c r="FC2" i="34" s="1"/>
  <c r="EN3" i="34"/>
  <c r="L1157" i="29" s="1"/>
  <c r="DY3" i="34"/>
  <c r="L1034" i="29" s="1"/>
  <c r="DT3" i="34"/>
  <c r="DT2" i="34" s="1"/>
  <c r="DE3" i="34"/>
  <c r="L870" i="29" s="1"/>
  <c r="CZ3" i="34"/>
  <c r="CZ2" i="34" s="1"/>
  <c r="CU3" i="34"/>
  <c r="L788" i="29" s="1"/>
  <c r="CP3" i="34"/>
  <c r="CP2" i="34" s="1"/>
  <c r="CK3" i="34"/>
  <c r="CK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IO2" i="34" s="1"/>
  <c r="E12" i="29"/>
  <c r="E7" i="29"/>
  <c r="E9" i="34"/>
  <c r="E7" i="34"/>
  <c r="E6" i="34" s="1"/>
  <c r="CA3" i="34" l="1"/>
  <c r="CA2" i="34" s="1"/>
  <c r="BV3" i="34"/>
  <c r="BV2" i="34" s="1"/>
  <c r="BL3" i="34"/>
  <c r="L501" i="29" s="1"/>
  <c r="AW3" i="34"/>
  <c r="L378" i="29" s="1"/>
  <c r="AR3" i="34"/>
  <c r="AR2" i="34" s="1"/>
  <c r="L1321" i="29"/>
  <c r="L1280" i="29"/>
  <c r="EN2" i="34"/>
  <c r="L1075" i="29"/>
  <c r="ED2" i="34"/>
  <c r="DY2" i="34"/>
  <c r="L993" i="29"/>
  <c r="DE2" i="34"/>
  <c r="L829" i="29"/>
  <c r="CU2" i="34"/>
  <c r="L747" i="29"/>
  <c r="L706" i="29"/>
  <c r="L624"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83" i="29" l="1"/>
  <c r="L337" i="29"/>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461" i="29" l="1"/>
  <c r="V502" i="29"/>
  <c r="V338" i="29"/>
  <c r="V584" i="29"/>
  <c r="V543" i="29"/>
  <c r="Q461" i="29"/>
  <c r="Q420" i="29"/>
  <c r="V379" i="29"/>
  <c r="V297"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02" i="29" l="1"/>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X458"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48" i="29" l="1"/>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W460" i="29" s="1"/>
  <c r="AS458" i="29"/>
  <c r="AW458" i="29" s="1"/>
  <c r="AS459" i="29"/>
  <c r="AW459" i="29" s="1"/>
  <c r="AS624" i="29"/>
  <c r="AW624" i="29" s="1"/>
  <c r="AS622" i="29"/>
  <c r="AW622" i="29" s="1"/>
  <c r="AS623" i="29"/>
  <c r="AW623" i="29" s="1"/>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J641" i="29" s="1"/>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J554" i="29" s="1"/>
  <c r="BA552" i="29"/>
  <c r="J553" i="29" s="1"/>
  <c r="BA551" i="29"/>
  <c r="J552" i="29" s="1"/>
  <c r="AE550" i="29"/>
  <c r="BA550" i="29"/>
  <c r="J551" i="29" s="1"/>
  <c r="BA532" i="29"/>
  <c r="BA531" i="29"/>
  <c r="BA530" i="29"/>
  <c r="BA528" i="29"/>
  <c r="BA527" i="29"/>
  <c r="BA526" i="29"/>
  <c r="BA525" i="29"/>
  <c r="BA524" i="29"/>
  <c r="BA523" i="29"/>
  <c r="J524" i="29" s="1"/>
  <c r="BA522" i="29"/>
  <c r="J523" i="29" s="1"/>
  <c r="BA521" i="29"/>
  <c r="J522" i="29" s="1"/>
  <c r="BA520" i="29"/>
  <c r="J521" i="29" s="1"/>
  <c r="BA519" i="29"/>
  <c r="J520" i="29" s="1"/>
  <c r="BA518" i="29"/>
  <c r="J519" i="29" s="1"/>
  <c r="BA517" i="29"/>
  <c r="J518" i="29" s="1"/>
  <c r="BA516" i="29"/>
  <c r="J517" i="29" s="1"/>
  <c r="BA515" i="29"/>
  <c r="J516" i="29" s="1"/>
  <c r="BA514" i="29"/>
  <c r="J515" i="29" s="1"/>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J399" i="29" s="1"/>
  <c r="BA397" i="29"/>
  <c r="J398" i="29" s="1"/>
  <c r="BA396" i="29"/>
  <c r="J397" i="29" s="1"/>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J312" i="29" s="1"/>
  <c r="BA310" i="29"/>
  <c r="J311" i="29" s="1"/>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J154" i="29" s="1"/>
  <c r="BA152" i="29"/>
  <c r="J153" i="29" s="1"/>
  <c r="BA151" i="29"/>
  <c r="J152" i="29" s="1"/>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3" i="29"/>
  <c r="AW583" i="29"/>
  <c r="AX582" i="29"/>
  <c r="AW582" i="29"/>
  <c r="AV541" i="29"/>
  <c r="AW541" i="29"/>
  <c r="AV542" i="29"/>
  <c r="AW542" i="29"/>
  <c r="AU460" i="29"/>
  <c r="AV460" i="29"/>
  <c r="AU459" i="29"/>
  <c r="AV459" i="29"/>
  <c r="AU458" i="29"/>
  <c r="AV458"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J29" i="29" s="1"/>
  <c r="BA27" i="29"/>
  <c r="J28" i="29" s="1"/>
  <c r="BA26" i="29"/>
  <c r="J27" i="29" s="1"/>
  <c r="BA25" i="29"/>
  <c r="J26" i="29" s="1"/>
  <c r="Z24" i="29"/>
  <c r="Z25" i="29" s="1"/>
  <c r="Z26" i="29" s="1"/>
  <c r="BA24" i="29"/>
  <c r="J25" i="29" s="1"/>
  <c r="BA23" i="29"/>
  <c r="J24" i="29" s="1"/>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<sst xmlns="http://schemas.openxmlformats.org/spreadsheetml/2006/main" count="8005" uniqueCount="830">
  <si>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</si>
  <si>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</si>
  <si>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</si>
  <si>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</si>
  <si>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</si>
  <si>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</si>
  <si>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</si>
  <si>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</si>
  <si>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</si>
  <si>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</si>
  <si>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</si>
  <si>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</si>
  <si>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</si>
  <si>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</si>
  <si>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</si>
  <si>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</si>
  <si>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</si>
  <si>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</si>
  <si>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</si>
  <si>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</si>
  <si>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</si>
  <si>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</si>
  <si>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</si>
  <si>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</si>
  <si>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</si>
  <si>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</si>
  <si>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</si>
  <si>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</si>
  <si>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</si>
  <si>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</si>
  <si>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</si>
  <si>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</si>
  <si>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</si>
  <si>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</si>
  <si>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</si>
  <si>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</si>
  <si>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</si>
  <si>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</si>
  <si>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</si>
  <si>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</si>
  <si>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</si>
  <si>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</si>
  <si>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</si>
  <si>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</si>
  <si>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</si>
  <si>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</si>
  <si>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</si>
  <si>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</si>
  <si>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</si>
  <si>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</si>
  <si>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</si>
  <si>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</si>
  <si>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</si>
  <si>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</si>
  <si>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</si>
  <si>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</si>
  <si>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</si>
  <si>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</si>
  <si>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</si>
  <si>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</si>
  <si>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</si>
  <si>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</si>
  <si>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</si>
  <si>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</si>
  <si>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</si>
  <si>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</si>
  <si>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</si>
  <si>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</si>
  <si>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</si>
  <si>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</si>
  <si>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</si>
  <si>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</si>
  <si>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</si>
  <si>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</si>
  <si>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</si>
  <si>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</si>
  <si>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</si>
  <si>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</si>
  <si>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</si>
  <si>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</si>
  <si>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</si>
  <si>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</si>
  <si>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</si>
  <si>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</si>
  <si>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</si>
  <si>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</si>
  <si>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</si>
  <si>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</si>
  <si>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</si>
  <si>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</si>
  <si>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</si>
  <si>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</si>
  <si>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</si>
  <si>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</si>
  <si>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</si>
  <si>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</si>
  <si>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</si>
  <si>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</si>
  <si>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</si>
  <si>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</si>
  <si>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</si>
  <si>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</si>
  <si>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</si>
  <si>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</si>
  <si>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</si>
  <si>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</si>
  <si>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</si>
  <si>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</si>
  <si>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</si>
  <si>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</si>
  <si>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</si>
  <si>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</si>
  <si>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</si>
  <si>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</si>
  <si>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</si>
  <si>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</si>
  <si>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</si>
  <si>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</si>
  <si>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</si>
  <si>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</si>
  <si>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</si>
  <si>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</si>
  <si>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</si>
  <si>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</si>
  <si>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</si>
  <si>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</si>
  <si>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</si>
  <si>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</si>
  <si>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</si>
  <si>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</si>
  <si>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</si>
  <si>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</si>
  <si>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</si>
  <si>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</si>
  <si>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</si>
  <si>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</si>
  <si>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</si>
  <si>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</si>
  <si>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</si>
  <si>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</si>
  <si>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</si>
  <si>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</si>
  <si>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</si>
  <si>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</si>
  <si>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</si>
  <si>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</si>
  <si>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</si>
  <si>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</si>
  <si>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</si>
  <si>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</si>
  <si>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</si>
  <si>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</si>
  <si>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</si>
  <si>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</si>
  <si>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</si>
  <si>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</si>
  <si>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</si>
  <si>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</si>
  <si>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</si>
  <si>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</si>
  <si>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</si>
  <si>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</si>
  <si>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</si>
  <si>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</si>
  <si>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</si>
  <si>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</si>
  <si>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</si>
  <si>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</si>
  <si>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</si>
  <si>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</si>
  <si>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</si>
  <si>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</si>
  <si>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</si>
  <si>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</si>
  <si>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</si>
  <si>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</si>
  <si>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</si>
  <si>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</si>
  <si>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</si>
  <si>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</si>
  <si>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</si>
  <si>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</si>
  <si>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</si>
  <si>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</si>
  <si>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</si>
  <si>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</si>
  <si>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</si>
  <si>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</si>
  <si>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</si>
  <si>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</si>
  <si>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</si>
  <si>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</si>
  <si>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</si>
  <si>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</si>
  <si>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</si>
  <si>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</si>
  <si>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</si>
  <si>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</si>
  <si>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</si>
  <si>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</si>
  <si>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</si>
  <si>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</si>
  <si>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</si>
  <si>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</si>
  <si>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</si>
  <si>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</si>
  <si>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</si>
  <si>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</si>
  <si>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</si>
  <si>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</si>
  <si>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</si>
  <si>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</si>
  <si>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</si>
  <si>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</si>
  <si>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</si>
  <si>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</si>
  <si>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</si>
  <si>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</si>
  <si>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</si>
  <si>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</si>
  <si>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</si>
  <si>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</si>
  <si>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</si>
  <si>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</si>
  <si>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</si>
  <si>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</si>
  <si>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</si>
  <si>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</si>
  <si>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</si>
  <si>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</si>
  <si>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</si>
  <si>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</si>
  <si>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</si>
  <si>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</si>
  <si>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</si>
  <si>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</si>
  <si>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</si>
  <si>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</si>
  <si>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</si>
  <si>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</si>
  <si>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</si>
  <si>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</si>
  <si>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</si>
  <si>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</si>
  <si>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</si>
  <si>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</si>
  <si>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</si>
  <si>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</si>
  <si>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</si>
  <si>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</si>
  <si>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</si>
  <si>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</si>
  <si>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</si>
  <si>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</si>
  <si>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</si>
  <si>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</si>
  <si>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</si>
  <si>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</si>
  <si>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</si>
  <si>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</si>
  <si>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</si>
  <si>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</si>
  <si>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</si>
  <si>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</si>
  <si>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</si>
  <si>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</si>
  <si>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</si>
  <si>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</si>
  <si>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</si>
  <si>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</si>
  <si>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</si>
  <si>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</si>
  <si>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</si>
  <si>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</si>
  <si>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</si>
  <si>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</si>
  <si>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</si>
  <si>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</si>
  <si>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</si>
  <si>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</si>
  <si>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</si>
  <si>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</si>
  <si>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</si>
  <si>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</si>
  <si>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</si>
  <si>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</si>
  <si>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</si>
  <si>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</si>
  <si>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</si>
  <si>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</si>
  <si>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</si>
  <si>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</si>
  <si>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</si>
  <si>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</si>
  <si>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</si>
  <si>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</si>
  <si>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</si>
  <si>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</si>
  <si>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</si>
  <si>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</si>
  <si>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</si>
  <si>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</si>
  <si>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</si>
  <si>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</si>
  <si>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</si>
  <si>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</si>
  <si>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</si>
  <si>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</si>
  <si>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</si>
  <si>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</si>
  <si>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</si>
  <si>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</si>
  <si>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</si>
  <si>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</si>
  <si>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</si>
  <si>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</si>
  <si>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</si>
  <si>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</si>
  <si>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</si>
  <si>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</si>
  <si>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</si>
  <si>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</si>
  <si>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</si>
  <si>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</si>
  <si>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</si>
  <si>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</si>
  <si>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</si>
  <si>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</si>
  <si>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</si>
  <si>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</si>
  <si>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</si>
  <si>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</si>
  <si>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</si>
  <si>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</si>
  <si>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</si>
  <si>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</si>
  <si>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</si>
  <si>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</si>
  <si>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</si>
  <si>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</si>
  <si>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</si>
  <si>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</si>
  <si>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</si>
  <si>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</si>
  <si>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</si>
  <si>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</si>
  <si>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</si>
  <si>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</si>
  <si>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</si>
  <si>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</si>
  <si>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</si>
  <si>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</si>
  <si>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</si>
  <si>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</si>
  <si>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</si>
  <si>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</si>
  <si>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</si>
  <si>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</si>
  <si>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</si>
  <si>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</si>
  <si>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</si>
  <si>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</si>
  <si>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</si>
  <si>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</si>
  <si>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</si>
  <si>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</si>
  <si>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</si>
  <si>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</si>
  <si>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</si>
  <si>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</si>
  <si>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</si>
  <si>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</si>
  <si>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</si>
  <si>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</si>
  <si>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</si>
  <si>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</si>
  <si>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</si>
  <si>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</si>
  <si>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</si>
  <si>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</si>
  <si>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</si>
  <si>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</si>
  <si>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</si>
  <si>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</si>
  <si>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</si>
  <si>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</si>
  <si>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</si>
  <si>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</si>
  <si>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</si>
  <si>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</si>
  <si>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</si>
  <si>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</si>
  <si>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</si>
  <si>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</si>
  <si>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</si>
  <si>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</si>
  <si>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</si>
  <si>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</si>
  <si>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</si>
  <si>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</si>
  <si>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</si>
  <si>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</si>
  <si>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</si>
  <si>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</si>
  <si>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</si>
  <si>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</si>
  <si>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</si>
  <si>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</si>
  <si>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</si>
  <si>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</si>
  <si>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</si>
  <si>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</si>
  <si>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</si>
  <si>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</si>
  <si>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</si>
  <si>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</si>
  <si>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</si>
  <si>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</si>
  <si>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</si>
  <si>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</si>
  <si>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</si>
  <si>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</si>
  <si>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</si>
  <si>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</si>
  <si>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</si>
  <si>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</si>
  <si>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</si>
  <si>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</si>
  <si>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</si>
  <si>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</si>
  <si>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</si>
  <si>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</si>
  <si>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</si>
  <si>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</si>
  <si>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</si>
  <si>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</si>
  <si>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</si>
  <si>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</si>
  <si>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</si>
  <si>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</si>
  <si>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</si>
  <si>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</si>
  <si>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</si>
  <si>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</si>
  <si>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</si>
  <si>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</si>
  <si>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</si>
  <si>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</si>
  <si>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</si>
  <si>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</si>
  <si>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</si>
  <si>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</si>
  <si>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</si>
  <si>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</si>
  <si>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</si>
  <si>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</si>
  <si>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</si>
  <si>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</si>
  <si>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</si>
  <si>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</si>
  <si>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</si>
  <si>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</si>
  <si>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</si>
  <si>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</si>
  <si>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</si>
  <si>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</si>
  <si>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</si>
  <si>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</si>
  <si>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</si>
  <si>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</si>
  <si>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</si>
  <si>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</si>
  <si>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</si>
  <si>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</si>
  <si>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</si>
  <si>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</si>
  <si>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</si>
  <si>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</si>
  <si>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</si>
  <si>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</si>
  <si>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</si>
  <si>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</si>
  <si>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</si>
  <si>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</si>
  <si>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</si>
  <si>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</si>
  <si>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</si>
  <si>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</si>
  <si>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</si>
  <si>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</si>
  <si>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</si>
  <si>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</si>
  <si>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</si>
  <si>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</si>
  <si>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</si>
  <si>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</si>
  <si>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</si>
  <si>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</si>
  <si>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</si>
  <si>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</si>
  <si>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</si>
  <si>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</si>
  <si>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</si>
  <si>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</si>
  <si>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</si>
  <si>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</si>
  <si>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</si>
  <si>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</si>
  <si>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</si>
  <si>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</si>
  <si>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</si>
  <si>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</si>
  <si>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</si>
  <si>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</si>
  <si>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</si>
  <si>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</si>
  <si>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</si>
  <si>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</si>
  <si>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</si>
  <si>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</si>
  <si>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</si>
  <si>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</si>
  <si>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</si>
  <si>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</si>
  <si>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</si>
  <si>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</si>
  <si>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</si>
  <si>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</si>
  <si>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</si>
  <si>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</si>
  <si>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</si>
  <si>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</si>
  <si>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</si>
  <si>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</si>
  <si>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</si>
  <si>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</si>
  <si>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</si>
  <si>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</si>
  <si>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</si>
  <si>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</si>
  <si>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</si>
  <si>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</si>
  <si>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</si>
  <si>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</si>
  <si>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</si>
  <si>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</si>
  <si>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</si>
  <si>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</si>
  <si>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</si>
  <si>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</si>
  <si>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</si>
  <si>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</si>
  <si>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</si>
  <si>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</si>
  <si>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</si>
  <si>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</si>
  <si>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</si>
  <si>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</si>
  <si>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</si>
  <si>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</si>
  <si>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</si>
  <si>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</si>
  <si>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</si>
  <si>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</si>
  <si>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</si>
  <si>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</si>
  <si>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</si>
  <si>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</si>
  <si>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</si>
  <si>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</si>
  <si>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</si>
  <si>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</si>
  <si>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</si>
  <si>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</si>
  <si>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</si>
  <si>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</si>
  <si>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</si>
  <si>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</si>
  <si>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</si>
  <si>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</si>
  <si>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</si>
  <si>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</si>
  <si>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</si>
  <si>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</si>
  <si>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</si>
  <si>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</si>
  <si>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</si>
  <si>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</si>
  <si>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</si>
  <si>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</si>
  <si>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</si>
  <si>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</si>
  <si>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</si>
  <si>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</si>
  <si>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</si>
  <si>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</si>
  <si>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</si>
  <si>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</si>
  <si>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</si>
  <si>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</si>
  <si>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</si>
  <si>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</si>
  <si>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</si>
  <si>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</si>
  <si>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</si>
  <si>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</si>
  <si>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</si>
  <si>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</si>
  <si>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</si>
  <si>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</si>
  <si>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</si>
  <si>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</si>
  <si>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</si>
  <si>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</si>
  <si>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</si>
  <si>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</si>
  <si>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</si>
  <si>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</si>
  <si>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</si>
  <si>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</si>
  <si>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</si>
  <si>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</si>
  <si>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</si>
  <si>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</si>
  <si>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</si>
  <si>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</si>
  <si>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</si>
  <si>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</si>
  <si>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</si>
  <si>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</si>
  <si>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</si>
  <si>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</si>
  <si>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</si>
  <si>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</si>
  <si>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</si>
  <si>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</si>
  <si>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</si>
  <si>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</si>
  <si>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</si>
  <si>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</si>
  <si>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</si>
  <si>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</si>
  <si>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</si>
  <si>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</si>
  <si>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</si>
  <si>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</si>
  <si>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</si>
  <si>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</si>
  <si>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</si>
  <si>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</si>
  <si>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</si>
  <si>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</si>
  <si>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</si>
  <si>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</si>
  <si>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</si>
  <si>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</si>
  <si>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</si>
  <si>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</si>
  <si>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</si>
  <si>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</si>
  <si>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</si>
  <si>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</si>
  <si>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</si>
  <si>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</si>
  <si>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</si>
  <si>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</si>
  <si>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</si>
  <si>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</si>
  <si>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</si>
  <si>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</si>
  <si>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</si>
  <si>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</si>
  <si>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</si>
  <si>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</si>
  <si>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</si>
  <si>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</si>
  <si>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</si>
  <si>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</si>
  <si>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</si>
  <si>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</si>
  <si>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</si>
  <si>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</si>
  <si>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</si>
  <si>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</si>
  <si>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</si>
  <si>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</si>
  <si>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</si>
  <si>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</si>
  <si>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</si>
  <si>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</si>
  <si>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</si>
  <si>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</si>
  <si>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</si>
  <si>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</si>
  <si>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</si>
  <si>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</si>
  <si>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</si>
  <si>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</si>
  <si>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</si>
  <si>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</si>
  <si>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</si>
  <si>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</si>
  <si>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</si>
  <si>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</si>
  <si>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</si>
  <si>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</si>
  <si>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</si>
  <si>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</si>
  <si>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</si>
  <si>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</si>
  <si>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</si>
  <si>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</si>
  <si>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</si>
  <si>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</si>
  <si>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</si>
  <si>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</si>
  <si>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</si>
  <si>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</si>
  <si>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</si>
  <si>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</si>
  <si>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</si>
  <si>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</si>
  <si>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</si>
  <si>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</si>
  <si>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</si>
  <si>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</si>
  <si>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</si>
  <si>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</si>
  <si>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</si>
  <si>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</si>
  <si>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</si>
  <si>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A02RNLQ</t>
  </si>
  <si>
    <t>R 1800 W CAUSEWAY APPROACH RD</t>
  </si>
  <si>
    <t>2140PC</t>
  </si>
  <si>
    <t>PON2140PC</t>
  </si>
  <si>
    <t>F 110-2 BEAU RIVAGE DR</t>
  </si>
  <si>
    <t>F 130-2 BEAU RIVAGE DR</t>
  </si>
  <si>
    <t>F 150-2 BEAU RIVAGE DR</t>
  </si>
  <si>
    <t>F 170-2 BEAU RIVAGE DR</t>
  </si>
  <si>
    <t>F 190-2 BEAU RIVAGE DR</t>
  </si>
  <si>
    <t>F 210-2 BEAU RIVAGE DR</t>
  </si>
  <si>
    <t>F 230-2 BEAU RIVAGE DR</t>
  </si>
  <si>
    <t>F 5-2 RED CYPRESS CT</t>
  </si>
  <si>
    <t>F 280-2 BEAU RIVAGE DR</t>
  </si>
  <si>
    <t>F 300-2 BEAU RIVAGE DR</t>
  </si>
  <si>
    <t>F 320-2 BEAU RIVAGE DR</t>
  </si>
  <si>
    <t>F 210-2 LOTUS DR S</t>
  </si>
  <si>
    <t>F 230-2 LOTUS DR S</t>
  </si>
  <si>
    <t>F 250-2 LOTUS DR S</t>
  </si>
  <si>
    <t>F 270-2 LOTUS DR S</t>
  </si>
  <si>
    <t>F 290-2 LOTUS DR S</t>
  </si>
  <si>
    <t>F 235-2 MOSS LN</t>
  </si>
  <si>
    <t>F 235-2 GARDEN AVE</t>
  </si>
  <si>
    <t>F 255-2 GARDEN AVE</t>
  </si>
  <si>
    <t>F 295-2 GARDEN AVE</t>
  </si>
  <si>
    <t>F 275-2 GARDEN AVE</t>
  </si>
  <si>
    <t>F 420-2 HEAVENS DR</t>
  </si>
  <si>
    <t>F 412-2 HEAVENS DR</t>
  </si>
  <si>
    <t>F 406-2 HEAVENS DR</t>
  </si>
  <si>
    <t>F 280-2 AZALEA DR</t>
  </si>
  <si>
    <t>F 300-2 AZALEA DR</t>
  </si>
  <si>
    <t>F 340-2 AZALEA DR</t>
  </si>
  <si>
    <t>F 365-2 MOSS LN</t>
  </si>
  <si>
    <t>MNVLLAMA</t>
  </si>
  <si>
    <t>F 355-2 CAMELLIA LN</t>
  </si>
  <si>
    <t>F 250-2 BEAU RIVAGE DR</t>
  </si>
  <si>
    <t>F 14-2 RED CYPRESS CT</t>
  </si>
  <si>
    <t>F 225-2 SILVER MAPLE DR</t>
  </si>
  <si>
    <t>F 380-2 BEAU RIVAGE DR</t>
  </si>
  <si>
    <t>F 400-2 BEAU RIVAGE DR</t>
  </si>
  <si>
    <t>F 375-2 BEAU RIVAGE DR</t>
  </si>
  <si>
    <t>F 30-2 BERG CT</t>
  </si>
  <si>
    <t>F 315-2 GARDEN AVE</t>
  </si>
  <si>
    <t>OPP 315-2 HYACINTH LN</t>
  </si>
  <si>
    <t>F 375-2 GARDEN AVE</t>
  </si>
  <si>
    <t>F 417-2 VENUS DR</t>
  </si>
  <si>
    <t>F 409-2 VENUS DR</t>
  </si>
  <si>
    <t>F 260-2 AZALEA DR</t>
  </si>
  <si>
    <t>F 380-2 AZALEA DR</t>
  </si>
  <si>
    <t>F 390-2 AZALEA DR</t>
  </si>
  <si>
    <t>F 275-2 MOSS LN</t>
  </si>
  <si>
    <t>F 295-2 MOSS LN</t>
  </si>
  <si>
    <t>F 365-2 JASMINE DR</t>
  </si>
  <si>
    <t>F 345-2 JASMINE DR</t>
  </si>
  <si>
    <t>F 550-2 LOTUS DR N</t>
  </si>
  <si>
    <t>F 385-2 JASMINE DR</t>
  </si>
  <si>
    <t>F 450-2 LOTUS DR N</t>
  </si>
  <si>
    <t>F 240-2 BEAU RIVAGE DR</t>
  </si>
  <si>
    <t>F 9-2 RED CYPRESS CT</t>
  </si>
  <si>
    <t>F 13-2 RED CYPRESS CT</t>
  </si>
  <si>
    <t>F 16-2 RED CYPRESS CT</t>
  </si>
  <si>
    <t>F 245-2 SILVER MAPLE DR</t>
  </si>
  <si>
    <t>F 265-2 SILVER MAPLE DR</t>
  </si>
  <si>
    <t>F 325-2 LOTUS DR S</t>
  </si>
  <si>
    <t>OPP 330-2 LOTUS DR S</t>
  </si>
  <si>
    <t>OPP 350-2 LOTUS DR S</t>
  </si>
  <si>
    <t>F 330-2 BEAU RIVAGE DR</t>
  </si>
  <si>
    <t>F 350-2 BEAU RIVAGE DR</t>
  </si>
  <si>
    <t>F 35-2 BERG CT</t>
  </si>
  <si>
    <t>F 20-2 BERG CT</t>
  </si>
  <si>
    <t>F 245-2 MOSS LN</t>
  </si>
  <si>
    <t>F 335-2 GARDEN AVE</t>
  </si>
  <si>
    <t>OPP 340-2 GARDEN AVE</t>
  </si>
  <si>
    <t>F 375-2 LOTUS DR S</t>
  </si>
  <si>
    <t>F 390-2 GARDEN AVE</t>
  </si>
  <si>
    <t>F 355-2 GARDEN AVE</t>
  </si>
  <si>
    <t>F 395-2 GARDEN AVE</t>
  </si>
  <si>
    <t>F 399-2 GARDEN AVE</t>
  </si>
  <si>
    <t>F 425-2 GARDEN AVE</t>
  </si>
  <si>
    <t>F 541-2 GARDEN AVE</t>
  </si>
  <si>
    <t>F 561-2 GARDEN AVE</t>
  </si>
  <si>
    <t>F 430-2 DORADO DR</t>
  </si>
  <si>
    <t>F 510-2 DORADO DR</t>
  </si>
  <si>
    <t>F 530-2 DORADO DR</t>
  </si>
  <si>
    <t>F 404-2 VENUS DR</t>
  </si>
  <si>
    <t>F 310-2 AZALEA DR</t>
  </si>
  <si>
    <t>F 364-2 AZALEA DR</t>
  </si>
  <si>
    <t>F 398-2 AZALEA DR</t>
  </si>
  <si>
    <t>F 315-2 MOSS LN</t>
  </si>
  <si>
    <t>F 335-2 MOSS LN</t>
  </si>
  <si>
    <t>F 355-2 MOSS LN</t>
  </si>
  <si>
    <t>F 325-2 JASMINE DR</t>
  </si>
  <si>
    <t>F 315-2 JASMINE DR</t>
  </si>
  <si>
    <t>F 370-2 BEAU RIVAGE DR</t>
  </si>
  <si>
    <t>F 420-2 LOTUS DR N</t>
  </si>
  <si>
    <t>F 430-2 LOTUS DR N</t>
  </si>
  <si>
    <t>F 470-2 LOTUS DR N</t>
  </si>
  <si>
    <t>F 490-2 LOTUS DR N</t>
  </si>
  <si>
    <t>F 510-2 LOTUS DR N</t>
  </si>
  <si>
    <t>F 530-2 LOTUS DR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</si>
</sst>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70"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
      <sz val="16"/>
      <color rgb="FF222222"/>
      <name val="Arial"/>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9" fillId="23" borderId="40" xfId="12" applyFont="1" applyFill="1" applyProtection="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6" dataDxfId="1634" headerRowBorderDxfId="1635" tableBorderDxfId="1633" totalsRowBorderDxfId="1632">
  <autoFilter ref="A1:AP499" xr:uid="{00000000-0009-0000-0100-000003000000}"/>
  <tableColumns count="42">
    <tableColumn id="1" xr3:uid="{00000000-0010-0000-0000-000001000000}" name="DWG#" dataDxfId="1631"/>
    <tableColumn id="61" xr3:uid="{00000000-0010-0000-0000-00003D000000}" name="10x15 HH" dataDxfId="1630"/>
    <tableColumn id="9" xr3:uid="{00000000-0010-0000-0000-000009000000}" name="IDUCT 1" dataDxfId="1629"/>
    <tableColumn id="10" xr3:uid="{00000000-0010-0000-0000-00000A000000}" name="IDUCT 2" dataDxfId="1628"/>
    <tableColumn id="11" xr3:uid="{00000000-0010-0000-0000-00000B000000}" name="IDUCT 3" dataDxfId="1627"/>
    <tableColumn id="12" xr3:uid="{00000000-0010-0000-0000-00000C000000}" name="IDUCT 4" dataDxfId="1626"/>
    <tableColumn id="13" xr3:uid="{00000000-0010-0000-0000-00000D000000}" name="IDUCT 5" dataDxfId="1625"/>
    <tableColumn id="14" xr3:uid="{00000000-0010-0000-0000-00000E000000}" name="IDUCT 6" dataDxfId="1624"/>
    <tableColumn id="15" xr3:uid="{00000000-0010-0000-0000-00000F000000}" name="IDUCT 7" dataDxfId="1623"/>
    <tableColumn id="16" xr3:uid="{00000000-0010-0000-0000-000010000000}" name="IDUCT 8" dataDxfId="1622"/>
    <tableColumn id="17" xr3:uid="{00000000-0010-0000-0000-000011000000}" name="IDUCT 9" dataDxfId="1621"/>
    <tableColumn id="18" xr3:uid="{00000000-0010-0000-0000-000012000000}" name="IDUCT 10" dataDxfId="1620"/>
    <tableColumn id="19" xr3:uid="{00000000-0010-0000-0000-000013000000}" name="IDUCT 11" dataDxfId="1619"/>
    <tableColumn id="20" xr3:uid="{00000000-0010-0000-0000-000014000000}" name="IDUCT 12" dataDxfId="1618"/>
    <tableColumn id="21" xr3:uid="{00000000-0010-0000-0000-000015000000}" name="IDUCT 13" dataDxfId="1617"/>
    <tableColumn id="22" xr3:uid="{00000000-0010-0000-0000-000016000000}" name="IDUCT 14" dataDxfId="1616"/>
    <tableColumn id="23" xr3:uid="{00000000-0010-0000-0000-000017000000}" name="IDUCT 15" dataDxfId="1615"/>
    <tableColumn id="24" xr3:uid="{00000000-0010-0000-0000-000018000000}" name="IDUCT 16" dataDxfId="1614"/>
    <tableColumn id="25" xr3:uid="{00000000-0010-0000-0000-000019000000}" name="IDUCT 17" dataDxfId="1613"/>
    <tableColumn id="26" xr3:uid="{00000000-0010-0000-0000-00001A000000}" name="IDUCT 18" dataDxfId="1612"/>
    <tableColumn id="27" xr3:uid="{00000000-0010-0000-0000-00001B000000}" name="IDUCT 19" dataDxfId="1611"/>
    <tableColumn id="28" xr3:uid="{00000000-0010-0000-0000-00001C000000}" name="IDUCT 20" dataDxfId="1610"/>
    <tableColumn id="29" xr3:uid="{00000000-0010-0000-0000-00001D000000}" name="Pullback IDUCT 1" dataDxfId="1609"/>
    <tableColumn id="30" xr3:uid="{00000000-0010-0000-0000-00001E000000}" name="Pullback IDUCT 2" dataDxfId="1608"/>
    <tableColumn id="31" xr3:uid="{00000000-0010-0000-0000-00001F000000}" name="Pullback IDUCT 3" dataDxfId="1607"/>
    <tableColumn id="32" xr3:uid="{00000000-0010-0000-0000-000020000000}" name="Pullback IDUCT 4" dataDxfId="1606"/>
    <tableColumn id="33" xr3:uid="{00000000-0010-0000-0000-000021000000}" name="Pullback IDUCT 5" dataDxfId="1605"/>
    <tableColumn id="34" xr3:uid="{00000000-0010-0000-0000-000022000000}" name="Pullback IDUCT 6" dataDxfId="1604"/>
    <tableColumn id="35" xr3:uid="{00000000-0010-0000-0000-000023000000}" name="Pullback IDUCT 7" dataDxfId="1603"/>
    <tableColumn id="36" xr3:uid="{00000000-0010-0000-0000-000024000000}" name="Pullback IDUCT 8" dataDxfId="1602"/>
    <tableColumn id="37" xr3:uid="{00000000-0010-0000-0000-000025000000}" name="Pullback IDUCT 9" dataDxfId="1601"/>
    <tableColumn id="38" xr3:uid="{00000000-0010-0000-0000-000026000000}" name="Pullback IDUCT 10" dataDxfId="1600"/>
    <tableColumn id="49" xr3:uid="{00000000-0010-0000-0000-000031000000}" name="ROD Duct 1" dataDxfId="1599"/>
    <tableColumn id="50" xr3:uid="{00000000-0010-0000-0000-000032000000}" name="ROD Duct 2" dataDxfId="1598"/>
    <tableColumn id="51" xr3:uid="{00000000-0010-0000-0000-000033000000}" name="ROD Duct 3" dataDxfId="1597"/>
    <tableColumn id="52" xr3:uid="{00000000-0010-0000-0000-000034000000}" name="ROD Duct 4" dataDxfId="1596"/>
    <tableColumn id="53" xr3:uid="{00000000-0010-0000-0000-000035000000}" name="ROD Duct 5" dataDxfId="1595"/>
    <tableColumn id="54" xr3:uid="{00000000-0010-0000-0000-000036000000}" name="ROD Duct 6" dataDxfId="1594"/>
    <tableColumn id="55" xr3:uid="{00000000-0010-0000-0000-000037000000}" name="ROD Duct 7" dataDxfId="1593"/>
    <tableColumn id="56" xr3:uid="{00000000-0010-0000-0000-000038000000}" name="ROD Duct 8" dataDxfId="1592"/>
    <tableColumn id="57" xr3:uid="{00000000-0010-0000-0000-000039000000}" name="ROD Duct 9" dataDxfId="1591"/>
    <tableColumn id="58" xr3:uid="{00000000-0010-0000-0000-00003A000000}" name="ROD Duct 10" dataDxfId="159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N6" sqref="N6"/>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110-2 BEAU RIVAGE DR</v>
      </c>
      <c r="B1" s="118"/>
      <c r="C1" s="118"/>
      <c r="D1" s="118"/>
      <c r="E1" s="118"/>
      <c r="G1" t="str">
        <f>IF('Assignment Tool'!C1="","",IF('Assignment Tool'!C1="FST",'Assignment Tool'!D1,""))</f>
        <v/>
      </c>
      <c r="H1">
        <v>1</v>
      </c>
      <c r="I1">
        <v>1</v>
      </c>
      <c r="J1" t="str">
        <f t="array" ref="J1">IFERROR(INDEX($G$2:$G$2050,_xlfn.AGGREGATE(15,6,(ROW($G$2:$G$2050)-ROW($G$2)+1)/($G$2:$G$2050&lt;&gt;""),ROWS(J$1:J1))),"")</f>
        <v>F 110-2 BEAU RIVAGE DR</v>
      </c>
      <c r="K1">
        <f>IF(J1="","",INDEX('Assignment Tool'!E17:E2050,MATCH(FA_DATA!J1,'Assignment Tool'!D17:D2050,0)))</f>
        <v>4</v>
      </c>
    </row>
    <row r="2" spans="1:11" x14ac:dyDescent="0.25">
      <c r="A2" s="118" t="str">
        <f t="shared" ref="A2:A65" si="0">VLOOKUP(H2,$I$1:$J$1000,2)</f>
        <v>F 110-2 BEAU RIVAGE DR</v>
      </c>
      <c r="G2" t="str">
        <f>IF('Assignment Tool'!C2="","",IF('Assignment Tool'!C2="FST",'Assignment Tool'!D2,""))</f>
        <v/>
      </c>
      <c r="H2">
        <v>2</v>
      </c>
      <c r="I2">
        <f>IFERROR((I1+K1),"")</f>
        <v>5</v>
      </c>
      <c r="J2" t="str">
        <f t="array" ref="J2">IFERROR(INDEX($G$2:$G$2050,_xlfn.AGGREGATE(15,6,(ROW($G$2:$G$2050)-ROW($G$2)+1)/($G$2:$G$2050&lt;&gt;""),ROWS(J$1:J2))),"")</f>
        <v>F 130-2 BEAU RIVAGE DR</v>
      </c>
      <c r="K2">
        <f>IF(J2="","",INDEX('Assignment Tool'!E18:E2051,MATCH(FA_DATA!J2,'Assignment Tool'!D18:D2051,0)))</f>
        <v>4</v>
      </c>
    </row>
    <row r="3" spans="1:11" x14ac:dyDescent="0.25">
      <c r="A3" s="118" t="str">
        <f t="shared" si="0"/>
        <v>F 110-2 BEAU RIVAGE DR</v>
      </c>
      <c r="G3" t="str">
        <f>IF('Assignment Tool'!C3="","",IF('Assignment Tool'!C3="FST",'Assignment Tool'!D3,""))</f>
        <v/>
      </c>
      <c r="H3">
        <v>3</v>
      </c>
      <c r="I3">
        <f t="shared" ref="I3:I66" si="1">IFERROR((I2+K2),"")</f>
        <v>9</v>
      </c>
      <c r="J3" t="str">
        <f t="array" ref="J3">IFERROR(INDEX($G$2:$G$2050,_xlfn.AGGREGATE(15,6,(ROW($G$2:$G$2050)-ROW($G$2)+1)/($G$2:$G$2050&lt;&gt;""),ROWS(J$1:J3))),"")</f>
        <v>F 150-2 BEAU RIVAGE DR</v>
      </c>
      <c r="K3">
        <f>IF(J3="","",INDEX('Assignment Tool'!E19:E2052,MATCH(FA_DATA!J3,'Assignment Tool'!D19:D2052,0)))</f>
        <v>4</v>
      </c>
    </row>
    <row r="4" spans="1:11" x14ac:dyDescent="0.25">
      <c r="A4" s="118" t="str">
        <f t="shared" si="0"/>
        <v>F 110-2 BEAU RIVAGE DR</v>
      </c>
      <c r="G4" t="str">
        <f>IF('Assignment Tool'!C4="","",IF('Assignment Tool'!C4="FST",'Assignment Tool'!D4,""))</f>
        <v/>
      </c>
      <c r="H4">
        <v>4</v>
      </c>
      <c r="I4">
        <f t="shared" si="1"/>
        <v>13</v>
      </c>
      <c r="J4" t="str">
        <f t="array" ref="J4">IFERROR(INDEX($G$2:$G$2050,_xlfn.AGGREGATE(15,6,(ROW($G$2:$G$2050)-ROW($G$2)+1)/($G$2:$G$2050&lt;&gt;""),ROWS(J$1:J4))),"")</f>
        <v>F 170-2 BEAU RIVAGE DR</v>
      </c>
      <c r="K4">
        <f>IF(J4="","",INDEX('Assignment Tool'!E20:E2053,MATCH(FA_DATA!J4,'Assignment Tool'!D20:D2053,0)))</f>
        <v>4</v>
      </c>
    </row>
    <row r="5" spans="1:11" x14ac:dyDescent="0.25">
      <c r="A5" s="118" t="str">
        <f t="shared" si="0"/>
        <v>F 130-2 BEAU RIVAGE DR</v>
      </c>
      <c r="G5" t="str">
        <f>IF('Assignment Tool'!C5="","",IF('Assignment Tool'!C5="FST",'Assignment Tool'!D5,""))</f>
        <v/>
      </c>
      <c r="H5">
        <v>5</v>
      </c>
      <c r="I5">
        <f t="shared" si="1"/>
        <v>17</v>
      </c>
      <c r="J5" t="str">
        <f t="array" ref="J5">IFERROR(INDEX($G$2:$G$2050,_xlfn.AGGREGATE(15,6,(ROW($G$2:$G$2050)-ROW($G$2)+1)/($G$2:$G$2050&lt;&gt;""),ROWS(J$1:J5))),"")</f>
        <v>F 190-2 BEAU RIVAGE DR</v>
      </c>
      <c r="K5">
        <f>IF(J5="","",INDEX('Assignment Tool'!E21:E2054,MATCH(FA_DATA!J5,'Assignment Tool'!D21:D2054,0)))</f>
        <v>4</v>
      </c>
    </row>
    <row r="6" spans="1:11" x14ac:dyDescent="0.25">
      <c r="A6" s="118" t="str">
        <f t="shared" si="0"/>
        <v>F 130-2 BEAU RIVAGE DR</v>
      </c>
      <c r="G6" t="str">
        <f>IF('Assignment Tool'!C6="","",IF('Assignment Tool'!C6="FST",'Assignment Tool'!D6,""))</f>
        <v/>
      </c>
      <c r="H6">
        <v>6</v>
      </c>
      <c r="I6">
        <f t="shared" si="1"/>
        <v>21</v>
      </c>
      <c r="J6" t="str">
        <f t="array" ref="J6">IFERROR(INDEX($G$2:$G$2050,_xlfn.AGGREGATE(15,6,(ROW($G$2:$G$2050)-ROW($G$2)+1)/($G$2:$G$2050&lt;&gt;""),ROWS(J$1:J6))),"")</f>
        <v>F 210-2 BEAU RIVAGE DR</v>
      </c>
      <c r="K6">
        <f>IF(J6="","",INDEX('Assignment Tool'!E22:E2055,MATCH(FA_DATA!J6,'Assignment Tool'!D22:D2055,0)))</f>
        <v>4</v>
      </c>
    </row>
    <row r="7" spans="1:11" x14ac:dyDescent="0.25">
      <c r="A7" s="118" t="str">
        <f t="shared" si="0"/>
        <v>F 130-2 BEAU RIVAGE DR</v>
      </c>
      <c r="G7" t="str">
        <f>IF('Assignment Tool'!C7="","",IF('Assignment Tool'!C7="FST",'Assignment Tool'!D7,""))</f>
        <v/>
      </c>
      <c r="H7">
        <v>7</v>
      </c>
      <c r="I7">
        <f t="shared" si="1"/>
        <v>25</v>
      </c>
      <c r="J7" t="str">
        <f t="array" ref="J7">IFERROR(INDEX($G$2:$G$2050,_xlfn.AGGREGATE(15,6,(ROW($G$2:$G$2050)-ROW($G$2)+1)/($G$2:$G$2050&lt;&gt;""),ROWS(J$1:J7))),"")</f>
        <v>F 230-2 BEAU RIVAGE DR</v>
      </c>
      <c r="K7">
        <f>IF(J7="","",INDEX('Assignment Tool'!E23:E2056,MATCH(FA_DATA!J7,'Assignment Tool'!D23:D2056,0)))</f>
        <v>4</v>
      </c>
    </row>
    <row r="8" spans="1:11" x14ac:dyDescent="0.25">
      <c r="A8" s="118" t="str">
        <f t="shared" si="0"/>
        <v>F 130-2 BEAU RIVAGE DR</v>
      </c>
      <c r="G8" t="str">
        <f>IF('Assignment Tool'!C8="","",IF('Assignment Tool'!C8="FST",'Assignment Tool'!D8,""))</f>
        <v/>
      </c>
      <c r="H8">
        <v>8</v>
      </c>
      <c r="I8">
        <f t="shared" si="1"/>
        <v>29</v>
      </c>
      <c r="J8" t="str">
        <f t="array" ref="J8">IFERROR(INDEX($G$2:$G$2050,_xlfn.AGGREGATE(15,6,(ROW($G$2:$G$2050)-ROW($G$2)+1)/($G$2:$G$2050&lt;&gt;""),ROWS(J$1:J8))),"")</f>
        <v>F 240-2 BEAU RIVAGE DR</v>
      </c>
      <c r="K8">
        <f>IF(J8="","",INDEX('Assignment Tool'!E24:E2057,MATCH(FA_DATA!J8,'Assignment Tool'!D24:D2057,0)))</f>
        <v>4</v>
      </c>
    </row>
    <row r="9" spans="1:11" x14ac:dyDescent="0.25">
      <c r="A9" s="118" t="str">
        <f t="shared" si="0"/>
        <v>F 150-2 BEAU RIVAGE DR</v>
      </c>
      <c r="G9" t="str">
        <f>IF('Assignment Tool'!C9="","",IF('Assignment Tool'!C9="FST",'Assignment Tool'!D9,""))</f>
        <v/>
      </c>
      <c r="H9">
        <v>9</v>
      </c>
      <c r="I9">
        <f t="shared" si="1"/>
        <v>33</v>
      </c>
      <c r="J9" t="str">
        <f t="array" ref="J9">IFERROR(INDEX($G$2:$G$2050,_xlfn.AGGREGATE(15,6,(ROW($G$2:$G$2050)-ROW($G$2)+1)/($G$2:$G$2050&lt;&gt;""),ROWS(J$1:J9))),"")</f>
        <v>F 250-2 BEAU RIVAGE DR</v>
      </c>
      <c r="K9">
        <f>IF(J9="","",INDEX('Assignment Tool'!E25:E2058,MATCH(FA_DATA!J9,'Assignment Tool'!D25:D2058,0)))</f>
        <v>4</v>
      </c>
    </row>
    <row r="10" spans="1:11" x14ac:dyDescent="0.25">
      <c r="A10" s="118" t="str">
        <f t="shared" si="0"/>
        <v>F 150-2 BEAU RIVAGE DR</v>
      </c>
      <c r="G10" t="str">
        <f>IF('Assignment Tool'!C10="","",IF('Assignment Tool'!C10="FST",'Assignment Tool'!D10,""))</f>
        <v/>
      </c>
      <c r="H10">
        <v>10</v>
      </c>
      <c r="I10">
        <f t="shared" si="1"/>
        <v>37</v>
      </c>
      <c r="J10" t="str">
        <f t="array" ref="J10">IFERROR(INDEX($G$2:$G$2050,_xlfn.AGGREGATE(15,6,(ROW($G$2:$G$2050)-ROW($G$2)+1)/($G$2:$G$2050&lt;&gt;""),ROWS(J$1:J10))),"")</f>
        <v>F 5-2 RED CYPRESS CT</v>
      </c>
      <c r="K10">
        <f>IF(J10="","",INDEX('Assignment Tool'!E26:E2059,MATCH(FA_DATA!J10,'Assignment Tool'!D26:D2059,0)))</f>
        <v>4</v>
      </c>
    </row>
    <row r="11" spans="1:11" x14ac:dyDescent="0.25">
      <c r="A11" s="118" t="str">
        <f t="shared" si="0"/>
        <v>F 150-2 BEAU RIVAGE DR</v>
      </c>
      <c r="G11" t="str">
        <f>IF('Assignment Tool'!C11="","",IF('Assignment Tool'!C11="FST",'Assignment Tool'!D11,""))</f>
        <v/>
      </c>
      <c r="H11">
        <v>11</v>
      </c>
      <c r="I11">
        <f t="shared" si="1"/>
        <v>41</v>
      </c>
      <c r="J11" t="str">
        <f t="array" ref="J11">IFERROR(INDEX($G$2:$G$2050,_xlfn.AGGREGATE(15,6,(ROW($G$2:$G$2050)-ROW($G$2)+1)/($G$2:$G$2050&lt;&gt;""),ROWS(J$1:J11))),"")</f>
        <v>F 9-2 RED CYPRESS CT</v>
      </c>
      <c r="K11">
        <f>IF(J11="","",INDEX('Assignment Tool'!E27:E2060,MATCH(FA_DATA!J11,'Assignment Tool'!D27:D2060,0)))</f>
        <v>4</v>
      </c>
    </row>
    <row r="12" spans="1:11" x14ac:dyDescent="0.25">
      <c r="A12" s="118" t="str">
        <f t="shared" si="0"/>
        <v>F 150-2 BEAU RIVAGE DR</v>
      </c>
      <c r="G12" t="str">
        <f>IF('Assignment Tool'!C12="","",IF('Assignment Tool'!C12="FST",'Assignment Tool'!D12,""))</f>
        <v/>
      </c>
      <c r="H12">
        <v>12</v>
      </c>
      <c r="I12">
        <f t="shared" si="1"/>
        <v>45</v>
      </c>
      <c r="J12" t="str">
        <f t="array" ref="J12">IFERROR(INDEX($G$2:$G$2050,_xlfn.AGGREGATE(15,6,(ROW($G$2:$G$2050)-ROW($G$2)+1)/($G$2:$G$2050&lt;&gt;""),ROWS(J$1:J12))),"")</f>
        <v>F 13-2 RED CYPRESS CT</v>
      </c>
      <c r="K12">
        <f>IF(J12="","",INDEX('Assignment Tool'!E28:E2061,MATCH(FA_DATA!J12,'Assignment Tool'!D28:D2061,0)))</f>
        <v>8</v>
      </c>
    </row>
    <row r="13" spans="1:11" x14ac:dyDescent="0.25">
      <c r="A13" s="118" t="str">
        <f t="shared" si="0"/>
        <v>F 170-2 BEAU RIVAGE DR</v>
      </c>
      <c r="G13" t="str">
        <f>IF('Assignment Tool'!C13="","",IF('Assignment Tool'!C13="FST",'Assignment Tool'!D13,""))</f>
        <v/>
      </c>
      <c r="H13">
        <v>13</v>
      </c>
      <c r="I13">
        <f t="shared" si="1"/>
        <v>53</v>
      </c>
      <c r="J13" t="str">
        <f t="array" ref="J13">IFERROR(INDEX($G$2:$G$2050,_xlfn.AGGREGATE(15,6,(ROW($G$2:$G$2050)-ROW($G$2)+1)/($G$2:$G$2050&lt;&gt;""),ROWS(J$1:J13))),"")</f>
        <v>F 16-2 RED CYPRESS CT</v>
      </c>
      <c r="K13">
        <f>IF(J13="","",INDEX('Assignment Tool'!E29:E2062,MATCH(FA_DATA!J13,'Assignment Tool'!D29:D2062,0)))</f>
        <v>4</v>
      </c>
    </row>
    <row r="14" spans="1:11" x14ac:dyDescent="0.25">
      <c r="A14" s="118" t="str">
        <f t="shared" si="0"/>
        <v>F 170-2 BEAU RIVAGE DR</v>
      </c>
      <c r="G14" t="str">
        <f>IF('Assignment Tool'!C14="","",IF('Assignment Tool'!C14="FST",'Assignment Tool'!D14,""))</f>
        <v/>
      </c>
      <c r="H14">
        <v>14</v>
      </c>
      <c r="I14">
        <f t="shared" si="1"/>
        <v>57</v>
      </c>
      <c r="J14" t="str">
        <f t="array" ref="J14">IFERROR(INDEX($G$2:$G$2050,_xlfn.AGGREGATE(15,6,(ROW($G$2:$G$2050)-ROW($G$2)+1)/($G$2:$G$2050&lt;&gt;""),ROWS(J$1:J14))),"")</f>
        <v>F 14-2 RED CYPRESS CT</v>
      </c>
      <c r="K14">
        <f>IF(J14="","",INDEX('Assignment Tool'!E30:E2063,MATCH(FA_DATA!J14,'Assignment Tool'!D30:D2063,0)))</f>
        <v>4</v>
      </c>
    </row>
    <row r="15" spans="1:11" x14ac:dyDescent="0.25">
      <c r="A15" s="118" t="str">
        <f t="shared" si="0"/>
        <v>F 170-2 BEAU RIVAGE DR</v>
      </c>
      <c r="G15" t="str">
        <f>IF('Assignment Tool'!C15="","",IF('Assignment Tool'!C15="FST",'Assignment Tool'!D15,""))</f>
        <v/>
      </c>
      <c r="H15">
        <v>15</v>
      </c>
      <c r="I15">
        <f t="shared" si="1"/>
        <v>61</v>
      </c>
      <c r="J15" t="str">
        <f t="array" ref="J15">IFERROR(INDEX($G$2:$G$2050,_xlfn.AGGREGATE(15,6,(ROW($G$2:$G$2050)-ROW($G$2)+1)/($G$2:$G$2050&lt;&gt;""),ROWS(J$1:J15))),"")</f>
        <v>F 225-2 SILVER MAPLE DR</v>
      </c>
      <c r="K15">
        <f>IF(J15="","",INDEX('Assignment Tool'!E31:E2064,MATCH(FA_DATA!J15,'Assignment Tool'!D31:D2064,0)))</f>
        <v>4</v>
      </c>
    </row>
    <row r="16" spans="1:11" x14ac:dyDescent="0.25">
      <c r="A16" s="118" t="str">
        <f t="shared" si="0"/>
        <v>F 170-2 BEAU RIVAGE DR</v>
      </c>
      <c r="G16" t="str">
        <f>IF('Assignment Tool'!C16="","",IF('Assignment Tool'!C16="FST",'Assignment Tool'!D16,""))</f>
        <v/>
      </c>
      <c r="H16">
        <v>16</v>
      </c>
      <c r="I16">
        <f t="shared" si="1"/>
        <v>65</v>
      </c>
      <c r="J16" t="str">
        <f t="array" ref="J16">IFERROR(INDEX($G$2:$G$2050,_xlfn.AGGREGATE(15,6,(ROW($G$2:$G$2050)-ROW($G$2)+1)/($G$2:$G$2050&lt;&gt;""),ROWS(J$1:J16))),"")</f>
        <v>F 245-2 SILVER MAPLE DR</v>
      </c>
      <c r="K16">
        <f>IF(J16="","",INDEX('Assignment Tool'!E32:E2065,MATCH(FA_DATA!J16,'Assignment Tool'!D32:D2065,0)))</f>
        <v>4</v>
      </c>
    </row>
    <row r="17" spans="1:11" x14ac:dyDescent="0.25">
      <c r="A17" s="118" t="str">
        <f t="shared" si="0"/>
        <v>F 190-2 BEAU RIVAGE DR</v>
      </c>
      <c r="G17" t="str">
        <f>IF('Assignment Tool'!C17="","",IF('Assignment Tool'!C17="FST",'Assignment Tool'!D17,""))</f>
        <v>F 110-2 BEAU RIVAGE DR</v>
      </c>
      <c r="H17">
        <v>17</v>
      </c>
      <c r="I17">
        <f t="shared" si="1"/>
        <v>69</v>
      </c>
      <c r="J17" t="str">
        <f t="array" ref="J17">IFERROR(INDEX($G$2:$G$2050,_xlfn.AGGREGATE(15,6,(ROW($G$2:$G$2050)-ROW($G$2)+1)/($G$2:$G$2050&lt;&gt;""),ROWS(J$1:J17))),"")</f>
        <v>F 265-2 SILVER MAPLE DR</v>
      </c>
      <c r="K17">
        <f>IF(J17="","",INDEX('Assignment Tool'!E33:E2066,MATCH(FA_DATA!J17,'Assignment Tool'!D33:D2066,0)))</f>
        <v>4</v>
      </c>
    </row>
    <row r="18" spans="1:11" x14ac:dyDescent="0.25">
      <c r="A18" s="118" t="str">
        <f t="shared" si="0"/>
        <v>F 190-2 BEAU RIVAGE DR</v>
      </c>
      <c r="G18" t="str">
        <f>IF('Assignment Tool'!C18="","",IF('Assignment Tool'!C18="FST",'Assignment Tool'!D18,""))</f>
        <v>F 130-2 BEAU RIVAGE DR</v>
      </c>
      <c r="H18">
        <v>18</v>
      </c>
      <c r="I18">
        <f t="shared" si="1"/>
        <v>73</v>
      </c>
      <c r="J18" t="str">
        <f t="array" ref="J18">IFERROR(INDEX($G$2:$G$2050,_xlfn.AGGREGATE(15,6,(ROW($G$2:$G$2050)-ROW($G$2)+1)/($G$2:$G$2050&lt;&gt;""),ROWS(J$1:J18))),"")</f>
        <v>F 325-2 LOTUS DR S</v>
      </c>
      <c r="K18">
        <f>IF(J18="","",INDEX('Assignment Tool'!E34:E2067,MATCH(FA_DATA!J18,'Assignment Tool'!D34:D2067,0)))</f>
        <v>4</v>
      </c>
    </row>
    <row r="19" spans="1:11" x14ac:dyDescent="0.25">
      <c r="A19" s="118" t="str">
        <f t="shared" si="0"/>
        <v>F 190-2 BEAU RIVAGE DR</v>
      </c>
      <c r="G19" t="str">
        <f>IF('Assignment Tool'!C19="","",IF('Assignment Tool'!C19="FST",'Assignment Tool'!D19,""))</f>
        <v>F 150-2 BEAU RIVAGE DR</v>
      </c>
      <c r="H19">
        <v>19</v>
      </c>
      <c r="I19">
        <f t="shared" si="1"/>
        <v>77</v>
      </c>
      <c r="J19" t="str">
        <f t="array" ref="J19">IFERROR(INDEX($G$2:$G$2050,_xlfn.AGGREGATE(15,6,(ROW($G$2:$G$2050)-ROW($G$2)+1)/($G$2:$G$2050&lt;&gt;""),ROWS(J$1:J19))),"")</f>
        <v>OPP 330-2 LOTUS DR S</v>
      </c>
      <c r="K19">
        <f>IF(J19="","",INDEX('Assignment Tool'!E35:E2068,MATCH(FA_DATA!J19,'Assignment Tool'!D35:D2068,0)))</f>
        <v>4</v>
      </c>
    </row>
    <row r="20" spans="1:11" x14ac:dyDescent="0.25">
      <c r="A20" s="118" t="str">
        <f t="shared" si="0"/>
        <v>F 190-2 BEAU RIVAGE DR</v>
      </c>
      <c r="G20" t="str">
        <f>IF('Assignment Tool'!C20="","",IF('Assignment Tool'!C20="FST",'Assignment Tool'!D20,""))</f>
        <v>F 170-2 BEAU RIVAGE DR</v>
      </c>
      <c r="H20">
        <v>20</v>
      </c>
      <c r="I20">
        <f t="shared" si="1"/>
        <v>81</v>
      </c>
      <c r="J20" t="str">
        <f t="array" ref="J20">IFERROR(INDEX($G$2:$G$2050,_xlfn.AGGREGATE(15,6,(ROW($G$2:$G$2050)-ROW($G$2)+1)/($G$2:$G$2050&lt;&gt;""),ROWS(J$1:J20))),"")</f>
        <v>OPP 350-2 LOTUS DR S</v>
      </c>
      <c r="K20">
        <f>IF(J20="","",INDEX('Assignment Tool'!E36:E2069,MATCH(FA_DATA!J20,'Assignment Tool'!D36:D2069,0)))</f>
        <v>4</v>
      </c>
    </row>
    <row r="21" spans="1:11" x14ac:dyDescent="0.25">
      <c r="A21" s="118" t="str">
        <f t="shared" si="0"/>
        <v>F 210-2 BEAU RIVAGE DR</v>
      </c>
      <c r="G21" t="str">
        <f>IF('Assignment Tool'!C21="","",IF('Assignment Tool'!C21="FST",'Assignment Tool'!D21,""))</f>
        <v>F 190-2 BEAU RIVAGE DR</v>
      </c>
      <c r="H21">
        <v>21</v>
      </c>
      <c r="I21">
        <f t="shared" si="1"/>
        <v>85</v>
      </c>
      <c r="J21" t="str">
        <f t="array" ref="J21">IFERROR(INDEX($G$2:$G$2050,_xlfn.AGGREGATE(15,6,(ROW($G$2:$G$2050)-ROW($G$2)+1)/($G$2:$G$2050&lt;&gt;""),ROWS(J$1:J21))),"")</f>
        <v>F 280-2 BEAU RIVAGE DR</v>
      </c>
      <c r="K21">
        <f>IF(J21="","",INDEX('Assignment Tool'!E37:E2070,MATCH(FA_DATA!J21,'Assignment Tool'!D37:D2070,0)))</f>
        <v>4</v>
      </c>
    </row>
    <row r="22" spans="1:11" x14ac:dyDescent="0.25">
      <c r="A22" s="118" t="str">
        <f t="shared" si="0"/>
        <v>F 210-2 BEAU RIVAGE DR</v>
      </c>
      <c r="G22" t="str">
        <f>IF('Assignment Tool'!C22="","",IF('Assignment Tool'!C22="FST",'Assignment Tool'!D22,""))</f>
        <v>F 210-2 BEAU RIVAGE DR</v>
      </c>
      <c r="H22">
        <v>22</v>
      </c>
      <c r="I22">
        <f t="shared" si="1"/>
        <v>89</v>
      </c>
      <c r="J22" t="str">
        <f t="array" ref="J22">IFERROR(INDEX($G$2:$G$2050,_xlfn.AGGREGATE(15,6,(ROW($G$2:$G$2050)-ROW($G$2)+1)/($G$2:$G$2050&lt;&gt;""),ROWS(J$1:J22))),"")</f>
        <v>F 300-2 BEAU RIVAGE DR</v>
      </c>
      <c r="K22">
        <f>IF(J22="","",INDEX('Assignment Tool'!E38:E2071,MATCH(FA_DATA!J22,'Assignment Tool'!D38:D2071,0)))</f>
        <v>8</v>
      </c>
    </row>
    <row r="23" spans="1:11" x14ac:dyDescent="0.25">
      <c r="A23" s="118" t="str">
        <f t="shared" si="0"/>
        <v>F 210-2 BEAU RIVAGE DR</v>
      </c>
      <c r="G23" t="str">
        <f>IF('Assignment Tool'!C23="","",IF('Assignment Tool'!C23="FST",'Assignment Tool'!D23,""))</f>
        <v/>
      </c>
      <c r="H23">
        <v>23</v>
      </c>
      <c r="I23">
        <f t="shared" si="1"/>
        <v>97</v>
      </c>
      <c r="J23" t="str">
        <f t="array" ref="J23">IFERROR(INDEX($G$2:$G$2050,_xlfn.AGGREGATE(15,6,(ROW($G$2:$G$2050)-ROW($G$2)+1)/($G$2:$G$2050&lt;&gt;""),ROWS(J$1:J23))),"")</f>
        <v>F 320-2 BEAU RIVAGE DR</v>
      </c>
      <c r="K23">
        <f>IF(J23="","",INDEX('Assignment Tool'!E39:E2072,MATCH(FA_DATA!J23,'Assignment Tool'!D39:D2072,0)))</f>
        <v>4</v>
      </c>
    </row>
    <row r="24" spans="1:11" x14ac:dyDescent="0.25">
      <c r="A24" s="118" t="str">
        <f t="shared" si="0"/>
        <v>F 210-2 BEAU RIVAGE DR</v>
      </c>
      <c r="G24" t="str">
        <f>IF('Assignment Tool'!C24="","",IF('Assignment Tool'!C24="FST",'Assignment Tool'!D24,""))</f>
        <v/>
      </c>
      <c r="H24">
        <v>24</v>
      </c>
      <c r="I24">
        <f t="shared" si="1"/>
        <v>101</v>
      </c>
      <c r="J24" t="str">
        <f t="array" ref="J24">IFERROR(INDEX($G$2:$G$2050,_xlfn.AGGREGATE(15,6,(ROW($G$2:$G$2050)-ROW($G$2)+1)/($G$2:$G$2050&lt;&gt;""),ROWS(J$1:J24))),"")</f>
        <v>F 330-2 BEAU RIVAGE DR</v>
      </c>
      <c r="K24">
        <f>IF(J24="","",INDEX('Assignment Tool'!E40:E2073,MATCH(FA_DATA!J24,'Assignment Tool'!D40:D2073,0)))</f>
        <v>4</v>
      </c>
    </row>
    <row r="25" spans="1:11" x14ac:dyDescent="0.25">
      <c r="A25" s="118" t="str">
        <f t="shared" si="0"/>
        <v>F 230-2 BEAU RIVAGE DR</v>
      </c>
      <c r="G25" t="str">
        <f>IF('Assignment Tool'!C25="","",IF('Assignment Tool'!C25="FST",'Assignment Tool'!D25,""))</f>
        <v>F 230-2 BEAU RIVAGE DR</v>
      </c>
      <c r="H25">
        <v>25</v>
      </c>
      <c r="I25">
        <f t="shared" si="1"/>
        <v>105</v>
      </c>
      <c r="J25" t="str">
        <f t="array" ref="J25">IFERROR(INDEX($G$2:$G$2050,_xlfn.AGGREGATE(15,6,(ROW($G$2:$G$2050)-ROW($G$2)+1)/($G$2:$G$2050&lt;&gt;""),ROWS(J$1:J25))),"")</f>
        <v>F 350-2 BEAU RIVAGE DR</v>
      </c>
      <c r="K25">
        <f>IF(J25="","",INDEX('Assignment Tool'!E41:E2074,MATCH(FA_DATA!J25,'Assignment Tool'!D41:D2074,0)))</f>
        <v>4</v>
      </c>
    </row>
    <row r="26" spans="1:11" x14ac:dyDescent="0.25">
      <c r="A26" s="118" t="str">
        <f t="shared" si="0"/>
        <v>F 230-2 BEAU RIVAGE DR</v>
      </c>
      <c r="G26" t="str">
        <f>IF('Assignment Tool'!C26="","",IF('Assignment Tool'!C26="FST",'Assignment Tool'!D26,""))</f>
        <v>F 240-2 BEAU RIVAGE DR</v>
      </c>
      <c r="H26">
        <v>26</v>
      </c>
      <c r="I26">
        <f t="shared" si="1"/>
        <v>109</v>
      </c>
      <c r="J26" t="str">
        <f t="array" ref="J26">IFERROR(INDEX($G$2:$G$2050,_xlfn.AGGREGATE(15,6,(ROW($G$2:$G$2050)-ROW($G$2)+1)/($G$2:$G$2050&lt;&gt;""),ROWS(J$1:J26))),"")</f>
        <v>F 35-2 BERG CT</v>
      </c>
      <c r="K26">
        <f>IF(J26="","",INDEX('Assignment Tool'!E42:E2075,MATCH(FA_DATA!J26,'Assignment Tool'!D42:D2075,0)))</f>
        <v>4</v>
      </c>
    </row>
    <row r="27" spans="1:11" x14ac:dyDescent="0.25">
      <c r="A27" s="118" t="str">
        <f t="shared" si="0"/>
        <v>F 230-2 BEAU RIVAGE DR</v>
      </c>
      <c r="G27" t="str">
        <f>IF('Assignment Tool'!C27="","",IF('Assignment Tool'!C27="FST",'Assignment Tool'!D27,""))</f>
        <v>F 250-2 BEAU RIVAGE DR</v>
      </c>
      <c r="H27">
        <v>27</v>
      </c>
      <c r="I27">
        <f t="shared" si="1"/>
        <v>113</v>
      </c>
      <c r="J27" t="str">
        <f t="array" ref="J27">IFERROR(INDEX($G$2:$G$2050,_xlfn.AGGREGATE(15,6,(ROW($G$2:$G$2050)-ROW($G$2)+1)/($G$2:$G$2050&lt;&gt;""),ROWS(J$1:J27))),"")</f>
        <v>F 30-2 BERG CT</v>
      </c>
      <c r="K27">
        <f>IF(J27="","",INDEX('Assignment Tool'!E43:E2076,MATCH(FA_DATA!J27,'Assignment Tool'!D43:D2076,0)))</f>
        <v>4</v>
      </c>
    </row>
    <row r="28" spans="1:11" x14ac:dyDescent="0.25">
      <c r="A28" s="118" t="str">
        <f t="shared" si="0"/>
        <v>F 230-2 BEAU RIVAGE DR</v>
      </c>
      <c r="G28" t="str">
        <f>IF('Assignment Tool'!C28="","",IF('Assignment Tool'!C28="FST",'Assignment Tool'!D28,""))</f>
        <v/>
      </c>
      <c r="H28">
        <v>28</v>
      </c>
      <c r="I28">
        <f t="shared" si="1"/>
        <v>117</v>
      </c>
      <c r="J28" t="str">
        <f t="array" ref="J28">IFERROR(INDEX($G$2:$G$2050,_xlfn.AGGREGATE(15,6,(ROW($G$2:$G$2050)-ROW($G$2)+1)/($G$2:$G$2050&lt;&gt;""),ROWS(J$1:J28))),"")</f>
        <v>F 20-2 BERG CT</v>
      </c>
      <c r="K28">
        <f>IF(J28="","",INDEX('Assignment Tool'!E44:E2077,MATCH(FA_DATA!J28,'Assignment Tool'!D44:D2077,0)))</f>
        <v>4</v>
      </c>
    </row>
    <row r="29" spans="1:11" x14ac:dyDescent="0.25">
      <c r="A29" s="118" t="str">
        <f t="shared" si="0"/>
        <v>F 240-2 BEAU RIVAGE DR</v>
      </c>
      <c r="G29" t="str">
        <f>IF('Assignment Tool'!C29="","",IF('Assignment Tool'!C29="FST",'Assignment Tool'!D29,""))</f>
        <v/>
      </c>
      <c r="H29">
        <v>29</v>
      </c>
      <c r="I29">
        <f t="shared" si="1"/>
        <v>121</v>
      </c>
      <c r="J29" t="str">
        <f t="array" ref="J29">IFERROR(INDEX($G$2:$G$2050,_xlfn.AGGREGATE(15,6,(ROW($G$2:$G$2050)-ROW($G$2)+1)/($G$2:$G$2050&lt;&gt;""),ROWS(J$1:J29))),"")</f>
        <v>F 235-2 MOSS LN</v>
      </c>
      <c r="K29">
        <f>IF(J29="","",INDEX('Assignment Tool'!E45:E2078,MATCH(FA_DATA!J29,'Assignment Tool'!D45:D2078,0)))</f>
        <v>4</v>
      </c>
    </row>
    <row r="30" spans="1:11" x14ac:dyDescent="0.25">
      <c r="A30" s="118" t="str">
        <f t="shared" si="0"/>
        <v>F 240-2 BEAU RIVAGE DR</v>
      </c>
      <c r="G30" t="str">
        <f>IF('Assignment Tool'!C30="","",IF('Assignment Tool'!C30="FST",'Assignment Tool'!D30,""))</f>
        <v/>
      </c>
      <c r="H30">
        <v>30</v>
      </c>
      <c r="I30">
        <f t="shared" si="1"/>
        <v>125</v>
      </c>
      <c r="J30" t="str">
        <f t="array" ref="J30">IFERROR(INDEX($G$2:$G$2050,_xlfn.AGGREGATE(15,6,(ROW($G$2:$G$2050)-ROW($G$2)+1)/($G$2:$G$2050&lt;&gt;""),ROWS(J$1:J30))),"")</f>
        <v>F 245-2 MOSS LN</v>
      </c>
      <c r="K30">
        <f>IF(J30="","",INDEX('Assignment Tool'!E46:E2079,MATCH(FA_DATA!J30,'Assignment Tool'!D46:D2079,0)))</f>
        <v>8</v>
      </c>
    </row>
    <row r="31" spans="1:11" x14ac:dyDescent="0.25">
      <c r="A31" s="118" t="str">
        <f t="shared" si="0"/>
        <v>F 240-2 BEAU RIVAGE DR</v>
      </c>
      <c r="G31" t="str">
        <f>IF('Assignment Tool'!C31="","",IF('Assignment Tool'!C31="FST",'Assignment Tool'!D31,""))</f>
        <v/>
      </c>
      <c r="H31">
        <v>31</v>
      </c>
      <c r="I31">
        <f t="shared" si="1"/>
        <v>133</v>
      </c>
      <c r="J31" t="str">
        <f t="array" ref="J31">IFERROR(INDEX($G$2:$G$2050,_xlfn.AGGREGATE(15,6,(ROW($G$2:$G$2050)-ROW($G$2)+1)/($G$2:$G$2050&lt;&gt;""),ROWS(J$1:J31))),"")</f>
        <v>F 235-2 GARDEN AVE</v>
      </c>
      <c r="K31">
        <f>IF(J31="","",INDEX('Assignment Tool'!E47:E2080,MATCH(FA_DATA!J31,'Assignment Tool'!D47:D2080,0)))</f>
        <v>4</v>
      </c>
    </row>
    <row r="32" spans="1:11" x14ac:dyDescent="0.25">
      <c r="A32" s="118" t="str">
        <f t="shared" si="0"/>
        <v>F 240-2 BEAU RIVAGE DR</v>
      </c>
      <c r="G32" t="str">
        <f>IF('Assignment Tool'!C32="","",IF('Assignment Tool'!C32="FST",'Assignment Tool'!D32,""))</f>
        <v/>
      </c>
      <c r="H32">
        <v>32</v>
      </c>
      <c r="I32">
        <f t="shared" si="1"/>
        <v>137</v>
      </c>
      <c r="J32" t="str">
        <f t="array" ref="J32">IFERROR(INDEX($G$2:$G$2050,_xlfn.AGGREGATE(15,6,(ROW($G$2:$G$2050)-ROW($G$2)+1)/($G$2:$G$2050&lt;&gt;""),ROWS(J$1:J32))),"")</f>
        <v>F 255-2 GARDEN AVE</v>
      </c>
      <c r="K32">
        <f>IF(J32="","",INDEX('Assignment Tool'!E48:E2081,MATCH(FA_DATA!J32,'Assignment Tool'!D48:D2081,0)))</f>
        <v>4</v>
      </c>
    </row>
    <row r="33" spans="1:11" x14ac:dyDescent="0.25">
      <c r="A33" s="118" t="str">
        <f t="shared" si="0"/>
        <v>F 250-2 BEAU RIVAGE DR</v>
      </c>
      <c r="G33" t="str">
        <f>IF('Assignment Tool'!C33="","",IF('Assignment Tool'!C33="FST",'Assignment Tool'!D33,""))</f>
        <v/>
      </c>
      <c r="H33">
        <v>33</v>
      </c>
      <c r="I33">
        <f t="shared" si="1"/>
        <v>141</v>
      </c>
      <c r="J33" t="str">
        <f t="array" ref="J33">IFERROR(INDEX($G$2:$G$2050,_xlfn.AGGREGATE(15,6,(ROW($G$2:$G$2050)-ROW($G$2)+1)/($G$2:$G$2050&lt;&gt;""),ROWS(J$1:J33))),"")</f>
        <v>F 275-2 GARDEN AVE</v>
      </c>
      <c r="K33">
        <f>IF(J33="","",INDEX('Assignment Tool'!E49:E2082,MATCH(FA_DATA!J33,'Assignment Tool'!D49:D2082,0)))</f>
        <v>4</v>
      </c>
    </row>
    <row r="34" spans="1:11" x14ac:dyDescent="0.25">
      <c r="A34" s="118" t="str">
        <f t="shared" si="0"/>
        <v>F 250-2 BEAU RIVAGE DR</v>
      </c>
      <c r="G34" t="str">
        <f>IF('Assignment Tool'!C34="","",IF('Assignment Tool'!C34="FST",'Assignment Tool'!D34,""))</f>
        <v/>
      </c>
      <c r="H34">
        <v>34</v>
      </c>
      <c r="I34">
        <f t="shared" si="1"/>
        <v>145</v>
      </c>
      <c r="J34" t="str">
        <f t="array" ref="J34">IFERROR(INDEX($G$2:$G$2050,_xlfn.AGGREGATE(15,6,(ROW($G$2:$G$2050)-ROW($G$2)+1)/($G$2:$G$2050&lt;&gt;""),ROWS(J$1:J34))),"")</f>
        <v>F 295-2 GARDEN AVE</v>
      </c>
      <c r="K34">
        <f>IF(J34="","",INDEX('Assignment Tool'!E50:E2083,MATCH(FA_DATA!J34,'Assignment Tool'!D50:D2083,0)))</f>
        <v>4</v>
      </c>
    </row>
    <row r="35" spans="1:11" x14ac:dyDescent="0.25">
      <c r="A35" s="118" t="str">
        <f t="shared" si="0"/>
        <v>F 250-2 BEAU RIVAGE DR</v>
      </c>
      <c r="G35" t="str">
        <f>IF('Assignment Tool'!C35="","",IF('Assignment Tool'!C35="FST",'Assignment Tool'!D35,""))</f>
        <v/>
      </c>
      <c r="H35">
        <v>35</v>
      </c>
      <c r="I35">
        <f t="shared" si="1"/>
        <v>149</v>
      </c>
      <c r="J35" t="str">
        <f t="array" ref="J35">IFERROR(INDEX($G$2:$G$2050,_xlfn.AGGREGATE(15,6,(ROW($G$2:$G$2050)-ROW($G$2)+1)/($G$2:$G$2050&lt;&gt;""),ROWS(J$1:J35))),"")</f>
        <v>F 315-2 GARDEN AVE</v>
      </c>
      <c r="K35">
        <f>IF(J35="","",INDEX('Assignment Tool'!E51:E2084,MATCH(FA_DATA!J35,'Assignment Tool'!D51:D2084,0)))</f>
        <v>4</v>
      </c>
    </row>
    <row r="36" spans="1:11" x14ac:dyDescent="0.25">
      <c r="A36" s="118" t="str">
        <f t="shared" si="0"/>
        <v>F 250-2 BEAU RIVAGE DR</v>
      </c>
      <c r="G36" t="str">
        <f>IF('Assignment Tool'!C36="","",IF('Assignment Tool'!C36="FST",'Assignment Tool'!D36,""))</f>
        <v/>
      </c>
      <c r="H36">
        <v>36</v>
      </c>
      <c r="I36">
        <f t="shared" si="1"/>
        <v>153</v>
      </c>
      <c r="J36" t="str">
        <f t="array" ref="J36">IFERROR(INDEX($G$2:$G$2050,_xlfn.AGGREGATE(15,6,(ROW($G$2:$G$2050)-ROW($G$2)+1)/($G$2:$G$2050&lt;&gt;""),ROWS(J$1:J36))),"")</f>
        <v>F 335-2 GARDEN AVE</v>
      </c>
      <c r="K36">
        <f>IF(J36="","",INDEX('Assignment Tool'!E52:E2085,MATCH(FA_DATA!J36,'Assignment Tool'!D52:D2085,0)))</f>
        <v>8</v>
      </c>
    </row>
    <row r="37" spans="1:11" x14ac:dyDescent="0.25">
      <c r="A37" s="118" t="str">
        <f t="shared" si="0"/>
        <v>F 5-2 RED CYPRESS CT</v>
      </c>
      <c r="G37" t="str">
        <f>IF('Assignment Tool'!C37="","",IF('Assignment Tool'!C37="FST",'Assignment Tool'!D37,""))</f>
        <v/>
      </c>
      <c r="H37">
        <v>37</v>
      </c>
      <c r="I37">
        <f t="shared" si="1"/>
        <v>161</v>
      </c>
      <c r="J37" t="str">
        <f t="array" ref="J37">IFERROR(INDEX($G$2:$G$2050,_xlfn.AGGREGATE(15,6,(ROW($G$2:$G$2050)-ROW($G$2)+1)/($G$2:$G$2050&lt;&gt;""),ROWS(J$1:J37))),"")</f>
        <v>OPP 340-2 GARDEN AVE</v>
      </c>
      <c r="K37">
        <f>IF(J37="","",INDEX('Assignment Tool'!E53:E2086,MATCH(FA_DATA!J37,'Assignment Tool'!D53:D2086,0)))</f>
        <v>8</v>
      </c>
    </row>
    <row r="38" spans="1:11" x14ac:dyDescent="0.25">
      <c r="A38" s="118" t="str">
        <f t="shared" si="0"/>
        <v>F 5-2 RED CYPRESS CT</v>
      </c>
      <c r="G38" t="str">
        <f>IF('Assignment Tool'!C38="","",IF('Assignment Tool'!C38="FST",'Assignment Tool'!D38,""))</f>
        <v/>
      </c>
      <c r="H38">
        <v>38</v>
      </c>
      <c r="I38">
        <f t="shared" si="1"/>
        <v>169</v>
      </c>
      <c r="J38" t="str">
        <f t="array" ref="J38">IFERROR(INDEX($G$2:$G$2050,_xlfn.AGGREGATE(15,6,(ROW($G$2:$G$2050)-ROW($G$2)+1)/($G$2:$G$2050&lt;&gt;""),ROWS(J$1:J38))),"")</f>
        <v>OPP 315-2 HYACINTH LN</v>
      </c>
      <c r="K38">
        <f>IF(J38="","",INDEX('Assignment Tool'!E54:E2087,MATCH(FA_DATA!J38,'Assignment Tool'!D54:D2087,0)))</f>
        <v>4</v>
      </c>
    </row>
    <row r="39" spans="1:11" x14ac:dyDescent="0.25">
      <c r="A39" s="118" t="str">
        <f t="shared" si="0"/>
        <v>F 5-2 RED CYPRESS CT</v>
      </c>
      <c r="G39" t="str">
        <f>IF('Assignment Tool'!C39="","",IF('Assignment Tool'!C39="FST",'Assignment Tool'!D39,""))</f>
        <v/>
      </c>
      <c r="H39">
        <v>39</v>
      </c>
      <c r="I39">
        <f t="shared" si="1"/>
        <v>173</v>
      </c>
      <c r="J39" t="str">
        <f t="array" ref="J39">IFERROR(INDEX($G$2:$G$2050,_xlfn.AGGREGATE(15,6,(ROW($G$2:$G$2050)-ROW($G$2)+1)/($G$2:$G$2050&lt;&gt;""),ROWS(J$1:J39))),"")</f>
        <v>F 355-2 CAMELLIA LN</v>
      </c>
      <c r="K39">
        <f>IF(J39="","",INDEX('Assignment Tool'!E55:E2088,MATCH(FA_DATA!J39,'Assignment Tool'!D55:D2088,0)))</f>
        <v>4</v>
      </c>
    </row>
    <row r="40" spans="1:11" x14ac:dyDescent="0.25">
      <c r="A40" s="118" t="str">
        <f t="shared" si="0"/>
        <v>F 5-2 RED CYPRESS CT</v>
      </c>
      <c r="G40" t="str">
        <f>IF('Assignment Tool'!C40="","",IF('Assignment Tool'!C40="FST",'Assignment Tool'!D40,""))</f>
        <v/>
      </c>
      <c r="H40">
        <v>40</v>
      </c>
      <c r="I40">
        <f t="shared" si="1"/>
        <v>177</v>
      </c>
      <c r="J40" t="str">
        <f t="array" ref="J40">IFERROR(INDEX($G$2:$G$2050,_xlfn.AGGREGATE(15,6,(ROW($G$2:$G$2050)-ROW($G$2)+1)/($G$2:$G$2050&lt;&gt;""),ROWS(J$1:J40))),"")</f>
        <v>F 375-2 LOTUS DR S</v>
      </c>
      <c r="K40">
        <f>IF(J40="","",INDEX('Assignment Tool'!E56:E2089,MATCH(FA_DATA!J40,'Assignment Tool'!D56:D2089,0)))</f>
        <v>8</v>
      </c>
    </row>
    <row r="41" spans="1:11" x14ac:dyDescent="0.25">
      <c r="A41" s="118" t="str">
        <f t="shared" si="0"/>
        <v>F 9-2 RED CYPRESS CT</v>
      </c>
      <c r="G41" t="str">
        <f>IF('Assignment Tool'!C41="","",IF('Assignment Tool'!C41="FST",'Assignment Tool'!D41,""))</f>
        <v/>
      </c>
      <c r="H41">
        <v>41</v>
      </c>
      <c r="I41">
        <f t="shared" si="1"/>
        <v>185</v>
      </c>
      <c r="J41" t="str">
        <f t="array" ref="J41">IFERROR(INDEX($G$2:$G$2050,_xlfn.AGGREGATE(15,6,(ROW($G$2:$G$2050)-ROW($G$2)+1)/($G$2:$G$2050&lt;&gt;""),ROWS(J$1:J41))),"")</f>
        <v>F 390-2 GARDEN AVE</v>
      </c>
      <c r="K41">
        <f>IF(J41="","",INDEX('Assignment Tool'!E57:E2090,MATCH(FA_DATA!J41,'Assignment Tool'!D57:D2090,0)))</f>
        <v>8</v>
      </c>
    </row>
    <row r="42" spans="1:11" x14ac:dyDescent="0.25">
      <c r="A42" s="118" t="str">
        <f t="shared" si="0"/>
        <v>F 9-2 RED CYPRESS CT</v>
      </c>
      <c r="G42" t="str">
        <f>IF('Assignment Tool'!C42="","",IF('Assignment Tool'!C42="FST",'Assignment Tool'!D42,""))</f>
        <v/>
      </c>
      <c r="H42">
        <v>42</v>
      </c>
      <c r="I42">
        <f t="shared" si="1"/>
        <v>193</v>
      </c>
      <c r="J42" t="str">
        <f t="array" ref="J42">IFERROR(INDEX($G$2:$G$2050,_xlfn.AGGREGATE(15,6,(ROW($G$2:$G$2050)-ROW($G$2)+1)/($G$2:$G$2050&lt;&gt;""),ROWS(J$1:J42))),"")</f>
        <v>F 355-2 GARDEN AVE</v>
      </c>
      <c r="K42">
        <f>IF(J42="","",INDEX('Assignment Tool'!E58:E2091,MATCH(FA_DATA!J42,'Assignment Tool'!D58:D2091,0)))</f>
        <v>4</v>
      </c>
    </row>
    <row r="43" spans="1:11" x14ac:dyDescent="0.25">
      <c r="A43" s="118" t="str">
        <f t="shared" si="0"/>
        <v>F 9-2 RED CYPRESS CT</v>
      </c>
      <c r="G43" t="str">
        <f>IF('Assignment Tool'!C43="","",IF('Assignment Tool'!C43="FST",'Assignment Tool'!D43,""))</f>
        <v/>
      </c>
      <c r="H43">
        <v>43</v>
      </c>
      <c r="I43">
        <f t="shared" si="1"/>
        <v>197</v>
      </c>
      <c r="J43" t="str">
        <f t="array" ref="J43">IFERROR(INDEX($G$2:$G$2050,_xlfn.AGGREGATE(15,6,(ROW($G$2:$G$2050)-ROW($G$2)+1)/($G$2:$G$2050&lt;&gt;""),ROWS(J$1:J43))),"")</f>
        <v>F 375-2 GARDEN AVE</v>
      </c>
      <c r="K43">
        <f>IF(J43="","",INDEX('Assignment Tool'!E59:E2092,MATCH(FA_DATA!J43,'Assignment Tool'!D59:D2092,0)))</f>
        <v>4</v>
      </c>
    </row>
    <row r="44" spans="1:11" x14ac:dyDescent="0.25">
      <c r="A44" s="118" t="str">
        <f t="shared" si="0"/>
        <v>F 9-2 RED CYPRESS CT</v>
      </c>
      <c r="G44" t="str">
        <f>IF('Assignment Tool'!C44="","",IF('Assignment Tool'!C44="FST",'Assignment Tool'!D44,""))</f>
        <v/>
      </c>
      <c r="H44">
        <v>44</v>
      </c>
      <c r="I44">
        <f t="shared" si="1"/>
        <v>201</v>
      </c>
      <c r="J44" t="str">
        <f t="array" ref="J44">IFERROR(INDEX($G$2:$G$2050,_xlfn.AGGREGATE(15,6,(ROW($G$2:$G$2050)-ROW($G$2)+1)/($G$2:$G$2050&lt;&gt;""),ROWS(J$1:J44))),"")</f>
        <v>F 395-2 GARDEN AVE</v>
      </c>
      <c r="K44">
        <f>IF(J44="","",INDEX('Assignment Tool'!E60:E2093,MATCH(FA_DATA!J44,'Assignment Tool'!D60:D2093,0)))</f>
        <v>4</v>
      </c>
    </row>
    <row r="45" spans="1:11" x14ac:dyDescent="0.25">
      <c r="A45" s="118" t="str">
        <f t="shared" si="0"/>
        <v>F 13-2 RED CYPRESS CT</v>
      </c>
      <c r="G45" t="str">
        <f>IF('Assignment Tool'!C45="","",IF('Assignment Tool'!C45="FST",'Assignment Tool'!D45,""))</f>
        <v/>
      </c>
      <c r="H45">
        <v>45</v>
      </c>
      <c r="I45">
        <f t="shared" si="1"/>
        <v>205</v>
      </c>
      <c r="J45" t="str">
        <f t="array" ref="J45">IFERROR(INDEX($G$2:$G$2050,_xlfn.AGGREGATE(15,6,(ROW($G$2:$G$2050)-ROW($G$2)+1)/($G$2:$G$2050&lt;&gt;""),ROWS(J$1:J45))),"")</f>
        <v>F 399-2 GARDEN AVE</v>
      </c>
      <c r="K45">
        <f>IF(J45="","",INDEX('Assignment Tool'!E61:E2094,MATCH(FA_DATA!J45,'Assignment Tool'!D61:D2094,0)))</f>
        <v>4</v>
      </c>
    </row>
    <row r="46" spans="1:11" x14ac:dyDescent="0.25">
      <c r="A46" s="118" t="str">
        <f t="shared" si="0"/>
        <v>F 13-2 RED CYPRESS CT</v>
      </c>
      <c r="G46" t="str">
        <f>IF('Assignment Tool'!C46="","",IF('Assignment Tool'!C46="FST",'Assignment Tool'!D46,""))</f>
        <v/>
      </c>
      <c r="H46">
        <v>46</v>
      </c>
      <c r="I46">
        <f t="shared" si="1"/>
        <v>209</v>
      </c>
      <c r="J46" t="str">
        <f t="array" ref="J46">IFERROR(INDEX($G$2:$G$2050,_xlfn.AGGREGATE(15,6,(ROW($G$2:$G$2050)-ROW($G$2)+1)/($G$2:$G$2050&lt;&gt;""),ROWS(J$1:J46))),"")</f>
        <v>F 425-2 GARDEN AVE</v>
      </c>
      <c r="K46">
        <f>IF(J46="","",INDEX('Assignment Tool'!E62:E2095,MATCH(FA_DATA!J46,'Assignment Tool'!D62:D2095,0)))</f>
        <v>8</v>
      </c>
    </row>
    <row r="47" spans="1:11" x14ac:dyDescent="0.25">
      <c r="A47" s="118" t="str">
        <f t="shared" si="0"/>
        <v>F 13-2 RED CYPRESS CT</v>
      </c>
      <c r="G47" t="str">
        <f>IF('Assignment Tool'!C47="","",IF('Assignment Tool'!C47="FST",'Assignment Tool'!D47,""))</f>
        <v/>
      </c>
      <c r="H47">
        <v>47</v>
      </c>
      <c r="I47">
        <f t="shared" si="1"/>
        <v>217</v>
      </c>
      <c r="J47" t="str">
        <f t="array" ref="J47">IFERROR(INDEX($G$2:$G$2050,_xlfn.AGGREGATE(15,6,(ROW($G$2:$G$2050)-ROW($G$2)+1)/($G$2:$G$2050&lt;&gt;""),ROWS(J$1:J47))),"")</f>
        <v>F 541-2 GARDEN AVE</v>
      </c>
      <c r="K47">
        <f>IF(J47="","",INDEX('Assignment Tool'!E63:E2096,MATCH(FA_DATA!J47,'Assignment Tool'!D63:D2096,0)))</f>
        <v>4</v>
      </c>
    </row>
    <row r="48" spans="1:11" x14ac:dyDescent="0.25">
      <c r="A48" s="118" t="str">
        <f t="shared" si="0"/>
        <v>F 13-2 RED CYPRESS CT</v>
      </c>
      <c r="G48" t="str">
        <f>IF('Assignment Tool'!C48="","",IF('Assignment Tool'!C48="FST",'Assignment Tool'!D48,""))</f>
        <v/>
      </c>
      <c r="H48">
        <v>48</v>
      </c>
      <c r="I48">
        <f t="shared" si="1"/>
        <v>221</v>
      </c>
      <c r="J48" t="str">
        <f t="array" ref="J48">IFERROR(INDEX($G$2:$G$2050,_xlfn.AGGREGATE(15,6,(ROW($G$2:$G$2050)-ROW($G$2)+1)/($G$2:$G$2050&lt;&gt;""),ROWS(J$1:J48))),"")</f>
        <v>F 561-2 GARDEN AVE</v>
      </c>
      <c r="K48">
        <f>IF(J48="","",INDEX('Assignment Tool'!E64:E2097,MATCH(FA_DATA!J48,'Assignment Tool'!D64:D2097,0)))</f>
        <v>4</v>
      </c>
    </row>
    <row r="49" spans="1:11" x14ac:dyDescent="0.25">
      <c r="A49" s="118" t="str">
        <f t="shared" si="0"/>
        <v>F 13-2 RED CYPRESS CT</v>
      </c>
      <c r="G49" t="str">
        <f>IF('Assignment Tool'!C49="","",IF('Assignment Tool'!C49="FST",'Assignment Tool'!D49,""))</f>
        <v/>
      </c>
      <c r="H49">
        <v>49</v>
      </c>
      <c r="I49">
        <f t="shared" si="1"/>
        <v>225</v>
      </c>
      <c r="J49" t="str">
        <f t="array" ref="J49">IFERROR(INDEX($G$2:$G$2050,_xlfn.AGGREGATE(15,6,(ROW($G$2:$G$2050)-ROW($G$2)+1)/($G$2:$G$2050&lt;&gt;""),ROWS(J$1:J49))),"")</f>
        <v>F 417-2 VENUS DR</v>
      </c>
      <c r="K49">
        <f>IF(J49="","",INDEX('Assignment Tool'!E65:E2098,MATCH(FA_DATA!J49,'Assignment Tool'!D65:D2098,0)))</f>
        <v>8</v>
      </c>
    </row>
    <row r="50" spans="1:11" x14ac:dyDescent="0.25">
      <c r="A50" s="118" t="str">
        <f t="shared" si="0"/>
        <v>F 13-2 RED CYPRESS CT</v>
      </c>
      <c r="G50" t="str">
        <f>IF('Assignment Tool'!C50="","",IF('Assignment Tool'!C50="FST",'Assignment Tool'!D50,""))</f>
        <v/>
      </c>
      <c r="H50">
        <v>50</v>
      </c>
      <c r="I50">
        <f t="shared" si="1"/>
        <v>233</v>
      </c>
      <c r="J50" t="str">
        <f t="array" ref="J50">IFERROR(INDEX($G$2:$G$2050,_xlfn.AGGREGATE(15,6,(ROW($G$2:$G$2050)-ROW($G$2)+1)/($G$2:$G$2050&lt;&gt;""),ROWS(J$1:J50))),"")</f>
        <v>F 409-2 VENUS DR</v>
      </c>
      <c r="K50">
        <f>IF(J50="","",INDEX('Assignment Tool'!E66:E2099,MATCH(FA_DATA!J50,'Assignment Tool'!D66:D2099,0)))</f>
        <v>8</v>
      </c>
    </row>
    <row r="51" spans="1:11" x14ac:dyDescent="0.25">
      <c r="A51" s="118" t="str">
        <f t="shared" si="0"/>
        <v>F 13-2 RED CYPRESS CT</v>
      </c>
      <c r="G51" t="str">
        <f>IF('Assignment Tool'!C51="","",IF('Assignment Tool'!C51="FST",'Assignment Tool'!D51,""))</f>
        <v/>
      </c>
      <c r="H51">
        <v>51</v>
      </c>
      <c r="I51">
        <f t="shared" si="1"/>
        <v>241</v>
      </c>
      <c r="J51" t="str">
        <f t="array" ref="J51">IFERROR(INDEX($G$2:$G$2050,_xlfn.AGGREGATE(15,6,(ROW($G$2:$G$2050)-ROW($G$2)+1)/($G$2:$G$2050&lt;&gt;""),ROWS(J$1:J51))),"")</f>
        <v>F 420-2 HEAVENS DR</v>
      </c>
      <c r="K51">
        <f>IF(J51="","",INDEX('Assignment Tool'!E67:E2100,MATCH(FA_DATA!J51,'Assignment Tool'!D67:D2100,0)))</f>
        <v>4</v>
      </c>
    </row>
    <row r="52" spans="1:11" x14ac:dyDescent="0.25">
      <c r="A52" s="118" t="str">
        <f t="shared" si="0"/>
        <v>F 13-2 RED CYPRESS CT</v>
      </c>
      <c r="G52" t="str">
        <f>IF('Assignment Tool'!C52="","",IF('Assignment Tool'!C52="FST",'Assignment Tool'!D52,""))</f>
        <v/>
      </c>
      <c r="H52">
        <v>52</v>
      </c>
      <c r="I52">
        <f t="shared" si="1"/>
        <v>245</v>
      </c>
      <c r="J52" t="str">
        <f t="array" ref="J52">IFERROR(INDEX($G$2:$G$2050,_xlfn.AGGREGATE(15,6,(ROW($G$2:$G$2050)-ROW($G$2)+1)/($G$2:$G$2050&lt;&gt;""),ROWS(J$1:J52))),"")</f>
        <v>F 412-2 HEAVENS DR</v>
      </c>
      <c r="K52">
        <f>IF(J52="","",INDEX('Assignment Tool'!E68:E2101,MATCH(FA_DATA!J52,'Assignment Tool'!D68:D2101,0)))</f>
        <v>4</v>
      </c>
    </row>
    <row r="53" spans="1:11" x14ac:dyDescent="0.25">
      <c r="A53" s="118" t="str">
        <f t="shared" si="0"/>
        <v>F 16-2 RED CYPRESS CT</v>
      </c>
      <c r="G53" t="str">
        <f>IF('Assignment Tool'!C53="","",IF('Assignment Tool'!C53="FST",'Assignment Tool'!D53,""))</f>
        <v/>
      </c>
      <c r="H53">
        <v>53</v>
      </c>
      <c r="I53">
        <f t="shared" si="1"/>
        <v>249</v>
      </c>
      <c r="J53" t="str">
        <f t="array" ref="J53">IFERROR(INDEX($G$2:$G$2050,_xlfn.AGGREGATE(15,6,(ROW($G$2:$G$2050)-ROW($G$2)+1)/($G$2:$G$2050&lt;&gt;""),ROWS(J$1:J53))),"")</f>
        <v>F 406-2 HEAVENS DR</v>
      </c>
      <c r="K53">
        <f>IF(J53="","",INDEX('Assignment Tool'!E69:E2102,MATCH(FA_DATA!J53,'Assignment Tool'!D69:D2102,0)))</f>
        <v>8</v>
      </c>
    </row>
    <row r="54" spans="1:11" x14ac:dyDescent="0.25">
      <c r="A54" s="118" t="str">
        <f t="shared" si="0"/>
        <v>F 16-2 RED CYPRESS CT</v>
      </c>
      <c r="G54" t="str">
        <f>IF('Assignment Tool'!C54="","",IF('Assignment Tool'!C54="FST",'Assignment Tool'!D54,""))</f>
        <v/>
      </c>
      <c r="H54">
        <v>54</v>
      </c>
      <c r="I54">
        <f t="shared" si="1"/>
        <v>257</v>
      </c>
      <c r="J54" t="str">
        <f t="array" ref="J54">IFERROR(INDEX($G$2:$G$2050,_xlfn.AGGREGATE(15,6,(ROW($G$2:$G$2050)-ROW($G$2)+1)/($G$2:$G$2050&lt;&gt;""),ROWS(J$1:J54))),"")</f>
        <v>F 430-2 DORADO DR</v>
      </c>
      <c r="K54">
        <f>IF(J54="","",INDEX('Assignment Tool'!E70:E2103,MATCH(FA_DATA!J54,'Assignment Tool'!D70:D2103,0)))</f>
        <v>8</v>
      </c>
    </row>
    <row r="55" spans="1:11" x14ac:dyDescent="0.25">
      <c r="A55" s="118" t="str">
        <f t="shared" si="0"/>
        <v>F 16-2 RED CYPRESS CT</v>
      </c>
      <c r="G55" t="str">
        <f>IF('Assignment Tool'!C55="","",IF('Assignment Tool'!C55="FST",'Assignment Tool'!D55,""))</f>
        <v/>
      </c>
      <c r="H55">
        <v>55</v>
      </c>
      <c r="I55">
        <f t="shared" si="1"/>
        <v>265</v>
      </c>
      <c r="J55" t="str">
        <f t="array" ref="J55">IFERROR(INDEX($G$2:$G$2050,_xlfn.AGGREGATE(15,6,(ROW($G$2:$G$2050)-ROW($G$2)+1)/($G$2:$G$2050&lt;&gt;""),ROWS(J$1:J55))),"")</f>
        <v>F 510-2 DORADO DR</v>
      </c>
      <c r="K55">
        <f>IF(J55="","",INDEX('Assignment Tool'!E71:E2104,MATCH(FA_DATA!J55,'Assignment Tool'!D71:D2104,0)))</f>
        <v>4</v>
      </c>
    </row>
    <row r="56" spans="1:11" x14ac:dyDescent="0.25">
      <c r="A56" s="118" t="str">
        <f t="shared" si="0"/>
        <v>F 16-2 RED CYPRESS CT</v>
      </c>
      <c r="G56" t="str">
        <f>IF('Assignment Tool'!C56="","",IF('Assignment Tool'!C56="FST",'Assignment Tool'!D56,""))</f>
        <v/>
      </c>
      <c r="H56">
        <v>56</v>
      </c>
      <c r="I56">
        <f t="shared" si="1"/>
        <v>269</v>
      </c>
      <c r="J56" t="str">
        <f t="array" ref="J56">IFERROR(INDEX($G$2:$G$2050,_xlfn.AGGREGATE(15,6,(ROW($G$2:$G$2050)-ROW($G$2)+1)/($G$2:$G$2050&lt;&gt;""),ROWS(J$1:J56))),"")</f>
        <v>F 530-2 DORADO DR</v>
      </c>
      <c r="K56">
        <f>IF(J56="","",INDEX('Assignment Tool'!E72:E2105,MATCH(FA_DATA!J56,'Assignment Tool'!D72:D2105,0)))</f>
        <v>4</v>
      </c>
    </row>
    <row r="57" spans="1:11" x14ac:dyDescent="0.25">
      <c r="A57" s="118" t="str">
        <f t="shared" si="0"/>
        <v>F 14-2 RED CYPRESS CT</v>
      </c>
      <c r="G57" t="str">
        <f>IF('Assignment Tool'!C57="","",IF('Assignment Tool'!C57="FST",'Assignment Tool'!D57,""))</f>
        <v/>
      </c>
      <c r="H57">
        <v>57</v>
      </c>
      <c r="I57">
        <f t="shared" si="1"/>
        <v>273</v>
      </c>
      <c r="J57" t="str">
        <f t="array" ref="J57">IFERROR(INDEX($G$2:$G$2050,_xlfn.AGGREGATE(15,6,(ROW($G$2:$G$2050)-ROW($G$2)+1)/($G$2:$G$2050&lt;&gt;""),ROWS(J$1:J57))),"")</f>
        <v>F 404-2 VENUS DR</v>
      </c>
      <c r="K57">
        <f>IF(J57="","",INDEX('Assignment Tool'!E73:E2106,MATCH(FA_DATA!J57,'Assignment Tool'!D73:D2106,0)))</f>
        <v>4</v>
      </c>
    </row>
    <row r="58" spans="1:11" x14ac:dyDescent="0.25">
      <c r="A58" s="118" t="str">
        <f t="shared" si="0"/>
        <v>F 14-2 RED CYPRESS CT</v>
      </c>
      <c r="G58" t="str">
        <f>IF('Assignment Tool'!C58="","",IF('Assignment Tool'!C58="FST",'Assignment Tool'!D58,""))</f>
        <v>F 5-2 RED CYPRESS CT</v>
      </c>
      <c r="H58">
        <v>58</v>
      </c>
      <c r="I58">
        <f t="shared" si="1"/>
        <v>277</v>
      </c>
      <c r="J58" t="str">
        <f t="array" ref="J58">IFERROR(INDEX($G$2:$G$2050,_xlfn.AGGREGATE(15,6,(ROW($G$2:$G$2050)-ROW($G$2)+1)/($G$2:$G$2050&lt;&gt;""),ROWS(J$1:J58))),"")</f>
        <v>F 260-2 AZALEA DR</v>
      </c>
      <c r="K58">
        <f>IF(J58="","",INDEX('Assignment Tool'!E74:E2107,MATCH(FA_DATA!J58,'Assignment Tool'!D74:D2107,0)))</f>
        <v>4</v>
      </c>
    </row>
    <row r="59" spans="1:11" x14ac:dyDescent="0.25">
      <c r="A59" s="118" t="str">
        <f t="shared" si="0"/>
        <v>F 14-2 RED CYPRESS CT</v>
      </c>
      <c r="G59" t="str">
        <f>IF('Assignment Tool'!C59="","",IF('Assignment Tool'!C59="FST",'Assignment Tool'!D59,""))</f>
        <v>F 9-2 RED CYPRESS CT</v>
      </c>
      <c r="H59">
        <v>59</v>
      </c>
      <c r="I59">
        <f t="shared" si="1"/>
        <v>281</v>
      </c>
      <c r="J59" t="str">
        <f t="array" ref="J59">IFERROR(INDEX($G$2:$G$2050,_xlfn.AGGREGATE(15,6,(ROW($G$2:$G$2050)-ROW($G$2)+1)/($G$2:$G$2050&lt;&gt;""),ROWS(J$1:J59))),"")</f>
        <v>F 280-2 AZALEA DR</v>
      </c>
      <c r="K59">
        <f>IF(J59="","",INDEX('Assignment Tool'!E75:E2108,MATCH(FA_DATA!J59,'Assignment Tool'!D75:D2108,0)))</f>
        <v>4</v>
      </c>
    </row>
    <row r="60" spans="1:11" x14ac:dyDescent="0.25">
      <c r="A60" s="118" t="str">
        <f t="shared" si="0"/>
        <v>F 14-2 RED CYPRESS CT</v>
      </c>
      <c r="G60" t="str">
        <f>IF('Assignment Tool'!C60="","",IF('Assignment Tool'!C60="FST",'Assignment Tool'!D60,""))</f>
        <v>F 13-2 RED CYPRESS CT</v>
      </c>
      <c r="H60">
        <v>60</v>
      </c>
      <c r="I60">
        <f t="shared" si="1"/>
        <v>285</v>
      </c>
      <c r="J60" t="str">
        <f t="array" ref="J60">IFERROR(INDEX($G$2:$G$2050,_xlfn.AGGREGATE(15,6,(ROW($G$2:$G$2050)-ROW($G$2)+1)/($G$2:$G$2050&lt;&gt;""),ROWS(J$1:J60))),"")</f>
        <v>F 300-2 AZALEA DR</v>
      </c>
      <c r="K60">
        <f>IF(J60="","",INDEX('Assignment Tool'!E76:E2109,MATCH(FA_DATA!J60,'Assignment Tool'!D76:D2109,0)))</f>
        <v>4</v>
      </c>
    </row>
    <row r="61" spans="1:11" x14ac:dyDescent="0.25">
      <c r="A61" s="118" t="str">
        <f t="shared" si="0"/>
        <v>F 225-2 SILVER MAPLE DR</v>
      </c>
      <c r="G61" t="str">
        <f>IF('Assignment Tool'!C61="","",IF('Assignment Tool'!C61="FST",'Assignment Tool'!D61,""))</f>
        <v>F 16-2 RED CYPRESS CT</v>
      </c>
      <c r="H61">
        <v>61</v>
      </c>
      <c r="I61">
        <f t="shared" si="1"/>
        <v>289</v>
      </c>
      <c r="J61" t="str">
        <f t="array" ref="J61">IFERROR(INDEX($G$2:$G$2050,_xlfn.AGGREGATE(15,6,(ROW($G$2:$G$2050)-ROW($G$2)+1)/($G$2:$G$2050&lt;&gt;""),ROWS(J$1:J61))),"")</f>
        <v>F 310-2 AZALEA DR</v>
      </c>
      <c r="K61">
        <f>IF(J61="","",INDEX('Assignment Tool'!E77:E2110,MATCH(FA_DATA!J61,'Assignment Tool'!D77:D2110,0)))</f>
        <v>4</v>
      </c>
    </row>
    <row r="62" spans="1:11" x14ac:dyDescent="0.25">
      <c r="A62" s="118" t="str">
        <f t="shared" si="0"/>
        <v>F 225-2 SILVER MAPLE DR</v>
      </c>
      <c r="G62" t="str">
        <f>IF('Assignment Tool'!C62="","",IF('Assignment Tool'!C62="FST",'Assignment Tool'!D62,""))</f>
        <v>F 14-2 RED CYPRESS CT</v>
      </c>
      <c r="H62">
        <v>62</v>
      </c>
      <c r="I62">
        <f t="shared" si="1"/>
        <v>293</v>
      </c>
      <c r="J62" t="str">
        <f t="array" ref="J62">IFERROR(INDEX($G$2:$G$2050,_xlfn.AGGREGATE(15,6,(ROW($G$2:$G$2050)-ROW($G$2)+1)/($G$2:$G$2050&lt;&gt;""),ROWS(J$1:J62))),"")</f>
        <v>F 340-2 AZALEA DR</v>
      </c>
      <c r="K62">
        <f>IF(J62="","",INDEX('Assignment Tool'!E78:E2111,MATCH(FA_DATA!J62,'Assignment Tool'!D78:D2111,0)))</f>
        <v>4</v>
      </c>
    </row>
    <row r="63" spans="1:11" x14ac:dyDescent="0.25">
      <c r="A63" s="118" t="str">
        <f t="shared" si="0"/>
        <v>F 225-2 SILVER MAPLE DR</v>
      </c>
      <c r="G63" t="str">
        <f>IF('Assignment Tool'!C63="","",IF('Assignment Tool'!C63="FST",'Assignment Tool'!D63,""))</f>
        <v/>
      </c>
      <c r="H63">
        <v>63</v>
      </c>
      <c r="I63">
        <f t="shared" si="1"/>
        <v>297</v>
      </c>
      <c r="J63" t="str">
        <f t="array" ref="J63">IFERROR(INDEX($G$2:$G$2050,_xlfn.AGGREGATE(15,6,(ROW($G$2:$G$2050)-ROW($G$2)+1)/($G$2:$G$2050&lt;&gt;""),ROWS(J$1:J63))),"")</f>
        <v>F 364-2 AZALEA DR</v>
      </c>
      <c r="K63">
        <f>IF(J63="","",INDEX('Assignment Tool'!E79:E2112,MATCH(FA_DATA!J63,'Assignment Tool'!D79:D2112,0)))</f>
        <v>4</v>
      </c>
    </row>
    <row r="64" spans="1:11" x14ac:dyDescent="0.25">
      <c r="A64" s="118" t="str">
        <f t="shared" si="0"/>
        <v>F 225-2 SILVER MAPLE DR</v>
      </c>
      <c r="G64" t="str">
        <f>IF('Assignment Tool'!C64="","",IF('Assignment Tool'!C64="FST",'Assignment Tool'!D64,""))</f>
        <v/>
      </c>
      <c r="H64">
        <v>64</v>
      </c>
      <c r="I64">
        <f t="shared" si="1"/>
        <v>301</v>
      </c>
      <c r="J64" t="str">
        <f t="array" ref="J64">IFERROR(INDEX($G$2:$G$2050,_xlfn.AGGREGATE(15,6,(ROW($G$2:$G$2050)-ROW($G$2)+1)/($G$2:$G$2050&lt;&gt;""),ROWS(J$1:J64))),"")</f>
        <v>F 380-2 AZALEA DR</v>
      </c>
      <c r="K64">
        <f>IF(J64="","",INDEX('Assignment Tool'!E80:E2113,MATCH(FA_DATA!J64,'Assignment Tool'!D80:D2113,0)))</f>
        <v>4</v>
      </c>
    </row>
    <row r="65" spans="1:11" x14ac:dyDescent="0.25">
      <c r="A65" s="118" t="str">
        <f t="shared" si="0"/>
        <v>F 245-2 SILVER MAPLE DR</v>
      </c>
      <c r="G65" t="str">
        <f>IF('Assignment Tool'!C65="","",IF('Assignment Tool'!C65="FST",'Assignment Tool'!D65,""))</f>
        <v/>
      </c>
      <c r="H65">
        <v>65</v>
      </c>
      <c r="I65">
        <f t="shared" si="1"/>
        <v>305</v>
      </c>
      <c r="J65" t="str">
        <f t="array" ref="J65">IFERROR(INDEX($G$2:$G$2050,_xlfn.AGGREGATE(15,6,(ROW($G$2:$G$2050)-ROW($G$2)+1)/($G$2:$G$2050&lt;&gt;""),ROWS(J$1:J65))),"")</f>
        <v>F 390-2 AZALEA DR</v>
      </c>
      <c r="K65">
        <f>IF(J65="","",INDEX('Assignment Tool'!E81:E2114,MATCH(FA_DATA!J65,'Assignment Tool'!D81:D2114,0)))</f>
        <v>4</v>
      </c>
    </row>
    <row r="66" spans="1:11" x14ac:dyDescent="0.25">
      <c r="A66" s="118" t="str">
        <f t="shared" ref="A66:A129" si="2">VLOOKUP(H66,$I$1:$J$1000,2)</f>
        <v>F 245-2 SILVER MAPLE DR</v>
      </c>
      <c r="G66" t="str">
        <f>IF('Assignment Tool'!C66="","",IF('Assignment Tool'!C66="FST",'Assignment Tool'!D66,""))</f>
        <v/>
      </c>
      <c r="H66">
        <v>66</v>
      </c>
      <c r="I66">
        <f t="shared" si="1"/>
        <v>309</v>
      </c>
      <c r="J66" t="str">
        <f t="array" ref="J66">IFERROR(INDEX($G$2:$G$2050,_xlfn.AGGREGATE(15,6,(ROW($G$2:$G$2050)-ROW($G$2)+1)/($G$2:$G$2050&lt;&gt;""),ROWS(J$1:J66))),"")</f>
        <v>F 398-2 AZALEA DR</v>
      </c>
      <c r="K66">
        <f>IF(J66="","",INDEX('Assignment Tool'!E82:E2115,MATCH(FA_DATA!J66,'Assignment Tool'!D82:D2115,0)))</f>
        <v>4</v>
      </c>
    </row>
    <row r="67" spans="1:11" x14ac:dyDescent="0.25">
      <c r="A67" s="118" t="str">
        <f t="shared" si="2"/>
        <v>F 245-2 SILVER MAPLE DR</v>
      </c>
      <c r="G67" t="str">
        <f>IF('Assignment Tool'!C67="","",IF('Assignment Tool'!C67="FST",'Assignment Tool'!D67,""))</f>
        <v/>
      </c>
      <c r="H67">
        <v>67</v>
      </c>
      <c r="I67">
        <f t="shared" ref="I67:I130" si="3">IFERROR((I66+K66),"")</f>
        <v>313</v>
      </c>
      <c r="J67" t="str">
        <f t="array" ref="J67">IFERROR(INDEX($G$2:$G$2050,_xlfn.AGGREGATE(15,6,(ROW($G$2:$G$2050)-ROW($G$2)+1)/($G$2:$G$2050&lt;&gt;""),ROWS(J$1:J67))),"")</f>
        <v>F 275-2 MOSS LN</v>
      </c>
      <c r="K67">
        <f>IF(J67="","",INDEX('Assignment Tool'!E83:E2116,MATCH(FA_DATA!J67,'Assignment Tool'!D83:D2116,0)))</f>
        <v>4</v>
      </c>
    </row>
    <row r="68" spans="1:11" x14ac:dyDescent="0.25">
      <c r="A68" s="118" t="str">
        <f t="shared" si="2"/>
        <v>F 245-2 SILVER MAPLE DR</v>
      </c>
      <c r="G68" t="str">
        <f>IF('Assignment Tool'!C68="","",IF('Assignment Tool'!C68="FST",'Assignment Tool'!D68,""))</f>
        <v/>
      </c>
      <c r="H68">
        <v>68</v>
      </c>
      <c r="I68">
        <f t="shared" si="3"/>
        <v>317</v>
      </c>
      <c r="J68" t="str">
        <f t="array" ref="J68">IFERROR(INDEX($G$2:$G$2050,_xlfn.AGGREGATE(15,6,(ROW($G$2:$G$2050)-ROW($G$2)+1)/($G$2:$G$2050&lt;&gt;""),ROWS(J$1:J68))),"")</f>
        <v>F 295-2 MOSS LN</v>
      </c>
      <c r="K68">
        <f>IF(J68="","",INDEX('Assignment Tool'!E84:E2117,MATCH(FA_DATA!J68,'Assignment Tool'!D84:D2117,0)))</f>
        <v>4</v>
      </c>
    </row>
    <row r="69" spans="1:11" x14ac:dyDescent="0.25">
      <c r="A69" s="118" t="str">
        <f t="shared" si="2"/>
        <v>F 265-2 SILVER MAPLE DR</v>
      </c>
      <c r="G69" t="str">
        <f>IF('Assignment Tool'!C69="","",IF('Assignment Tool'!C69="FST",'Assignment Tool'!D69,""))</f>
        <v/>
      </c>
      <c r="H69">
        <v>69</v>
      </c>
      <c r="I69">
        <f t="shared" si="3"/>
        <v>321</v>
      </c>
      <c r="J69" t="str">
        <f t="array" ref="J69">IFERROR(INDEX($G$2:$G$2050,_xlfn.AGGREGATE(15,6,(ROW($G$2:$G$2050)-ROW($G$2)+1)/($G$2:$G$2050&lt;&gt;""),ROWS(J$1:J69))),"")</f>
        <v>F 315-2 MOSS LN</v>
      </c>
      <c r="K69">
        <f>IF(J69="","",INDEX('Assignment Tool'!E85:E2118,MATCH(FA_DATA!J69,'Assignment Tool'!D85:D2118,0)))</f>
        <v>4</v>
      </c>
    </row>
    <row r="70" spans="1:11" x14ac:dyDescent="0.25">
      <c r="A70" s="118" t="str">
        <f t="shared" si="2"/>
        <v>F 265-2 SILVER MAPLE DR</v>
      </c>
      <c r="G70" t="str">
        <f>IF('Assignment Tool'!C70="","",IF('Assignment Tool'!C70="FST",'Assignment Tool'!D70,""))</f>
        <v/>
      </c>
      <c r="H70">
        <v>70</v>
      </c>
      <c r="I70">
        <f t="shared" si="3"/>
        <v>325</v>
      </c>
      <c r="J70" t="str">
        <f t="array" ref="J70">IFERROR(INDEX($G$2:$G$2050,_xlfn.AGGREGATE(15,6,(ROW($G$2:$G$2050)-ROW($G$2)+1)/($G$2:$G$2050&lt;&gt;""),ROWS(J$1:J70))),"")</f>
        <v>F 335-2 MOSS LN</v>
      </c>
      <c r="K70">
        <f>IF(J70="","",INDEX('Assignment Tool'!E86:E2119,MATCH(FA_DATA!J70,'Assignment Tool'!D86:D2119,0)))</f>
        <v>4</v>
      </c>
    </row>
    <row r="71" spans="1:11" x14ac:dyDescent="0.25">
      <c r="A71" s="118" t="str">
        <f t="shared" si="2"/>
        <v>F 265-2 SILVER MAPLE DR</v>
      </c>
      <c r="G71" t="str">
        <f>IF('Assignment Tool'!C71="","",IF('Assignment Tool'!C71="FST",'Assignment Tool'!D71,""))</f>
        <v/>
      </c>
      <c r="H71">
        <v>71</v>
      </c>
      <c r="I71">
        <f t="shared" si="3"/>
        <v>329</v>
      </c>
      <c r="J71" t="str">
        <f t="array" ref="J71">IFERROR(INDEX($G$2:$G$2050,_xlfn.AGGREGATE(15,6,(ROW($G$2:$G$2050)-ROW($G$2)+1)/($G$2:$G$2050&lt;&gt;""),ROWS(J$1:J71))),"")</f>
        <v>F 355-2 MOSS LN</v>
      </c>
      <c r="K71">
        <f>IF(J71="","",INDEX('Assignment Tool'!E87:E2120,MATCH(FA_DATA!J71,'Assignment Tool'!D87:D2120,0)))</f>
        <v>4</v>
      </c>
    </row>
    <row r="72" spans="1:11" x14ac:dyDescent="0.25">
      <c r="A72" s="118" t="str">
        <f t="shared" si="2"/>
        <v>F 265-2 SILVER MAPLE DR</v>
      </c>
      <c r="G72" t="str">
        <f>IF('Assignment Tool'!C72="","",IF('Assignment Tool'!C72="FST",'Assignment Tool'!D72,""))</f>
        <v/>
      </c>
      <c r="H72">
        <v>72</v>
      </c>
      <c r="I72">
        <f t="shared" si="3"/>
        <v>333</v>
      </c>
      <c r="J72" t="str">
        <f t="array" ref="J72">IFERROR(INDEX($G$2:$G$2050,_xlfn.AGGREGATE(15,6,(ROW($G$2:$G$2050)-ROW($G$2)+1)/($G$2:$G$2050&lt;&gt;""),ROWS(J$1:J72))),"")</f>
        <v>F 365-2 MOSS LN</v>
      </c>
      <c r="K72">
        <f>IF(J72="","",INDEX('Assignment Tool'!E88:E2121,MATCH(FA_DATA!J72,'Assignment Tool'!D88:D2121,0)))</f>
        <v>4</v>
      </c>
    </row>
    <row r="73" spans="1:11" x14ac:dyDescent="0.25">
      <c r="A73" s="118" t="str">
        <f t="shared" si="2"/>
        <v>F 325-2 LOTUS DR S</v>
      </c>
      <c r="G73" t="str">
        <f>IF('Assignment Tool'!C73="","",IF('Assignment Tool'!C73="FST",'Assignment Tool'!D73,""))</f>
        <v/>
      </c>
      <c r="H73">
        <v>73</v>
      </c>
      <c r="I73">
        <f t="shared" si="3"/>
        <v>337</v>
      </c>
      <c r="J73" t="str">
        <f t="array" ref="J73">IFERROR(INDEX($G$2:$G$2050,_xlfn.AGGREGATE(15,6,(ROW($G$2:$G$2050)-ROW($G$2)+1)/($G$2:$G$2050&lt;&gt;""),ROWS(J$1:J73))),"")</f>
        <v>F 385-2 JASMINE DR</v>
      </c>
      <c r="K73">
        <f>IF(J73="","",INDEX('Assignment Tool'!E89:E2122,MATCH(FA_DATA!J73,'Assignment Tool'!D89:D2122,0)))</f>
        <v>4</v>
      </c>
    </row>
    <row r="74" spans="1:11" x14ac:dyDescent="0.25">
      <c r="A74" s="118" t="str">
        <f t="shared" si="2"/>
        <v>F 325-2 LOTUS DR S</v>
      </c>
      <c r="G74" t="str">
        <f>IF('Assignment Tool'!C74="","",IF('Assignment Tool'!C74="FST",'Assignment Tool'!D74,""))</f>
        <v/>
      </c>
      <c r="H74">
        <v>74</v>
      </c>
      <c r="I74">
        <f t="shared" si="3"/>
        <v>341</v>
      </c>
      <c r="J74" t="str">
        <f t="array" ref="J74">IFERROR(INDEX($G$2:$G$2050,_xlfn.AGGREGATE(15,6,(ROW($G$2:$G$2050)-ROW($G$2)+1)/($G$2:$G$2050&lt;&gt;""),ROWS(J$1:J74))),"")</f>
        <v>F 365-2 JASMINE DR</v>
      </c>
      <c r="K74">
        <f>IF(J74="","",INDEX('Assignment Tool'!E90:E2123,MATCH(FA_DATA!J74,'Assignment Tool'!D90:D2123,0)))</f>
        <v>4</v>
      </c>
    </row>
    <row r="75" spans="1:11" x14ac:dyDescent="0.25">
      <c r="A75" s="118" t="str">
        <f t="shared" si="2"/>
        <v>F 325-2 LOTUS DR S</v>
      </c>
      <c r="G75" t="str">
        <f>IF('Assignment Tool'!C75="","",IF('Assignment Tool'!C75="FST",'Assignment Tool'!D75,""))</f>
        <v/>
      </c>
      <c r="H75">
        <v>75</v>
      </c>
      <c r="I75">
        <f t="shared" si="3"/>
        <v>345</v>
      </c>
      <c r="J75" t="str">
        <f t="array" ref="J75">IFERROR(INDEX($G$2:$G$2050,_xlfn.AGGREGATE(15,6,(ROW($G$2:$G$2050)-ROW($G$2)+1)/($G$2:$G$2050&lt;&gt;""),ROWS(J$1:J75))),"")</f>
        <v>F 345-2 JASMINE DR</v>
      </c>
      <c r="K75">
        <f>IF(J75="","",INDEX('Assignment Tool'!E91:E2124,MATCH(FA_DATA!J75,'Assignment Tool'!D91:D2124,0)))</f>
        <v>4</v>
      </c>
    </row>
    <row r="76" spans="1:11" x14ac:dyDescent="0.25">
      <c r="A76" s="118" t="str">
        <f t="shared" si="2"/>
        <v>F 325-2 LOTUS DR S</v>
      </c>
      <c r="G76" t="str">
        <f>IF('Assignment Tool'!C76="","",IF('Assignment Tool'!C76="FST",'Assignment Tool'!D76,""))</f>
        <v/>
      </c>
      <c r="H76">
        <v>76</v>
      </c>
      <c r="I76">
        <f t="shared" si="3"/>
        <v>349</v>
      </c>
      <c r="J76" t="str">
        <f t="array" ref="J76">IFERROR(INDEX($G$2:$G$2050,_xlfn.AGGREGATE(15,6,(ROW($G$2:$G$2050)-ROW($G$2)+1)/($G$2:$G$2050&lt;&gt;""),ROWS(J$1:J76))),"")</f>
        <v>F 325-2 JASMINE DR</v>
      </c>
      <c r="K76">
        <f>IF(J76="","",INDEX('Assignment Tool'!E92:E2125,MATCH(FA_DATA!J76,'Assignment Tool'!D92:D2125,0)))</f>
        <v>4</v>
      </c>
    </row>
    <row r="77" spans="1:11" x14ac:dyDescent="0.25">
      <c r="A77" s="118" t="str">
        <f t="shared" si="2"/>
        <v>OPP 330-2 LOTUS DR S</v>
      </c>
      <c r="G77" t="str">
        <f>IF('Assignment Tool'!C77="","",IF('Assignment Tool'!C77="FST",'Assignment Tool'!D77,""))</f>
        <v/>
      </c>
      <c r="H77">
        <v>77</v>
      </c>
      <c r="I77">
        <f t="shared" si="3"/>
        <v>353</v>
      </c>
      <c r="J77" t="str">
        <f t="array" ref="J77">IFERROR(INDEX($G$2:$G$2050,_xlfn.AGGREGATE(15,6,(ROW($G$2:$G$2050)-ROW($G$2)+1)/($G$2:$G$2050&lt;&gt;""),ROWS(J$1:J77))),"")</f>
        <v>F 315-2 JASMINE DR</v>
      </c>
      <c r="K77">
        <f>IF(J77="","",INDEX('Assignment Tool'!E93:E2126,MATCH(FA_DATA!J77,'Assignment Tool'!D93:D2126,0)))</f>
        <v>8</v>
      </c>
    </row>
    <row r="78" spans="1:11" x14ac:dyDescent="0.25">
      <c r="A78" s="118" t="str">
        <f t="shared" si="2"/>
        <v>OPP 330-2 LOTUS DR S</v>
      </c>
      <c r="G78" t="str">
        <f>IF('Assignment Tool'!C78="","",IF('Assignment Tool'!C78="FST",'Assignment Tool'!D78,""))</f>
        <v/>
      </c>
      <c r="H78">
        <v>78</v>
      </c>
      <c r="I78">
        <f t="shared" si="3"/>
        <v>361</v>
      </c>
      <c r="J78" t="str">
        <f t="array" ref="J78">IFERROR(INDEX($G$2:$G$2050,_xlfn.AGGREGATE(15,6,(ROW($G$2:$G$2050)-ROW($G$2)+1)/($G$2:$G$2050&lt;&gt;""),ROWS(J$1:J78))),"")</f>
        <v>F 370-2 BEAU RIVAGE DR</v>
      </c>
      <c r="K78">
        <f>IF(J78="","",INDEX('Assignment Tool'!E94:E2127,MATCH(FA_DATA!J78,'Assignment Tool'!D94:D2127,0)))</f>
        <v>4</v>
      </c>
    </row>
    <row r="79" spans="1:11" x14ac:dyDescent="0.25">
      <c r="A79" s="118" t="str">
        <f t="shared" si="2"/>
        <v>OPP 330-2 LOTUS DR S</v>
      </c>
      <c r="G79" t="str">
        <f>IF('Assignment Tool'!C79="","",IF('Assignment Tool'!C79="FST",'Assignment Tool'!D79,""))</f>
        <v/>
      </c>
      <c r="H79">
        <v>79</v>
      </c>
      <c r="I79">
        <f t="shared" si="3"/>
        <v>365</v>
      </c>
      <c r="J79" t="str">
        <f t="array" ref="J79">IFERROR(INDEX($G$2:$G$2050,_xlfn.AGGREGATE(15,6,(ROW($G$2:$G$2050)-ROW($G$2)+1)/($G$2:$G$2050&lt;&gt;""),ROWS(J$1:J79))),"")</f>
        <v>F 380-2 BEAU RIVAGE DR</v>
      </c>
      <c r="K79">
        <f>IF(J79="","",INDEX('Assignment Tool'!E95:E2128,MATCH(FA_DATA!J79,'Assignment Tool'!D95:D2128,0)))</f>
        <v>4</v>
      </c>
    </row>
    <row r="80" spans="1:11" x14ac:dyDescent="0.25">
      <c r="A80" s="118" t="str">
        <f t="shared" si="2"/>
        <v>OPP 330-2 LOTUS DR S</v>
      </c>
      <c r="G80" t="str">
        <f>IF('Assignment Tool'!C80="","",IF('Assignment Tool'!C80="FST",'Assignment Tool'!D80,""))</f>
        <v/>
      </c>
      <c r="H80">
        <v>80</v>
      </c>
      <c r="I80">
        <f t="shared" si="3"/>
        <v>369</v>
      </c>
      <c r="J80" t="str">
        <f t="array" ref="J80">IFERROR(INDEX($G$2:$G$2050,_xlfn.AGGREGATE(15,6,(ROW($G$2:$G$2050)-ROW($G$2)+1)/($G$2:$G$2050&lt;&gt;""),ROWS(J$1:J80))),"")</f>
        <v>F 400-2 BEAU RIVAGE DR</v>
      </c>
      <c r="K80">
        <f>IF(J80="","",INDEX('Assignment Tool'!E96:E2129,MATCH(FA_DATA!J80,'Assignment Tool'!D96:D2129,0)))</f>
        <v>4</v>
      </c>
    </row>
    <row r="81" spans="1:11" x14ac:dyDescent="0.25">
      <c r="A81" s="118" t="str">
        <f t="shared" si="2"/>
        <v>OPP 350-2 LOTUS DR S</v>
      </c>
      <c r="G81" t="str">
        <f>IF('Assignment Tool'!C81="","",IF('Assignment Tool'!C81="FST",'Assignment Tool'!D81,""))</f>
        <v/>
      </c>
      <c r="H81">
        <v>81</v>
      </c>
      <c r="I81">
        <f t="shared" si="3"/>
        <v>373</v>
      </c>
      <c r="J81" t="str">
        <f t="array" ref="J81">IFERROR(INDEX($G$2:$G$2050,_xlfn.AGGREGATE(15,6,(ROW($G$2:$G$2050)-ROW($G$2)+1)/($G$2:$G$2050&lt;&gt;""),ROWS(J$1:J81))),"")</f>
        <v>F 375-2 BEAU RIVAGE DR</v>
      </c>
      <c r="K81">
        <f>IF(J81="","",INDEX('Assignment Tool'!E97:E2130,MATCH(FA_DATA!J81,'Assignment Tool'!D97:D2130,0)))</f>
        <v>4</v>
      </c>
    </row>
    <row r="82" spans="1:11" x14ac:dyDescent="0.25">
      <c r="A82" s="118" t="str">
        <f t="shared" si="2"/>
        <v>OPP 350-2 LOTUS DR S</v>
      </c>
      <c r="G82" t="str">
        <f>IF('Assignment Tool'!C82="","",IF('Assignment Tool'!C82="FST",'Assignment Tool'!D82,""))</f>
        <v/>
      </c>
      <c r="H82">
        <v>82</v>
      </c>
      <c r="I82">
        <f t="shared" si="3"/>
        <v>377</v>
      </c>
      <c r="J82" t="str">
        <f t="array" ref="J82">IFERROR(INDEX($G$2:$G$2050,_xlfn.AGGREGATE(15,6,(ROW($G$2:$G$2050)-ROW($G$2)+1)/($G$2:$G$2050&lt;&gt;""),ROWS(J$1:J82))),"")</f>
        <v>F 210-2 LOTUS DR S</v>
      </c>
      <c r="K82">
        <f>IF(J82="","",INDEX('Assignment Tool'!E98:E2131,MATCH(FA_DATA!J82,'Assignment Tool'!D98:D2131,0)))</f>
        <v>4</v>
      </c>
    </row>
    <row r="83" spans="1:11" x14ac:dyDescent="0.25">
      <c r="A83" s="118" t="str">
        <f t="shared" si="2"/>
        <v>OPP 350-2 LOTUS DR S</v>
      </c>
      <c r="G83" t="str">
        <f>IF('Assignment Tool'!C83="","",IF('Assignment Tool'!C83="FST",'Assignment Tool'!D83,""))</f>
        <v/>
      </c>
      <c r="H83">
        <v>83</v>
      </c>
      <c r="I83">
        <f t="shared" si="3"/>
        <v>381</v>
      </c>
      <c r="J83" t="str">
        <f t="array" ref="J83">IFERROR(INDEX($G$2:$G$2050,_xlfn.AGGREGATE(15,6,(ROW($G$2:$G$2050)-ROW($G$2)+1)/($G$2:$G$2050&lt;&gt;""),ROWS(J$1:J83))),"")</f>
        <v>F 230-2 LOTUS DR S</v>
      </c>
      <c r="K83">
        <f>IF(J83="","",INDEX('Assignment Tool'!E99:E2132,MATCH(FA_DATA!J83,'Assignment Tool'!D99:D2132,0)))</f>
        <v>4</v>
      </c>
    </row>
    <row r="84" spans="1:11" x14ac:dyDescent="0.25">
      <c r="A84" s="118" t="str">
        <f t="shared" si="2"/>
        <v>OPP 350-2 LOTUS DR S</v>
      </c>
      <c r="G84" t="str">
        <f>IF('Assignment Tool'!C84="","",IF('Assignment Tool'!C84="FST",'Assignment Tool'!D84,""))</f>
        <v/>
      </c>
      <c r="H84">
        <v>84</v>
      </c>
      <c r="I84">
        <f t="shared" si="3"/>
        <v>385</v>
      </c>
      <c r="J84" t="str">
        <f t="array" ref="J84">IFERROR(INDEX($G$2:$G$2050,_xlfn.AGGREGATE(15,6,(ROW($G$2:$G$2050)-ROW($G$2)+1)/($G$2:$G$2050&lt;&gt;""),ROWS(J$1:J84))),"")</f>
        <v>F 250-2 LOTUS DR S</v>
      </c>
      <c r="K84">
        <f>IF(J84="","",INDEX('Assignment Tool'!E100:E2133,MATCH(FA_DATA!J84,'Assignment Tool'!D100:D2133,0)))</f>
        <v>4</v>
      </c>
    </row>
    <row r="85" spans="1:11" x14ac:dyDescent="0.25">
      <c r="A85" s="118" t="str">
        <f t="shared" si="2"/>
        <v>F 280-2 BEAU RIVAGE DR</v>
      </c>
      <c r="G85" t="str">
        <f>IF('Assignment Tool'!C85="","",IF('Assignment Tool'!C85="FST",'Assignment Tool'!D85,""))</f>
        <v/>
      </c>
      <c r="H85">
        <v>85</v>
      </c>
      <c r="I85">
        <f t="shared" si="3"/>
        <v>389</v>
      </c>
      <c r="J85" t="str">
        <f t="array" ref="J85">IFERROR(INDEX($G$2:$G$2050,_xlfn.AGGREGATE(15,6,(ROW($G$2:$G$2050)-ROW($G$2)+1)/($G$2:$G$2050&lt;&gt;""),ROWS(J$1:J85))),"")</f>
        <v>F 270-2 LOTUS DR S</v>
      </c>
      <c r="K85">
        <f>IF(J85="","",INDEX('Assignment Tool'!E101:E2134,MATCH(FA_DATA!J85,'Assignment Tool'!D101:D2134,0)))</f>
        <v>4</v>
      </c>
    </row>
    <row r="86" spans="1:11" x14ac:dyDescent="0.25">
      <c r="A86" s="118" t="str">
        <f t="shared" si="2"/>
        <v>F 280-2 BEAU RIVAGE DR</v>
      </c>
      <c r="G86" t="str">
        <f>IF('Assignment Tool'!C86="","",IF('Assignment Tool'!C86="FST",'Assignment Tool'!D86,""))</f>
        <v/>
      </c>
      <c r="H86">
        <v>86</v>
      </c>
      <c r="I86">
        <f t="shared" si="3"/>
        <v>393</v>
      </c>
      <c r="J86" t="str">
        <f t="array" ref="J86">IFERROR(INDEX($G$2:$G$2050,_xlfn.AGGREGATE(15,6,(ROW($G$2:$G$2050)-ROW($G$2)+1)/($G$2:$G$2050&lt;&gt;""),ROWS(J$1:J86))),"")</f>
        <v>F 290-2 LOTUS DR S</v>
      </c>
      <c r="K86">
        <f>IF(J86="","",INDEX('Assignment Tool'!E102:E2135,MATCH(FA_DATA!J86,'Assignment Tool'!D102:D2135,0)))</f>
        <v>4</v>
      </c>
    </row>
    <row r="87" spans="1:11" x14ac:dyDescent="0.25">
      <c r="A87" s="118" t="str">
        <f t="shared" si="2"/>
        <v>F 280-2 BEAU RIVAGE DR</v>
      </c>
      <c r="G87" t="str">
        <f>IF('Assignment Tool'!C87="","",IF('Assignment Tool'!C87="FST",'Assignment Tool'!D87,""))</f>
        <v/>
      </c>
      <c r="H87">
        <v>87</v>
      </c>
      <c r="I87">
        <f t="shared" si="3"/>
        <v>397</v>
      </c>
      <c r="J87" t="str">
        <f t="array" ref="J87">IFERROR(INDEX($G$2:$G$2050,_xlfn.AGGREGATE(15,6,(ROW($G$2:$G$2050)-ROW($G$2)+1)/($G$2:$G$2050&lt;&gt;""),ROWS(J$1:J87))),"")</f>
        <v>F 550-2 LOTUS DR N</v>
      </c>
      <c r="K87">
        <f>IF(J87="","",INDEX('Assignment Tool'!E103:E2136,MATCH(FA_DATA!J87,'Assignment Tool'!D103:D2136,0)))</f>
        <v>4</v>
      </c>
    </row>
    <row r="88" spans="1:11" x14ac:dyDescent="0.25">
      <c r="A88" s="118" t="str">
        <f t="shared" si="2"/>
        <v>F 280-2 BEAU RIVAGE DR</v>
      </c>
      <c r="G88" t="str">
        <f>IF('Assignment Tool'!C88="","",IF('Assignment Tool'!C88="FST",'Assignment Tool'!D88,""))</f>
        <v/>
      </c>
      <c r="H88">
        <v>88</v>
      </c>
      <c r="I88">
        <f t="shared" si="3"/>
        <v>401</v>
      </c>
      <c r="J88" t="str">
        <f t="array" ref="J88">IFERROR(INDEX($G$2:$G$2050,_xlfn.AGGREGATE(15,6,(ROW($G$2:$G$2050)-ROW($G$2)+1)/($G$2:$G$2050&lt;&gt;""),ROWS(J$1:J88))),"")</f>
        <v>F 530-2 LOTUS DR N</v>
      </c>
      <c r="K88">
        <f>IF(J88="","",INDEX('Assignment Tool'!E104:E2137,MATCH(FA_DATA!J88,'Assignment Tool'!D104:D2137,0)))</f>
        <v>4</v>
      </c>
    </row>
    <row r="89" spans="1:11" x14ac:dyDescent="0.25">
      <c r="A89" s="118" t="str">
        <f t="shared" si="2"/>
        <v>F 300-2 BEAU RIVAGE DR</v>
      </c>
      <c r="G89" t="str">
        <f>IF('Assignment Tool'!C89="","",IF('Assignment Tool'!C89="FST",'Assignment Tool'!D89,""))</f>
        <v/>
      </c>
      <c r="H89">
        <v>89</v>
      </c>
      <c r="I89">
        <f t="shared" si="3"/>
        <v>405</v>
      </c>
      <c r="J89" t="str">
        <f t="array" ref="J89">IFERROR(INDEX($G$2:$G$2050,_xlfn.AGGREGATE(15,6,(ROW($G$2:$G$2050)-ROW($G$2)+1)/($G$2:$G$2050&lt;&gt;""),ROWS(J$1:J89))),"")</f>
        <v>F 510-2 LOTUS DR N</v>
      </c>
      <c r="K89">
        <f>IF(J89="","",INDEX('Assignment Tool'!E105:E2138,MATCH(FA_DATA!J89,'Assignment Tool'!D105:D2138,0)))</f>
        <v>4</v>
      </c>
    </row>
    <row r="90" spans="1:11" x14ac:dyDescent="0.25">
      <c r="A90" s="118" t="str">
        <f t="shared" si="2"/>
        <v>F 300-2 BEAU RIVAGE DR</v>
      </c>
      <c r="G90" t="str">
        <f>IF('Assignment Tool'!C90="","",IF('Assignment Tool'!C90="FST",'Assignment Tool'!D90,""))</f>
        <v/>
      </c>
      <c r="H90">
        <v>90</v>
      </c>
      <c r="I90">
        <f t="shared" si="3"/>
        <v>409</v>
      </c>
      <c r="J90" t="str">
        <f t="array" ref="J90">IFERROR(INDEX($G$2:$G$2050,_xlfn.AGGREGATE(15,6,(ROW($G$2:$G$2050)-ROW($G$2)+1)/($G$2:$G$2050&lt;&gt;""),ROWS(J$1:J90))),"")</f>
        <v>F 490-2 LOTUS DR N</v>
      </c>
      <c r="K90">
        <f>IF(J90="","",INDEX('Assignment Tool'!E106:E2139,MATCH(FA_DATA!J90,'Assignment Tool'!D106:D2139,0)))</f>
        <v>4</v>
      </c>
    </row>
    <row r="91" spans="1:11" x14ac:dyDescent="0.25">
      <c r="A91" s="118" t="str">
        <f t="shared" si="2"/>
        <v>F 300-2 BEAU RIVAGE DR</v>
      </c>
      <c r="G91" t="str">
        <f>IF('Assignment Tool'!C91="","",IF('Assignment Tool'!C91="FST",'Assignment Tool'!D91,""))</f>
        <v/>
      </c>
      <c r="H91">
        <v>91</v>
      </c>
      <c r="I91">
        <f t="shared" si="3"/>
        <v>413</v>
      </c>
      <c r="J91" t="str">
        <f t="array" ref="J91">IFERROR(INDEX($G$2:$G$2050,_xlfn.AGGREGATE(15,6,(ROW($G$2:$G$2050)-ROW($G$2)+1)/($G$2:$G$2050&lt;&gt;""),ROWS(J$1:J91))),"")</f>
        <v>F 470-2 LOTUS DR N</v>
      </c>
      <c r="K91">
        <f>IF(J91="","",INDEX('Assignment Tool'!E107:E2140,MATCH(FA_DATA!J91,'Assignment Tool'!D107:D2140,0)))</f>
        <v>4</v>
      </c>
    </row>
    <row r="92" spans="1:11" x14ac:dyDescent="0.25">
      <c r="A92" s="118" t="str">
        <f t="shared" si="2"/>
        <v>F 300-2 BEAU RIVAGE DR</v>
      </c>
      <c r="G92" t="str">
        <f>IF('Assignment Tool'!C92="","",IF('Assignment Tool'!C92="FST",'Assignment Tool'!D92,""))</f>
        <v/>
      </c>
      <c r="H92">
        <v>92</v>
      </c>
      <c r="I92">
        <f t="shared" si="3"/>
        <v>417</v>
      </c>
      <c r="J92" t="str">
        <f t="array" ref="J92">IFERROR(INDEX($G$2:$G$2050,_xlfn.AGGREGATE(15,6,(ROW($G$2:$G$2050)-ROW($G$2)+1)/($G$2:$G$2050&lt;&gt;""),ROWS(J$1:J92))),"")</f>
        <v>F 450-2 LOTUS DR N</v>
      </c>
      <c r="K92">
        <f>IF(J92="","",INDEX('Assignment Tool'!E108:E2141,MATCH(FA_DATA!J92,'Assignment Tool'!D108:D2141,0)))</f>
        <v>8</v>
      </c>
    </row>
    <row r="93" spans="1:11" x14ac:dyDescent="0.25">
      <c r="A93" s="118" t="str">
        <f t="shared" si="2"/>
        <v>F 300-2 BEAU RIVAGE DR</v>
      </c>
      <c r="G93" t="str">
        <f>IF('Assignment Tool'!C93="","",IF('Assignment Tool'!C93="FST",'Assignment Tool'!D93,""))</f>
        <v/>
      </c>
      <c r="H93">
        <v>93</v>
      </c>
      <c r="I93">
        <f t="shared" si="3"/>
        <v>425</v>
      </c>
      <c r="J93" t="str">
        <f t="array" ref="J93">IFERROR(INDEX($G$2:$G$2050,_xlfn.AGGREGATE(15,6,(ROW($G$2:$G$2050)-ROW($G$2)+1)/($G$2:$G$2050&lt;&gt;""),ROWS(J$1:J93))),"")</f>
        <v>F 430-2 LOTUS DR N</v>
      </c>
      <c r="K93">
        <f>IF(J93="","",INDEX('Assignment Tool'!E109:E2142,MATCH(FA_DATA!J93,'Assignment Tool'!D109:D2142,0)))</f>
        <v>4</v>
      </c>
    </row>
    <row r="94" spans="1:11" x14ac:dyDescent="0.25">
      <c r="A94" s="118" t="str">
        <f t="shared" si="2"/>
        <v>F 300-2 BEAU RIVAGE DR</v>
      </c>
      <c r="G94" t="str">
        <f>IF('Assignment Tool'!C94="","",IF('Assignment Tool'!C94="FST",'Assignment Tool'!D94,""))</f>
        <v/>
      </c>
      <c r="H94">
        <v>94</v>
      </c>
      <c r="I94">
        <f t="shared" si="3"/>
        <v>429</v>
      </c>
      <c r="J94" t="str">
        <f t="array" ref="J94">IFERROR(INDEX($G$2:$G$2050,_xlfn.AGGREGATE(15,6,(ROW($G$2:$G$2050)-ROW($G$2)+1)/($G$2:$G$2050&lt;&gt;""),ROWS(J$1:J94))),"")</f>
        <v>F 420-2 LOTUS DR N</v>
      </c>
      <c r="K94">
        <f>IF(J94="","",INDEX('Assignment Tool'!E110:E2143,MATCH(FA_DATA!J94,'Assignment Tool'!D110:D2143,0)))</f>
        <v>4</v>
      </c>
    </row>
    <row r="95" spans="1:11" x14ac:dyDescent="0.25">
      <c r="A95" s="118" t="str">
        <f t="shared" si="2"/>
        <v>F 300-2 BEAU RIVAGE DR</v>
      </c>
      <c r="G95" t="str">
        <f>IF('Assignment Tool'!C95="","",IF('Assignment Tool'!C95="FST",'Assignment Tool'!D95,""))</f>
        <v/>
      </c>
      <c r="H95">
        <v>95</v>
      </c>
      <c r="I95">
        <f t="shared" si="3"/>
        <v>433</v>
      </c>
      <c r="J95" t="str">
        <f t="array" ref="J95">IFERROR(INDEX($G$2:$G$2050,_xlfn.AGGREGATE(15,6,(ROW($G$2:$G$2050)-ROW($G$2)+1)/($G$2:$G$2050&lt;&gt;""),ROWS(J$1:J95))),"")</f>
        <v/>
      </c>
      <c r="K95" t="str">
        <f>IF(J95="","",INDEX('Assignment Tool'!E111:E2144,MATCH(FA_DATA!J95,'Assignment Tool'!D111:D2144,0)))</f>
        <v/>
      </c>
    </row>
    <row r="96" spans="1:11" x14ac:dyDescent="0.25">
      <c r="A96" s="118" t="str">
        <f t="shared" si="2"/>
        <v>F 300-2 BEAU RIVAGE DR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320-2 BEAU RIVAGE DR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320-2 BEAU RIVAGE DR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320-2 BEAU RIVAGE DR</v>
      </c>
      <c r="G99" t="str">
        <f>IF('Assignment Tool'!C99="","",IF('Assignment Tool'!C99="FST",'Assignment Tool'!D99,""))</f>
        <v>F 225-2 SILVER MAPLE DR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320-2 BEAU RIVAGE DR</v>
      </c>
      <c r="G100" t="str">
        <f>IF('Assignment Tool'!C100="","",IF('Assignment Tool'!C100="FST",'Assignment Tool'!D100,""))</f>
        <v>F 245-2 SILVER MAPLE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330-2 BEAU RIVAGE DR</v>
      </c>
      <c r="G101" t="str">
        <f>IF('Assignment Tool'!C101="","",IF('Assignment Tool'!C101="FST",'Assignment Tool'!D101,""))</f>
        <v>F 265-2 SILVER MAPLE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330-2 BEAU RIVAGE DR</v>
      </c>
      <c r="G102" t="str">
        <f>IF('Assignment Tool'!C102="","",IF('Assignment Tool'!C102="FST",'Assignment Tool'!D102,""))</f>
        <v>F 325-2 LOTUS DR S</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330-2 BEAU RIVAGE DR</v>
      </c>
      <c r="G103" t="str">
        <f>IF('Assignment Tool'!C103="","",IF('Assignment Tool'!C103="FST",'Assignment Tool'!D103,""))</f>
        <v>OPP 330-2 LOTUS DR S</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330-2 BEAU RIVAGE DR</v>
      </c>
      <c r="G104" t="str">
        <f>IF('Assignment Tool'!C104="","",IF('Assignment Tool'!C104="FST",'Assignment Tool'!D104,""))</f>
        <v>OPP 350-2 LOTUS DR S</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350-2 BEAU RIVAGE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350-2 BEAU RIVAGE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350-2 BEAU RIVAGE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350-2 BEAU RIVAGE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35-2 BERG CT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35-2 BERG CT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35-2 BERG CT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35-2 BERG CT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30-2 BERG CT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30-2 BERG CT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30-2 BERG CT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30-2 BERG CT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20-2 BERG CT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20-2 BERG CT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20-2 BERG CT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20-2 BERG CT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235-2 MOSS LN</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235-2 MOSS LN</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235-2 MOSS LN</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235-2 MOSS LN</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245-2 MOSS LN</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245-2 MOSS LN</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245-2 MOSS LN</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245-2 MOSS LN</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245-2 MOSS LN</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245-2 MOSS LN</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245-2 MOSS LN</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245-2 MOSS LN</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235-2 GARDEN AVE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235-2 GARDEN AVE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235-2 GARDEN AVE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235-2 GARDEN AVE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255-2 GARDEN AVE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255-2 GARDEN AVE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255-2 GARDEN AVE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255-2 GARDEN AVE</v>
      </c>
      <c r="G140" t="str">
        <f>IF('Assignment Tool'!C140="","",IF('Assignment Tool'!C140="FST",'Assignment Tool'!D140,""))</f>
        <v>F 280-2 BEAU RIVAGE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275-2 GARDEN AVE</v>
      </c>
      <c r="G141" t="str">
        <f>IF('Assignment Tool'!C141="","",IF('Assignment Tool'!C141="FST",'Assignment Tool'!D141,""))</f>
        <v>F 300-2 BEAU RIVAGE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275-2 GARDEN AVE</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275-2 GARDEN AVE</v>
      </c>
      <c r="G143" t="str">
        <f>IF('Assignment Tool'!C143="","",IF('Assignment Tool'!C143="FST",'Assignment Tool'!D143,""))</f>
        <v>F 320-2 BEAU RIVAGE DR</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275-2 GARDEN AVE</v>
      </c>
      <c r="G144" t="str">
        <f>IF('Assignment Tool'!C144="","",IF('Assignment Tool'!C144="FST",'Assignment Tool'!D144,""))</f>
        <v>F 330-2 BEAU RIVAGE DR</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295-2 GARDEN AVE</v>
      </c>
      <c r="G145" t="str">
        <f>IF('Assignment Tool'!C145="","",IF('Assignment Tool'!C145="FST",'Assignment Tool'!D145,""))</f>
        <v>F 350-2 BEAU RIVAGE DR</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295-2 GARDEN AVE</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295-2 GARDEN AVE</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295-2 GARDEN AVE</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315-2 GARDEN AVE</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315-2 GARDEN AVE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315-2 GARDEN AVE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315-2 GARDEN AVE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335-2 GARDEN AVE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335-2 GARDEN AVE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335-2 GARDEN AVE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335-2 GARDEN AVE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335-2 GARDEN AVE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335-2 GARDEN AVE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335-2 GARDEN AVE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335-2 GARDEN AVE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340-2 GARDEN AVE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340-2 GARDEN AVE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340-2 GARDEN AVE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340-2 GARDEN AVE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OPP 340-2 GARDEN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OPP 340-2 GARDEN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OPP 340-2 GARDEN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OPP 340-2 GARDEN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315-2 HYACINTH LN</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315-2 HYACINTH LN</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315-2 HYACINTH LN</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315-2 HYACINTH LN</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355-2 CAMELLIA LN</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355-2 CAMELLIA LN</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355-2 CAMELLIA LN</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355-2 CAMELLIA LN</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375-2 LOTUS DR S</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375-2 LOTUS DR S</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375-2 LOTUS DR S</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375-2 LOTUS DR S</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375-2 LOTUS DR S</v>
      </c>
      <c r="G181" t="str">
        <f>IF('Assignment Tool'!C181="","",IF('Assignment Tool'!C181="FST",'Assignment Tool'!D181,""))</f>
        <v>F 35-2 BERG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375-2 LOTUS DR S</v>
      </c>
      <c r="G182" t="str">
        <f>IF('Assignment Tool'!C182="","",IF('Assignment Tool'!C182="FST",'Assignment Tool'!D182,""))</f>
        <v>F 30-2 BERG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375-2 LOTUS DR S</v>
      </c>
      <c r="G183" t="str">
        <f>IF('Assignment Tool'!C183="","",IF('Assignment Tool'!C183="FST",'Assignment Tool'!D183,""))</f>
        <v>F 20-2 BERG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375-2 LOTUS DR S</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390-2 GARDEN AVE</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390-2 GARDEN AVE</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390-2 GARDEN AVE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390-2 GARDEN AVE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390-2 GARDEN AVE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390-2 GARDEN AVE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390-2 GARDEN AVE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390-2 GARDEN AVE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355-2 GARDEN AVE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355-2 GARDEN AVE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355-2 GARDEN AVE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355-2 GARDEN AVE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375-2 GARDEN AVE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375-2 GARDEN AVE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375-2 GARDEN AVE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375-2 GARDEN AVE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395-2 GARDEN AVE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395-2 GARDEN AVE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395-2 GARDEN AVE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395-2 GARDEN AVE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399-2 GARDEN AVE</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399-2 GARDEN AVE</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399-2 GARDEN AVE</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399-2 GARDEN AVE</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425-2 GARDEN AVE</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425-2 GARDEN AVE</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425-2 GARDEN AVE</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425-2 GARDEN AVE</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425-2 GARDEN AVE</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425-2 GARDEN AVE</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425-2 GARDEN AVE</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425-2 GARDEN AVE</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541-2 GARDEN AVE</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541-2 GARDEN AVE</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541-2 GARDEN AVE</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541-2 GARDEN AVE</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561-2 GARDEN AVE</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561-2 GARDEN AVE</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561-2 GARDEN AVE</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561-2 GARDEN AVE</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417-2 VENUS DR</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417-2 VENUS DR</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417-2 VENUS DR</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417-2 VENUS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417-2 VENUS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417-2 VENUS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417-2 VENUS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417-2 VENUS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409-2 VENUS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409-2 VENUS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409-2 VENUS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409-2 VENUS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409-2 VENUS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409-2 VENUS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409-2 VENUS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409-2 VENUS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420-2 HEAVENS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420-2 HEAVENS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420-2 HEAVENS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420-2 HEAVENS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412-2 HEAVENS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412-2 HEAVENS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412-2 HEAVENS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412-2 HEAVENS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406-2 HEAVENS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406-2 HEAVENS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406-2 HEAVENS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406-2 HEAVENS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406-2 HEAVENS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406-2 HEAVENS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406-2 HEAVENS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406-2 HEAVENS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430-2 DORADO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430-2 DORADO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430-2 DORADO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430-2 DORADO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430-2 DORADO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430-2 DORADO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430-2 DORADO DR</v>
      </c>
      <c r="G263" t="str">
        <f>IF('Assignment Tool'!C263="","",IF('Assignment Tool'!C263="FST",'Assignment Tool'!D263,""))</f>
        <v>F 235-2 MOSS LN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430-2 DORADO DR</v>
      </c>
      <c r="G264" t="str">
        <f>IF('Assignment Tool'!C264="","",IF('Assignment Tool'!C264="FST",'Assignment Tool'!D264,""))</f>
        <v>F 245-2 MOSS LN</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510-2 DORADO DR</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510-2 DORADO DR</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510-2 DORADO DR</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510-2 DORADO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530-2 DORADO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530-2 DORADO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530-2 DORADO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530-2 DORADO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404-2 VENUS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404-2 VENUS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404-2 VENUS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404-2 VENUS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260-2 AZALEA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260-2 AZALEA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260-2 AZALEA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260-2 AZALEA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280-2 AZALEA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280-2 AZALEA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280-2 AZALEA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280-2 AZALEA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300-2 AZALEA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300-2 AZALEA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300-2 AZALEA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300-2 AZALEA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310-2 AZALEA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310-2 AZALEA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310-2 AZALEA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310-2 AZALEA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340-2 AZALEA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340-2 AZALEA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340-2 AZALEA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340-2 AZALEA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364-2 AZALEA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364-2 AZALEA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364-2 AZALEA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364-2 AZALEA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380-2 AZALEA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380-2 AZALEA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380-2 AZALEA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380-2 AZALEA DR</v>
      </c>
      <c r="G304" t="str">
        <f>IF('Assignment Tool'!C304="","",IF('Assignment Tool'!C304="FST",'Assignment Tool'!D304,""))</f>
        <v>F 235-2 GARDEN AVE</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390-2 AZALEA DR</v>
      </c>
      <c r="G305" t="str">
        <f>IF('Assignment Tool'!C305="","",IF('Assignment Tool'!C305="FST",'Assignment Tool'!D305,""))</f>
        <v>F 255-2 GARDEN AVE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390-2 AZALEA DR</v>
      </c>
      <c r="G306" t="str">
        <f>IF('Assignment Tool'!C306="","",IF('Assignment Tool'!C306="FST",'Assignment Tool'!D306,""))</f>
        <v>F 275-2 GARDEN AVE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390-2 AZALEA DR</v>
      </c>
      <c r="G307" t="str">
        <f>IF('Assignment Tool'!C307="","",IF('Assignment Tool'!C307="FST",'Assignment Tool'!D307,""))</f>
        <v>F 295-2 GARDEN AVE</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390-2 AZALEA DR</v>
      </c>
      <c r="G308" t="str">
        <f>IF('Assignment Tool'!C308="","",IF('Assignment Tool'!C308="FST",'Assignment Tool'!D308,""))</f>
        <v>F 315-2 GARDEN AVE</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398-2 AZALEA DR</v>
      </c>
      <c r="G309" t="str">
        <f>IF('Assignment Tool'!C309="","",IF('Assignment Tool'!C309="FST",'Assignment Tool'!D309,""))</f>
        <v>F 335-2 GARDEN AVE</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398-2 AZALEA DR</v>
      </c>
      <c r="G310" t="str">
        <f>IF('Assignment Tool'!C310="","",IF('Assignment Tool'!C310="FST",'Assignment Tool'!D310,""))</f>
        <v>OPP 340-2 GARDEN AVE</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398-2 AZALEA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398-2 AZALEA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275-2 MOSS LN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275-2 MOSS LN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275-2 MOSS LN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275-2 MOSS LN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295-2 MOSS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295-2 MOSS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295-2 MOSS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295-2 MOSS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315-2 MOSS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315-2 MOSS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315-2 MOSS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315-2 MOSS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335-2 MOSS LN</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335-2 MOSS LN</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335-2 MOSS LN</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335-2 MOSS LN</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355-2 MOSS LN</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355-2 MOSS LN</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355-2 MOSS LN</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355-2 MOSS LN</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365-2 MOSS LN</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365-2 MOSS LN</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365-2 MOSS LN</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365-2 MOSS LN</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385-2 JASMINE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385-2 JASMINE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385-2 JASMINE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385-2 JASMINE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365-2 JASMINE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365-2 JASMINE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365-2 JASMINE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365-2 JASMINE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345-2 JASMINE DR</v>
      </c>
      <c r="G345" t="str">
        <f>IF('Assignment Tool'!C345="","",IF('Assignment Tool'!C345="FST",'Assignment Tool'!D345,""))</f>
        <v>OPP 315-2 HYACINTH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345-2 JASMINE DR</v>
      </c>
      <c r="G346" t="str">
        <f>IF('Assignment Tool'!C346="","",IF('Assignment Tool'!C346="FST",'Assignment Tool'!D346,""))</f>
        <v>F 355-2 CAMELLIA LN</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345-2 JASMINE DR</v>
      </c>
      <c r="G347" t="str">
        <f>IF('Assignment Tool'!C347="","",IF('Assignment Tool'!C347="FST",'Assignment Tool'!D347,""))</f>
        <v>F 375-2 LOTUS DR S</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345-2 JASMINE DR</v>
      </c>
      <c r="G348" t="str">
        <f>IF('Assignment Tool'!C348="","",IF('Assignment Tool'!C348="FST",'Assignment Tool'!D348,""))</f>
        <v>F 390-2 GARDEN AVE</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325-2 JASMINE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325-2 JASMINE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325-2 JASMINE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325-2 JASMINE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315-2 JASMINE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315-2 JASMINE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315-2 JASMINE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315-2 JASMINE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315-2 JASMINE DR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315-2 JASMINE DR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315-2 JASMINE DR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315-2 JASMINE DR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370-2 BEAU RIVAGE DR</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370-2 BEAU RIVAGE DR</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370-2 BEAU RIVAGE DR</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370-2 BEAU RIVAGE DR</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380-2 BEAU RIVAGE DR</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380-2 BEAU RIVAGE DR</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380-2 BEAU RIVAGE DR</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380-2 BEAU RIVAGE DR</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400-2 BEAU RIVAGE DR</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400-2 BEAU RIVAGE DR</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400-2 BEAU RIVAGE DR</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400-2 BEAU RIVAGE DR</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375-2 BEAU RIVAGE DR</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375-2 BEAU RIVAGE DR</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375-2 BEAU RIVAGE DR</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375-2 BEAU RIVAGE DR</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210-2 LOTUS DR S</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210-2 LOTUS DR S</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210-2 LOTUS DR S</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210-2 LOTUS DR S</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230-2 LOTUS DR S</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230-2 LOTUS DR S</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230-2 LOTUS DR S</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230-2 LOTUS DR S</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250-2 LOTUS DR S</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250-2 LOTUS DR S</v>
      </c>
      <c r="G386" t="str">
        <f>IF('Assignment Tool'!C386="","",IF('Assignment Tool'!C386="FST",'Assignment Tool'!D386,""))</f>
        <v>F 355-2 GARDEN AVE</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250-2 LOTUS DR S</v>
      </c>
      <c r="G387" t="str">
        <f>IF('Assignment Tool'!C387="","",IF('Assignment Tool'!C387="FST",'Assignment Tool'!D387,""))</f>
        <v>F 375-2 GARDEN AVE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250-2 LOTUS DR S</v>
      </c>
      <c r="G388" t="str">
        <f>IF('Assignment Tool'!C388="","",IF('Assignment Tool'!C388="FST",'Assignment Tool'!D388,""))</f>
        <v>F 395-2 GARDEN AVE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270-2 LOTUS DR S</v>
      </c>
      <c r="G389" t="str">
        <f>IF('Assignment Tool'!C389="","",IF('Assignment Tool'!C389="FST",'Assignment Tool'!D389,""))</f>
        <v>F 399-2 GARDEN AVE</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270-2 LOTUS DR S</v>
      </c>
      <c r="G390" t="str">
        <f>IF('Assignment Tool'!C390="","",IF('Assignment Tool'!C390="FST",'Assignment Tool'!D390,""))</f>
        <v>F 425-2 GARDEN AVE</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270-2 LOTUS DR S</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270-2 LOTUS DR S</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290-2 LOTUS DR S</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290-2 LOTUS DR S</v>
      </c>
      <c r="G394" t="str">
        <f>IF('Assignment Tool'!C394="","",IF('Assignment Tool'!C394="FST",'Assignment Tool'!D394,""))</f>
        <v>F 541-2 GARDEN AVE</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290-2 LOTUS DR S</v>
      </c>
      <c r="G395" t="str">
        <f>IF('Assignment Tool'!C395="","",IF('Assignment Tool'!C395="FST",'Assignment Tool'!D395,""))</f>
        <v>F 561-2 GARDEN AVE</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290-2 LOTUS DR S</v>
      </c>
      <c r="G396" t="str">
        <f>IF('Assignment Tool'!C396="","",IF('Assignment Tool'!C396="FST",'Assignment Tool'!D396,""))</f>
        <v>F 417-2 VENUS DR</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550-2 LOTUS DR N</v>
      </c>
      <c r="G397" t="str">
        <f>IF('Assignment Tool'!C397="","",IF('Assignment Tool'!C397="FST",'Assignment Tool'!D397,""))</f>
        <v>F 409-2 VENUS DR</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550-2 LOTUS DR N</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550-2 LOTUS DR N</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550-2 LOTUS DR N</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530-2 LOTUS DR N</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530-2 LOTUS DR N</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530-2 LOTUS DR N</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530-2 LOTUS DR N</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510-2 LOTUS DR N</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510-2 LOTUS DR N</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510-2 LOTUS DR N</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510-2 LOTUS DR N</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490-2 LOTUS DR N</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490-2 LOTUS DR N</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490-2 LOTUS DR N</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490-2 LOTUS DR N</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470-2 LOTUS DR N</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470-2 LOTUS DR N</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470-2 LOTUS DR N</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470-2 LOTUS DR N</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450-2 LOTUS DR N</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450-2 LOTUS DR N</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450-2 LOTUS DR N</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450-2 LOTUS DR N</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450-2 LOTUS DR 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450-2 LOTUS DR 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450-2 LOTUS DR 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450-2 LOTUS DR 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430-2 LOTUS DR 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430-2 LOTUS DR 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430-2 LOTUS DR N</v>
      </c>
      <c r="G427" t="str">
        <f>IF('Assignment Tool'!C427="","",IF('Assignment Tool'!C427="FST",'Assignment Tool'!D427,""))</f>
        <v>F 420-2 HEAVENS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430-2 LOTUS DR N</v>
      </c>
      <c r="G428" t="str">
        <f>IF('Assignment Tool'!C428="","",IF('Assignment Tool'!C428="FST",'Assignment Tool'!D428,""))</f>
        <v>F 412-2 HEAVENS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420-2 LOTUS DR N</v>
      </c>
      <c r="G429" t="str">
        <f>IF('Assignment Tool'!C429="","",IF('Assignment Tool'!C429="FST",'Assignment Tool'!D429,""))</f>
        <v>F 406-2 HEAVENS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420-2 LOTUS DR N</v>
      </c>
      <c r="G430" t="str">
        <f>IF('Assignment Tool'!C430="","",IF('Assignment Tool'!C430="FST",'Assignment Tool'!D430,""))</f>
        <v>F 430-2 DORADO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420-2 LOTUS DR N</v>
      </c>
      <c r="G431" t="str">
        <f>IF('Assignment Tool'!C431="","",IF('Assignment Tool'!C431="FST",'Assignment Tool'!D431,""))</f>
        <v>F 510-2 DORADO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420-2 LOTUS DR N</v>
      </c>
      <c r="G432" t="str">
        <f>IF('Assignment Tool'!C432="","",IF('Assignment Tool'!C432="FST",'Assignment Tool'!D432,""))</f>
        <v>F 530-2 DORADO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F 404-2 VENUS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260-2 AZALEA DR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280-2 AZALEA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300-2 AZALEA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310-2 AZALEA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340-2 AZALEA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F 364-2 AZALEA DR</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F 380-2 AZALEA DR</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F 390-2 AZALEA DR</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F 398-2 AZALEA DR</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275-2 MOSS LN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295-2 MOSS LN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315-2 MOSS LN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335-2 MOSS LN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F 355-2 MOSS LN</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F 365-2 MOSS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385-2 JASMINE DR</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365-2 JASMINE DR</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345-2 JASMINE DR</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325-2 JASMINE DR</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315-2 JASMINE DR</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370-2 BEAU RIVAGE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380-2 BEAU RIVAGE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400-2 BEAU RIVAGE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375-2 BEAU RIVAGE DR</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F 210-2 LOTUS DR S</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F 230-2 LOTUS DR S</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F 250-2 LOTUS DR S</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F 270-2 LOTUS DR S</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F 290-2 LOTUS DR S</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550-2 LOTUS DR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530-2 LOTUS DR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510-2 LOTUS DR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F 490-2 LOTUS DR N</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F 470-2 LOTUS DR N</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F 450-2 LOTUS DR N</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F 430-2 LOTUS DR N</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F 420-2 LOTUS DR N</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3" activePane="bottomRight" state="frozen"/>
      <selection pane="topRight" activeCell="A9" sqref="A9"/>
      <selection pane="bottomLeft" activeCell="A9" sqref="A9"/>
      <selection pane="bottomRight" activeCell="A26" sqref="A26:XFD2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1"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2" t="s">
        <v>53</v>
      </c>
      <c r="AH1" s="252" t="s">
        <v>54</v>
      </c>
      <c r="AI1" s="252" t="s">
        <v>55</v>
      </c>
      <c r="AJ1" s="252" t="s">
        <v>56</v>
      </c>
      <c r="AK1" s="252" t="s">
        <v>57</v>
      </c>
      <c r="AL1" s="252" t="s">
        <v>58</v>
      </c>
      <c r="AM1" s="252" t="s">
        <v>59</v>
      </c>
      <c r="AN1" s="252" t="s">
        <v>60</v>
      </c>
      <c r="AO1" s="252" t="s">
        <v>61</v>
      </c>
      <c r="AP1" s="252"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v>3</v>
      </c>
      <c r="C5" s="4">
        <v>74</v>
      </c>
      <c r="D5" s="4">
        <v>74</v>
      </c>
      <c r="E5" s="4">
        <v>177</v>
      </c>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3</v>
      </c>
      <c r="C6" s="4">
        <v>74</v>
      </c>
      <c r="D6" s="4">
        <v>74</v>
      </c>
      <c r="E6" s="4">
        <v>74</v>
      </c>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v>2</v>
      </c>
      <c r="C7" s="4">
        <v>74</v>
      </c>
      <c r="D7" s="4">
        <v>72</v>
      </c>
      <c r="E7" s="4"/>
      <c r="F7" s="4"/>
      <c r="G7" s="4"/>
      <c r="H7" s="4"/>
      <c r="I7" s="4"/>
      <c r="J7" s="4"/>
      <c r="K7" s="4"/>
      <c r="L7" s="4"/>
      <c r="M7" s="4"/>
      <c r="N7" s="4"/>
      <c r="O7" s="4"/>
      <c r="P7" s="4"/>
      <c r="Q7" s="4"/>
      <c r="R7" s="4"/>
      <c r="S7" s="4"/>
      <c r="T7" s="4"/>
      <c r="U7" s="4"/>
      <c r="V7" s="4"/>
      <c r="W7" s="4">
        <v>85</v>
      </c>
      <c r="X7" s="4"/>
      <c r="Y7" s="4"/>
      <c r="Z7" s="4"/>
      <c r="AA7" s="4"/>
      <c r="AB7" s="4"/>
      <c r="AC7" s="4"/>
      <c r="AD7" s="4"/>
      <c r="AE7" s="4"/>
      <c r="AF7" s="4"/>
      <c r="AG7" s="4"/>
      <c r="AH7" s="4"/>
      <c r="AI7" s="4"/>
      <c r="AJ7" s="4"/>
      <c r="AK7" s="4"/>
      <c r="AL7" s="4"/>
      <c r="AM7" s="4"/>
      <c r="AN7" s="4"/>
      <c r="AO7" s="4"/>
      <c r="AP7" s="4"/>
    </row>
    <row r="8" spans="1:42" x14ac:dyDescent="0.25">
      <c r="A8" s="6">
        <v>9</v>
      </c>
      <c r="B8" s="5">
        <v>1</v>
      </c>
      <c r="C8" s="4">
        <v>71</v>
      </c>
      <c r="D8" s="4"/>
      <c r="E8" s="4"/>
      <c r="F8" s="4"/>
      <c r="G8" s="4"/>
      <c r="H8" s="4"/>
      <c r="I8" s="4"/>
      <c r="J8" s="4"/>
      <c r="K8" s="4"/>
      <c r="L8" s="4"/>
      <c r="M8" s="4"/>
      <c r="N8" s="4"/>
      <c r="O8" s="4"/>
      <c r="P8" s="4"/>
      <c r="Q8" s="4"/>
      <c r="R8" s="4"/>
      <c r="S8" s="4"/>
      <c r="T8" s="4"/>
      <c r="U8" s="4"/>
      <c r="V8" s="4"/>
      <c r="W8" s="4">
        <v>21</v>
      </c>
      <c r="X8" s="4"/>
      <c r="Y8" s="4"/>
      <c r="Z8" s="4"/>
      <c r="AA8" s="4"/>
      <c r="AB8" s="4"/>
      <c r="AC8" s="4"/>
      <c r="AD8" s="4"/>
      <c r="AE8" s="4"/>
      <c r="AF8" s="4"/>
      <c r="AG8" s="4"/>
      <c r="AH8" s="4"/>
      <c r="AI8" s="4"/>
      <c r="AJ8" s="4"/>
      <c r="AK8" s="4"/>
      <c r="AL8" s="4"/>
      <c r="AM8" s="4"/>
      <c r="AN8" s="4"/>
      <c r="AO8" s="4"/>
      <c r="AP8" s="4"/>
    </row>
    <row r="9" spans="1:42" x14ac:dyDescent="0.25">
      <c r="A9" s="6">
        <v>10</v>
      </c>
      <c r="B9" s="5">
        <v>3</v>
      </c>
      <c r="C9" s="4">
        <v>72</v>
      </c>
      <c r="D9" s="4">
        <v>72</v>
      </c>
      <c r="E9" s="4">
        <v>70</v>
      </c>
      <c r="F9" s="4"/>
      <c r="G9" s="4"/>
      <c r="H9" s="4"/>
      <c r="I9" s="4"/>
      <c r="J9" s="4"/>
      <c r="K9" s="4"/>
      <c r="L9" s="4"/>
      <c r="M9" s="4"/>
      <c r="N9" s="4"/>
      <c r="O9" s="4"/>
      <c r="P9" s="4"/>
      <c r="Q9" s="4"/>
      <c r="R9" s="4"/>
      <c r="S9" s="4"/>
      <c r="T9" s="4"/>
      <c r="U9" s="4"/>
      <c r="V9" s="4"/>
      <c r="W9" s="4">
        <v>40</v>
      </c>
      <c r="X9" s="4">
        <v>40</v>
      </c>
      <c r="Y9" s="4">
        <v>97</v>
      </c>
      <c r="Z9" s="4"/>
      <c r="AA9" s="4"/>
      <c r="AB9" s="4"/>
      <c r="AC9" s="4"/>
      <c r="AD9" s="4"/>
      <c r="AE9" s="4"/>
      <c r="AF9" s="4"/>
      <c r="AG9" s="4"/>
      <c r="AH9" s="4"/>
      <c r="AI9" s="4"/>
      <c r="AJ9" s="4"/>
      <c r="AK9" s="4"/>
      <c r="AL9" s="4"/>
      <c r="AM9" s="4"/>
      <c r="AN9" s="4"/>
      <c r="AO9" s="4"/>
      <c r="AP9" s="4"/>
    </row>
    <row r="10" spans="1:42" x14ac:dyDescent="0.25">
      <c r="A10" s="6">
        <v>11</v>
      </c>
      <c r="B10" s="5">
        <v>4</v>
      </c>
      <c r="C10" s="4">
        <v>70</v>
      </c>
      <c r="D10" s="4">
        <v>70</v>
      </c>
      <c r="E10" s="4">
        <v>72</v>
      </c>
      <c r="F10" s="4">
        <v>72</v>
      </c>
      <c r="G10" s="4"/>
      <c r="H10" s="4"/>
      <c r="I10" s="4"/>
      <c r="J10" s="4"/>
      <c r="K10" s="4"/>
      <c r="L10" s="4"/>
      <c r="M10" s="4"/>
      <c r="N10" s="4"/>
      <c r="O10" s="4"/>
      <c r="P10" s="4"/>
      <c r="Q10" s="4"/>
      <c r="R10" s="4"/>
      <c r="S10" s="4"/>
      <c r="T10" s="4"/>
      <c r="U10" s="4"/>
      <c r="V10" s="4"/>
      <c r="W10" s="4">
        <v>72</v>
      </c>
      <c r="X10" s="4">
        <v>15</v>
      </c>
      <c r="Y10" s="4"/>
      <c r="Z10" s="4"/>
      <c r="AA10" s="4"/>
      <c r="AB10" s="4"/>
      <c r="AC10" s="4"/>
      <c r="AD10" s="4"/>
      <c r="AE10" s="4"/>
      <c r="AF10" s="4"/>
      <c r="AG10" s="4"/>
      <c r="AH10" s="4"/>
      <c r="AI10" s="4"/>
      <c r="AJ10" s="4"/>
      <c r="AK10" s="4"/>
      <c r="AL10" s="4"/>
      <c r="AM10" s="4"/>
      <c r="AN10" s="4"/>
      <c r="AO10" s="4"/>
      <c r="AP10" s="4"/>
    </row>
    <row r="11" spans="1:42" ht="15.75" customHeight="1" x14ac:dyDescent="0.25">
      <c r="A11" s="6"/>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v>1</v>
      </c>
      <c r="C12" s="4">
        <v>72</v>
      </c>
      <c r="D12" s="4"/>
      <c r="E12" s="4"/>
      <c r="F12" s="4"/>
      <c r="G12" s="4"/>
      <c r="H12" s="4"/>
      <c r="I12" s="4"/>
      <c r="J12" s="4"/>
      <c r="K12" s="4"/>
      <c r="L12" s="4"/>
      <c r="M12" s="4"/>
      <c r="N12" s="4"/>
      <c r="O12" s="4"/>
      <c r="P12" s="4"/>
      <c r="Q12" s="4"/>
      <c r="R12" s="4"/>
      <c r="S12" s="4"/>
      <c r="T12" s="4"/>
      <c r="U12" s="4"/>
      <c r="V12" s="4"/>
      <c r="W12" s="4">
        <v>32</v>
      </c>
      <c r="X12" s="4"/>
      <c r="Y12" s="4"/>
      <c r="Z12" s="4"/>
      <c r="AA12" s="4"/>
      <c r="AB12" s="4"/>
      <c r="AC12" s="4"/>
      <c r="AD12" s="4"/>
      <c r="AE12" s="4"/>
      <c r="AF12" s="4"/>
      <c r="AG12" s="4"/>
      <c r="AH12" s="4"/>
      <c r="AI12" s="4"/>
      <c r="AJ12" s="4"/>
      <c r="AK12" s="4"/>
      <c r="AL12" s="4"/>
      <c r="AM12" s="4"/>
      <c r="AN12" s="4"/>
      <c r="AO12" s="4"/>
      <c r="AP12" s="4"/>
    </row>
    <row r="13" spans="1:42" x14ac:dyDescent="0.25">
      <c r="A13" s="6">
        <v>14</v>
      </c>
      <c r="B13" s="5">
        <v>4</v>
      </c>
      <c r="C13" s="4">
        <v>74</v>
      </c>
      <c r="D13" s="4">
        <v>74</v>
      </c>
      <c r="E13" s="4">
        <v>72</v>
      </c>
      <c r="F13" s="4">
        <v>72</v>
      </c>
      <c r="G13" s="4"/>
      <c r="H13" s="4"/>
      <c r="I13" s="4"/>
      <c r="J13" s="4"/>
      <c r="K13" s="4"/>
      <c r="L13" s="4"/>
      <c r="M13" s="4"/>
      <c r="N13" s="4"/>
      <c r="O13" s="4"/>
      <c r="P13" s="4"/>
      <c r="Q13" s="4"/>
      <c r="R13" s="4"/>
      <c r="S13" s="4"/>
      <c r="T13" s="4"/>
      <c r="U13" s="4"/>
      <c r="V13" s="4"/>
      <c r="W13" s="4">
        <v>13</v>
      </c>
      <c r="X13" s="4">
        <v>13</v>
      </c>
      <c r="Y13" s="4"/>
      <c r="Z13" s="4"/>
      <c r="AA13" s="4"/>
      <c r="AB13" s="4"/>
      <c r="AC13" s="4"/>
      <c r="AD13" s="4"/>
      <c r="AE13" s="4"/>
      <c r="AF13" s="4"/>
      <c r="AG13" s="4"/>
      <c r="AH13" s="4"/>
      <c r="AI13" s="4"/>
      <c r="AJ13" s="4"/>
      <c r="AK13" s="4"/>
      <c r="AL13" s="4"/>
      <c r="AM13" s="4"/>
      <c r="AN13" s="4"/>
      <c r="AO13" s="4"/>
      <c r="AP13" s="4"/>
    </row>
    <row r="14" spans="1:42" x14ac:dyDescent="0.25">
      <c r="A14" s="6">
        <v>15</v>
      </c>
      <c r="B14" s="5">
        <v>4</v>
      </c>
      <c r="C14" s="4">
        <v>88</v>
      </c>
      <c r="D14" s="4">
        <v>88</v>
      </c>
      <c r="E14" s="4">
        <v>107</v>
      </c>
      <c r="F14" s="4">
        <v>105</v>
      </c>
      <c r="G14" s="4"/>
      <c r="H14" s="4"/>
      <c r="I14" s="4"/>
      <c r="J14" s="4"/>
      <c r="K14" s="4"/>
      <c r="L14" s="4"/>
      <c r="M14" s="4"/>
      <c r="N14" s="4"/>
      <c r="O14" s="4"/>
      <c r="P14" s="4"/>
      <c r="Q14" s="4"/>
      <c r="R14" s="4"/>
      <c r="S14" s="4"/>
      <c r="T14" s="4"/>
      <c r="U14" s="4"/>
      <c r="V14" s="4"/>
      <c r="W14" s="4">
        <v>22</v>
      </c>
      <c r="X14" s="4">
        <v>32</v>
      </c>
      <c r="Y14" s="4">
        <v>66</v>
      </c>
      <c r="Z14" s="4"/>
      <c r="AA14" s="4"/>
      <c r="AB14" s="4"/>
      <c r="AC14" s="4"/>
      <c r="AD14" s="4"/>
      <c r="AE14" s="4"/>
      <c r="AF14" s="4"/>
      <c r="AG14" s="4"/>
      <c r="AH14" s="4"/>
      <c r="AI14" s="4"/>
      <c r="AJ14" s="4"/>
      <c r="AK14" s="4"/>
      <c r="AL14" s="4"/>
      <c r="AM14" s="4"/>
      <c r="AN14" s="4"/>
      <c r="AO14" s="4"/>
      <c r="AP14" s="4"/>
    </row>
    <row r="15" spans="1:42" x14ac:dyDescent="0.25">
      <c r="A15" s="6">
        <v>16</v>
      </c>
      <c r="B15" s="5">
        <v>3</v>
      </c>
      <c r="C15" s="4">
        <v>104</v>
      </c>
      <c r="D15" s="4">
        <v>104</v>
      </c>
      <c r="E15" s="4">
        <v>104</v>
      </c>
      <c r="F15" s="4"/>
      <c r="G15" s="4"/>
      <c r="H15" s="4"/>
      <c r="I15" s="4"/>
      <c r="J15" s="4"/>
      <c r="K15" s="4"/>
      <c r="L15" s="4"/>
      <c r="M15" s="4"/>
      <c r="N15" s="4"/>
      <c r="O15" s="4"/>
      <c r="P15" s="4"/>
      <c r="Q15" s="4"/>
      <c r="R15" s="4"/>
      <c r="S15" s="4"/>
      <c r="T15" s="4"/>
      <c r="U15" s="4"/>
      <c r="V15" s="4"/>
      <c r="W15" s="4">
        <v>184</v>
      </c>
      <c r="X15" s="4">
        <v>52</v>
      </c>
      <c r="Y15" s="4">
        <v>45</v>
      </c>
      <c r="Z15" s="4"/>
      <c r="AA15" s="4"/>
      <c r="AB15" s="4"/>
      <c r="AC15" s="4"/>
      <c r="AD15" s="4"/>
      <c r="AE15" s="4"/>
      <c r="AF15" s="4"/>
      <c r="AG15" s="4"/>
      <c r="AH15" s="4"/>
      <c r="AI15" s="4"/>
      <c r="AJ15" s="4"/>
      <c r="AK15" s="4"/>
      <c r="AL15" s="4"/>
      <c r="AM15" s="4"/>
      <c r="AN15" s="4"/>
      <c r="AO15" s="4"/>
      <c r="AP15" s="4"/>
    </row>
    <row r="16" spans="1:42" x14ac:dyDescent="0.25">
      <c r="A16" s="6">
        <v>17</v>
      </c>
      <c r="B16" s="5">
        <v>4</v>
      </c>
      <c r="C16" s="4">
        <v>58</v>
      </c>
      <c r="D16" s="4">
        <v>58</v>
      </c>
      <c r="E16" s="4">
        <v>58</v>
      </c>
      <c r="F16" s="4">
        <v>60</v>
      </c>
      <c r="G16" s="4"/>
      <c r="H16" s="4"/>
      <c r="I16" s="4"/>
      <c r="J16" s="4"/>
      <c r="K16" s="4"/>
      <c r="L16" s="4"/>
      <c r="M16" s="4"/>
      <c r="N16" s="4"/>
      <c r="O16" s="4"/>
      <c r="P16" s="4"/>
      <c r="Q16" s="4"/>
      <c r="R16" s="4"/>
      <c r="S16" s="4"/>
      <c r="T16" s="4"/>
      <c r="U16" s="4"/>
      <c r="V16" s="4"/>
      <c r="W16" s="4">
        <v>132</v>
      </c>
      <c r="X16" s="4">
        <v>82</v>
      </c>
      <c r="Y16" s="4">
        <v>101</v>
      </c>
      <c r="Z16" s="4"/>
      <c r="AA16" s="4"/>
      <c r="AB16" s="4"/>
      <c r="AC16" s="4"/>
      <c r="AD16" s="4"/>
      <c r="AE16" s="4"/>
      <c r="AF16" s="4"/>
      <c r="AG16" s="4"/>
      <c r="AH16" s="4"/>
      <c r="AI16" s="4"/>
      <c r="AJ16" s="4"/>
      <c r="AK16" s="4"/>
      <c r="AL16" s="4"/>
      <c r="AM16" s="4"/>
      <c r="AN16" s="4"/>
      <c r="AO16" s="4"/>
      <c r="AP16" s="4"/>
    </row>
    <row r="17" spans="1:42" x14ac:dyDescent="0.25">
      <c r="A17" s="6">
        <v>18</v>
      </c>
      <c r="B17" s="5">
        <v>1</v>
      </c>
      <c r="C17" s="4">
        <v>104</v>
      </c>
      <c r="D17" s="4"/>
      <c r="E17" s="4"/>
      <c r="F17" s="4"/>
      <c r="G17" s="4"/>
      <c r="H17" s="4"/>
      <c r="I17" s="4"/>
      <c r="J17" s="4"/>
      <c r="K17" s="4"/>
      <c r="L17" s="4"/>
      <c r="M17" s="4"/>
      <c r="N17" s="4"/>
      <c r="O17" s="4"/>
      <c r="P17" s="4"/>
      <c r="Q17" s="4"/>
      <c r="R17" s="4"/>
      <c r="S17" s="4"/>
      <c r="T17" s="4"/>
      <c r="U17" s="4"/>
      <c r="V17" s="4"/>
      <c r="W17" s="4">
        <v>30</v>
      </c>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v>3</v>
      </c>
      <c r="C24" s="4">
        <v>72</v>
      </c>
      <c r="D24" s="4">
        <v>74</v>
      </c>
      <c r="E24" s="4">
        <v>74</v>
      </c>
      <c r="F24" s="4"/>
      <c r="G24" s="4"/>
      <c r="H24" s="4"/>
      <c r="I24" s="4"/>
      <c r="J24" s="4"/>
      <c r="K24" s="4"/>
      <c r="L24" s="4"/>
      <c r="M24" s="4"/>
      <c r="N24" s="4"/>
      <c r="O24" s="4"/>
      <c r="P24" s="4"/>
      <c r="Q24" s="4"/>
      <c r="R24" s="4"/>
      <c r="S24" s="4"/>
      <c r="T24" s="4"/>
      <c r="U24" s="4"/>
      <c r="V24" s="4"/>
      <c r="W24" s="4">
        <v>75</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72</v>
      </c>
      <c r="D25" s="4">
        <v>72</v>
      </c>
      <c r="E25" s="4"/>
      <c r="F25" s="4"/>
      <c r="G25" s="4"/>
      <c r="H25" s="4"/>
      <c r="I25" s="4"/>
      <c r="J25" s="4"/>
      <c r="K25" s="4"/>
      <c r="L25" s="4"/>
      <c r="M25" s="4"/>
      <c r="N25" s="4"/>
      <c r="O25" s="4"/>
      <c r="P25" s="4"/>
      <c r="Q25" s="4"/>
      <c r="R25" s="4"/>
      <c r="S25" s="4"/>
      <c r="T25" s="4"/>
      <c r="U25" s="4"/>
      <c r="V25" s="4"/>
      <c r="W25" s="4">
        <v>55</v>
      </c>
      <c r="X25" s="4">
        <v>89</v>
      </c>
      <c r="Y25" s="4"/>
      <c r="Z25" s="4"/>
      <c r="AA25" s="4"/>
      <c r="AB25" s="4"/>
      <c r="AC25" s="4"/>
      <c r="AD25" s="4"/>
      <c r="AE25" s="4"/>
      <c r="AF25" s="4"/>
      <c r="AG25" s="4"/>
      <c r="AH25" s="4"/>
      <c r="AI25" s="4"/>
      <c r="AJ25" s="4"/>
      <c r="AK25" s="4"/>
      <c r="AL25" s="4"/>
      <c r="AM25" s="4"/>
      <c r="AN25" s="4"/>
      <c r="AO25" s="4"/>
      <c r="AP25" s="4"/>
    </row>
    <row r="26" spans="1:42" x14ac:dyDescent="0.25">
      <c r="A26" s="6">
        <v>27</v>
      </c>
      <c r="B26" s="5">
        <v>2</v>
      </c>
      <c r="C26" s="4">
        <v>66</v>
      </c>
      <c r="D26" s="4">
        <v>66</v>
      </c>
      <c r="E26" s="4"/>
      <c r="F26" s="4"/>
      <c r="G26" s="4"/>
      <c r="H26" s="4"/>
      <c r="I26" s="4"/>
      <c r="J26" s="4"/>
      <c r="K26" s="4"/>
      <c r="L26" s="4"/>
      <c r="M26" s="4"/>
      <c r="N26" s="4"/>
      <c r="O26" s="4"/>
      <c r="P26" s="4"/>
      <c r="Q26" s="4"/>
      <c r="R26" s="4"/>
      <c r="S26" s="4"/>
      <c r="T26" s="4"/>
      <c r="U26" s="4"/>
      <c r="V26" s="4"/>
      <c r="W26" s="4">
        <v>19</v>
      </c>
      <c r="X26" s="4">
        <v>16</v>
      </c>
      <c r="Y26" s="4"/>
      <c r="Z26" s="4"/>
      <c r="AA26" s="4"/>
      <c r="AB26" s="4"/>
      <c r="AC26" s="4"/>
      <c r="AD26" s="4"/>
      <c r="AE26" s="4"/>
      <c r="AF26" s="4"/>
      <c r="AG26" s="4"/>
      <c r="AH26" s="4"/>
      <c r="AI26" s="4"/>
      <c r="AJ26" s="4"/>
      <c r="AK26" s="4"/>
      <c r="AL26" s="4"/>
      <c r="AM26" s="4"/>
      <c r="AN26" s="4"/>
      <c r="AO26" s="4"/>
      <c r="AP26" s="4"/>
    </row>
    <row r="27" spans="1:42" x14ac:dyDescent="0.25">
      <c r="A27" s="6">
        <v>28</v>
      </c>
      <c r="B27" s="5">
        <v>2</v>
      </c>
      <c r="C27" s="4">
        <v>68</v>
      </c>
      <c r="D27" s="4">
        <v>66</v>
      </c>
      <c r="E27" s="4"/>
      <c r="F27" s="4"/>
      <c r="G27" s="4"/>
      <c r="H27" s="4"/>
      <c r="I27" s="4"/>
      <c r="J27" s="4"/>
      <c r="K27" s="4"/>
      <c r="L27" s="4"/>
      <c r="M27" s="4"/>
      <c r="N27" s="4"/>
      <c r="O27" s="4"/>
      <c r="P27" s="4"/>
      <c r="Q27" s="4"/>
      <c r="R27" s="4"/>
      <c r="S27" s="4"/>
      <c r="T27" s="4"/>
      <c r="U27" s="4"/>
      <c r="V27" s="4"/>
      <c r="W27" s="4">
        <v>32</v>
      </c>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v>3</v>
      </c>
      <c r="C30" s="4">
        <v>70</v>
      </c>
      <c r="D30" s="4">
        <v>70</v>
      </c>
      <c r="E30" s="4">
        <v>70</v>
      </c>
      <c r="F30" s="4"/>
      <c r="G30" s="4"/>
      <c r="H30" s="4"/>
      <c r="I30" s="4"/>
      <c r="J30" s="4"/>
      <c r="K30" s="4"/>
      <c r="L30" s="4"/>
      <c r="M30" s="4"/>
      <c r="N30" s="4"/>
      <c r="O30" s="4"/>
      <c r="P30" s="4"/>
      <c r="Q30" s="4"/>
      <c r="R30" s="4"/>
      <c r="S30" s="4"/>
      <c r="T30" s="4"/>
      <c r="U30" s="4"/>
      <c r="V30" s="4"/>
      <c r="W30" s="4">
        <v>119</v>
      </c>
      <c r="X30" s="4">
        <v>77</v>
      </c>
      <c r="Y30" s="4">
        <v>62</v>
      </c>
      <c r="Z30" s="4"/>
      <c r="AA30" s="4"/>
      <c r="AB30" s="4"/>
      <c r="AC30" s="4"/>
      <c r="AD30" s="4"/>
      <c r="AE30" s="4"/>
      <c r="AF30" s="4"/>
      <c r="AG30" s="4"/>
      <c r="AH30" s="4"/>
      <c r="AI30" s="4"/>
      <c r="AJ30" s="4"/>
      <c r="AK30" s="4"/>
      <c r="AL30" s="4"/>
      <c r="AM30" s="4"/>
      <c r="AN30" s="4"/>
      <c r="AO30" s="4"/>
      <c r="AP30" s="4"/>
    </row>
    <row r="31" spans="1:42" x14ac:dyDescent="0.25">
      <c r="A31" s="6">
        <v>32</v>
      </c>
      <c r="B31" s="5">
        <v>3</v>
      </c>
      <c r="C31" s="4">
        <v>70</v>
      </c>
      <c r="D31" s="4">
        <v>120</v>
      </c>
      <c r="E31" s="4"/>
      <c r="F31" s="4"/>
      <c r="G31" s="4"/>
      <c r="H31" s="4"/>
      <c r="I31" s="4"/>
      <c r="J31" s="4"/>
      <c r="K31" s="4"/>
      <c r="L31" s="4"/>
      <c r="M31" s="4"/>
      <c r="N31" s="4"/>
      <c r="O31" s="4"/>
      <c r="P31" s="4"/>
      <c r="Q31" s="4"/>
      <c r="R31" s="4"/>
      <c r="S31" s="4"/>
      <c r="T31" s="4"/>
      <c r="U31" s="4"/>
      <c r="V31" s="4"/>
      <c r="W31" s="4">
        <v>60</v>
      </c>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5472</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5284</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1778</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48</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80</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0</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14</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0</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I1" zoomScaleNormal="100" workbookViewId="0">
      <pane ySplit="8" topLeftCell="A9" activePane="bottomLeft" state="frozen"/>
      <selection pane="bottomLeft" activeCell="AE11" sqref="AE11:AE12"/>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2196</v>
      </c>
      <c r="F2" s="276" t="s">
        <v>173</v>
      </c>
      <c r="G2" s="276"/>
      <c r="H2" s="276"/>
      <c r="I2" s="14">
        <f>IF(I3="","",IF(AND(I5="Y",I6="N"),I3,IF(I3&lt;1000,I3+10,I3+20)))</f>
        <v>1014</v>
      </c>
      <c r="K2" s="276" t="s">
        <v>173</v>
      </c>
      <c r="L2" s="276"/>
      <c r="M2" s="276"/>
      <c r="N2" s="14">
        <f>IF(N3="","",IF(AND(N5="Y",N6="N"),N3,IF(N3&lt;1000,N3+10,N3+20)))</f>
        <v>1520</v>
      </c>
      <c r="P2" s="276" t="s">
        <v>173</v>
      </c>
      <c r="Q2" s="276"/>
      <c r="R2" s="276"/>
      <c r="S2" s="14">
        <f>IF(S3="","",IF(AND(S5="Y",S6="N"),S3,IF(S3&lt;1000,S3+10,S3+20)))</f>
        <v>991</v>
      </c>
      <c r="U2" s="276" t="s">
        <v>173</v>
      </c>
      <c r="V2" s="276"/>
      <c r="W2" s="276"/>
      <c r="X2" s="14">
        <f>IF(X3="","",IF(AND(X5="Y",X6="N"),X3,IF(X3&lt;1000,X3+10,X3+20)))</f>
        <v>447</v>
      </c>
      <c r="Z2" s="276" t="s">
        <v>173</v>
      </c>
      <c r="AA2" s="276"/>
      <c r="AB2" s="276"/>
      <c r="AC2" s="14">
        <f>IF(AC3="","",IF(AND(AC5="Y",AC6="N"),AC3,IF(AC3&lt;1000,AC3+10,AC3+20)))</f>
        <v>415</v>
      </c>
      <c r="AE2" s="276" t="s">
        <v>173</v>
      </c>
      <c r="AF2" s="276"/>
      <c r="AG2" s="276"/>
      <c r="AH2" s="14">
        <f>IF(AH3="","",IF(AND(AH5="Y",AH6="N"),AH3,IF(AH3&lt;1000,AH3+10,AH3+20)))</f>
        <v>437</v>
      </c>
      <c r="AJ2" s="276" t="s">
        <v>173</v>
      </c>
      <c r="AK2" s="276"/>
      <c r="AL2" s="276"/>
      <c r="AM2" s="14">
        <f>IF(AM3="","",IF(AND(AM5="Y",AM6="N"),AM3,IF(AM3&lt;1000,AM3+10,AM3+20)))</f>
        <v>1512</v>
      </c>
      <c r="AO2" s="276" t="s">
        <v>173</v>
      </c>
      <c r="AP2" s="276"/>
      <c r="AQ2" s="276"/>
      <c r="AR2" s="14">
        <f>IF(AR3="","",IF(AND(AR5="Y",AR6="N"),AR3,IF(AR3&lt;1000,AR3+10,AR3+20)))</f>
        <v>1082</v>
      </c>
      <c r="AT2" s="276" t="s">
        <v>173</v>
      </c>
      <c r="AU2" s="276"/>
      <c r="AV2" s="276"/>
      <c r="AW2" s="14">
        <f>IF(AW3="","",IF(AND(AW5="Y",AW6="N"),AW3,IF(AW3&lt;1000,AW3+10,AW3+20)))</f>
        <v>2263</v>
      </c>
      <c r="AY2" s="276" t="s">
        <v>173</v>
      </c>
      <c r="AZ2" s="276"/>
      <c r="BA2" s="276"/>
      <c r="BB2" s="14">
        <f>IF(BB3="","",IF(AND(BB5="Y",BB6="N"),BB3,IF(BB3&lt;1000,BB3+10,BB3+20)))</f>
        <v>1656</v>
      </c>
      <c r="BD2" s="276" t="s">
        <v>173</v>
      </c>
      <c r="BE2" s="276"/>
      <c r="BF2" s="276"/>
      <c r="BG2" s="14">
        <f>IF(BG3="","",IF(AND(BG5="Y",BG6="N"),BG3,IF(BG3&lt;1000,BG3+10,BG3+20)))</f>
        <v>1871</v>
      </c>
      <c r="BI2" s="276" t="s">
        <v>173</v>
      </c>
      <c r="BJ2" s="276"/>
      <c r="BK2" s="276"/>
      <c r="BL2" s="14">
        <f>IF(BL3="","",IF(AND(BL5="Y",BL6="N"),BL3,IF(BL3&lt;1000,BL3+10,BL3+20)))</f>
        <v>1749</v>
      </c>
      <c r="BN2" s="276" t="s">
        <v>173</v>
      </c>
      <c r="BO2" s="276"/>
      <c r="BP2" s="276"/>
      <c r="BQ2" s="14">
        <f>IF(BQ3="","",IF(AND(BQ5="Y",BQ6="N"),BQ3,IF(BQ3&lt;1000,BQ3+10,BQ3+20)))</f>
        <v>1049</v>
      </c>
      <c r="BS2" s="276" t="s">
        <v>173</v>
      </c>
      <c r="BT2" s="276"/>
      <c r="BU2" s="276"/>
      <c r="BV2" s="14">
        <f>IF(BV3="","",IF(AND(BV5="Y",BV6="N"),BV3,IF(BV3&lt;1000,BV3+10,BV3+20)))</f>
        <v>1730</v>
      </c>
      <c r="BX2" s="276" t="s">
        <v>173</v>
      </c>
      <c r="BY2" s="276"/>
      <c r="BZ2" s="276"/>
      <c r="CA2" s="14">
        <f>IF(CA3="","",IF(AND(CA5="Y",CA6="N"),CA3,IF(CA3&lt;1000,CA3+10,CA3+20)))</f>
        <v>1446</v>
      </c>
      <c r="CC2" s="276" t="s">
        <v>173</v>
      </c>
      <c r="CD2" s="276"/>
      <c r="CE2" s="276"/>
      <c r="CF2" s="14" t="str">
        <f>IF(CF3="","",IF(AND(CF5="Y",CF6="N"),CF3,IF(CF3&lt;1000,CF3+10,CF3+20)))</f>
        <v/>
      </c>
      <c r="CH2" s="276" t="s">
        <v>173</v>
      </c>
      <c r="CI2" s="276"/>
      <c r="CJ2" s="276"/>
      <c r="CK2" s="14" t="str">
        <f>IF(CK3="","",IF(AND(CK5="Y",CK6="N"),CK3,IF(CK3&lt;1000,CK3+10,CK3+20)))</f>
        <v/>
      </c>
      <c r="CM2" s="276" t="s">
        <v>173</v>
      </c>
      <c r="CN2" s="276"/>
      <c r="CO2" s="276"/>
      <c r="CP2" s="14" t="str">
        <f>IF(CP3="","",IF(AND(CP5="Y",CP6="N"),CP3,IF(CP3&lt;1000,CP3+10,CP3+20)))</f>
        <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2176</v>
      </c>
      <c r="E3" s="16">
        <f>IF(E9="","",SUM(E9:E208,B9:B208,D9:D208))</f>
        <v>2176</v>
      </c>
      <c r="F3" s="276" t="s">
        <v>174</v>
      </c>
      <c r="G3" s="276"/>
      <c r="H3" s="276"/>
      <c r="I3" s="15">
        <f>IF(J3="","",SUM(J3,J5,J6))</f>
        <v>1014</v>
      </c>
      <c r="J3" s="16">
        <f>IF(J9="","",SUM(J9:J208,G9:G208,I9:I208))</f>
        <v>964</v>
      </c>
      <c r="K3" s="276" t="s">
        <v>174</v>
      </c>
      <c r="L3" s="276"/>
      <c r="M3" s="276"/>
      <c r="N3" s="15">
        <f>IF(O3="","",SUM(O3,O5,O6))</f>
        <v>1500</v>
      </c>
      <c r="O3" s="16">
        <f>IF(O9="","",SUM(O9:O208,L9:L208,N9:N208))</f>
        <v>1475</v>
      </c>
      <c r="P3" s="276" t="s">
        <v>174</v>
      </c>
      <c r="Q3" s="276"/>
      <c r="R3" s="276"/>
      <c r="S3" s="15">
        <f>IF(T3="","",SUM(T3,T5,T6))</f>
        <v>981</v>
      </c>
      <c r="T3" s="16">
        <f>IF(T9="","",SUM(T9:T208,Q9:Q208,S9:S208))</f>
        <v>956</v>
      </c>
      <c r="U3" s="276" t="s">
        <v>174</v>
      </c>
      <c r="V3" s="276"/>
      <c r="W3" s="276"/>
      <c r="X3" s="15">
        <f>IF(Y3="","",SUM(Y3,Y5,Y6))</f>
        <v>447</v>
      </c>
      <c r="Y3" s="16">
        <f>IF(Y9="","",SUM(Y9:Y208,V9:V208,X9:X208))</f>
        <v>397</v>
      </c>
      <c r="Z3" s="276" t="s">
        <v>174</v>
      </c>
      <c r="AA3" s="276"/>
      <c r="AB3" s="276"/>
      <c r="AC3" s="15">
        <f>IF(AD3="","",SUM(AD3,AD5,AD6))</f>
        <v>405</v>
      </c>
      <c r="AD3" s="16">
        <f>IF(AD9="","",SUM(AD9:AD208,AA9:AA208,AC9:AC208))</f>
        <v>405</v>
      </c>
      <c r="AE3" s="276" t="s">
        <v>174</v>
      </c>
      <c r="AF3" s="276"/>
      <c r="AG3" s="276"/>
      <c r="AH3" s="15">
        <f>IF(AI3="","",SUM(AI3,AI5,AI6))</f>
        <v>427</v>
      </c>
      <c r="AI3" s="16">
        <f>IF(AI9="","",SUM(AI9:AI208,AF9:AF208,AH9:AH208))</f>
        <v>427</v>
      </c>
      <c r="AJ3" s="276" t="s">
        <v>174</v>
      </c>
      <c r="AK3" s="276"/>
      <c r="AL3" s="276"/>
      <c r="AM3" s="15">
        <f>IF(AN3="","",SUM(AN3,AN5,AN6))</f>
        <v>1492</v>
      </c>
      <c r="AN3" s="16">
        <f>IF(AN9="","",SUM(AN9:AN208,AK9:AK208,AM9:AM208))</f>
        <v>1492</v>
      </c>
      <c r="AO3" s="276" t="s">
        <v>174</v>
      </c>
      <c r="AP3" s="276"/>
      <c r="AQ3" s="276"/>
      <c r="AR3" s="15">
        <f>IF(AS3="","",SUM(AS3,AS5,AS6))</f>
        <v>1062</v>
      </c>
      <c r="AS3" s="16">
        <f>IF(AS9="","",SUM(AS9:AS208,AP9:AP208,AR9:AR208))</f>
        <v>1037</v>
      </c>
      <c r="AT3" s="276" t="s">
        <v>174</v>
      </c>
      <c r="AU3" s="276"/>
      <c r="AV3" s="276"/>
      <c r="AW3" s="15">
        <f>IF(AX3="","",SUM(AX3,AX5,AX6))</f>
        <v>2243</v>
      </c>
      <c r="AX3" s="16">
        <f>IF(AX9="","",SUM(AX9:AX208,AU9:AU208,AW9:AW208))</f>
        <v>2218</v>
      </c>
      <c r="AY3" s="276" t="s">
        <v>174</v>
      </c>
      <c r="AZ3" s="276"/>
      <c r="BA3" s="276"/>
      <c r="BB3" s="15">
        <f>IF(BC3="","",SUM(BC3,BC5,BC6))</f>
        <v>1656</v>
      </c>
      <c r="BC3" s="16">
        <f>IF(BC9="","",SUM(BC9:BC208,AZ9:AZ208,BB9:BB208))</f>
        <v>1626</v>
      </c>
      <c r="BD3" s="276" t="s">
        <v>174</v>
      </c>
      <c r="BE3" s="276"/>
      <c r="BF3" s="276"/>
      <c r="BG3" s="15">
        <f>IF(BH3="","",SUM(BH3,BH5,BH6))</f>
        <v>1851</v>
      </c>
      <c r="BH3" s="16">
        <f>IF(BH9="","",SUM(BH9:BH208,BE9:BE208,BG9:BG208))</f>
        <v>1826</v>
      </c>
      <c r="BI3" s="276" t="s">
        <v>174</v>
      </c>
      <c r="BJ3" s="276"/>
      <c r="BK3" s="276"/>
      <c r="BL3" s="15">
        <f>IF(BM3="","",SUM(BM3,BM5,BM6))</f>
        <v>1729</v>
      </c>
      <c r="BM3" s="16">
        <f>IF(BM9="","",SUM(BM9:BM208,BJ9:BJ208,BL9:BL208))</f>
        <v>1729</v>
      </c>
      <c r="BN3" s="276" t="s">
        <v>174</v>
      </c>
      <c r="BO3" s="276"/>
      <c r="BP3" s="276"/>
      <c r="BQ3" s="15">
        <f>IF(BR3="","",SUM(BR3,BR5,BR6))</f>
        <v>1049</v>
      </c>
      <c r="BR3" s="16">
        <f>IF(BR9="","",SUM(BR9:BR208,BO9:BO208,BQ9:BQ208))</f>
        <v>999</v>
      </c>
      <c r="BS3" s="276" t="s">
        <v>174</v>
      </c>
      <c r="BT3" s="276"/>
      <c r="BU3" s="276"/>
      <c r="BV3" s="15">
        <f>IF(BW3="","",SUM(BW3,BW5,BW6))</f>
        <v>1730</v>
      </c>
      <c r="BW3" s="16">
        <f>IF(BW9="","",SUM(BW9:BW208,BT9:BT208,BV9:BV208))</f>
        <v>1680</v>
      </c>
      <c r="BX3" s="276" t="s">
        <v>174</v>
      </c>
      <c r="BY3" s="276"/>
      <c r="BZ3" s="276"/>
      <c r="CA3" s="15">
        <f>IF(CB3="","",SUM(CB3,CB5,CB6))</f>
        <v>1426</v>
      </c>
      <c r="CB3" s="16">
        <f>IF(CB9="","",SUM(CB9:CB208,BY9:BY208,CA9:CA208))</f>
        <v>1401</v>
      </c>
      <c r="CC3" s="276" t="s">
        <v>174</v>
      </c>
      <c r="CD3" s="276"/>
      <c r="CE3" s="276"/>
      <c r="CF3" s="15" t="str">
        <f>IF(CG3="","",SUM(CG3,CG5,CG6))</f>
        <v/>
      </c>
      <c r="CG3" s="16" t="str">
        <f>IF(CG9="","",SUM(CG9:CG208,CD9:CD208,CF9:CF208))</f>
        <v/>
      </c>
      <c r="CH3" s="276" t="s">
        <v>174</v>
      </c>
      <c r="CI3" s="276"/>
      <c r="CJ3" s="276"/>
      <c r="CK3" s="15" t="str">
        <f>IF(CL3="","",SUM(CL3,CL5,CL6))</f>
        <v/>
      </c>
      <c r="CL3" s="16" t="str">
        <f>IF(CL9="","",SUM(CL9:CL208,CI9:CI208,CK9:CK208))</f>
        <v/>
      </c>
      <c r="CM3" s="276" t="s">
        <v>174</v>
      </c>
      <c r="CN3" s="276"/>
      <c r="CO3" s="276"/>
      <c r="CP3" s="15" t="str">
        <f>IF(CQ3="","",SUM(CQ3,CQ5,CQ6))</f>
        <v/>
      </c>
      <c r="CQ3" s="16" t="str">
        <f>IF(CQ9="","",SUM(CQ9:CQ208,CN9:CN208,CP9:CP208))</f>
        <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c r="CH4" s="272" t="s">
        <v>175</v>
      </c>
      <c r="CI4" s="273"/>
      <c r="CJ4" s="274"/>
      <c r="CK4" s="117"/>
      <c r="CM4" s="272" t="s">
        <v>175</v>
      </c>
      <c r="CN4" s="273"/>
      <c r="CO4" s="274"/>
      <c r="CP4" s="117"/>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179</v>
      </c>
      <c r="J5" s="16">
        <f>IF(I4="N","0",IF(I5="Y",J7/2,"0"))</f>
        <v>25</v>
      </c>
      <c r="K5" s="272" t="s">
        <v>176</v>
      </c>
      <c r="L5" s="273"/>
      <c r="M5" s="274"/>
      <c r="N5" s="117" t="s">
        <v>178</v>
      </c>
      <c r="O5" s="16" t="str">
        <f>IF(N4="N","0",IF(N5="Y",O7/2,"0"))</f>
        <v>0</v>
      </c>
      <c r="P5" s="272" t="s">
        <v>176</v>
      </c>
      <c r="Q5" s="273"/>
      <c r="R5" s="274"/>
      <c r="S5" s="117" t="s">
        <v>178</v>
      </c>
      <c r="T5" s="16" t="str">
        <f>IF(S4="N","0",IF(S5="Y",T7/2,"0"))</f>
        <v>0</v>
      </c>
      <c r="U5" s="272" t="s">
        <v>176</v>
      </c>
      <c r="V5" s="273"/>
      <c r="W5" s="274"/>
      <c r="X5" s="117" t="s">
        <v>179</v>
      </c>
      <c r="Y5" s="16">
        <f>IF(X4="N","0",IF(X5="Y",Y7/2,"0"))</f>
        <v>25</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178</v>
      </c>
      <c r="AS5" s="16" t="str">
        <f>IF(AR4="N","0",IF(AR5="Y",AS7/2,"0"))</f>
        <v>0</v>
      </c>
      <c r="AT5" s="272" t="s">
        <v>176</v>
      </c>
      <c r="AU5" s="273"/>
      <c r="AV5" s="274"/>
      <c r="AW5" s="117" t="s">
        <v>178</v>
      </c>
      <c r="AX5" s="16" t="str">
        <f>IF(AW4="N","0",IF(AW5="Y",AX7/2,"0"))</f>
        <v>0</v>
      </c>
      <c r="AY5" s="272" t="s">
        <v>176</v>
      </c>
      <c r="AZ5" s="273"/>
      <c r="BA5" s="274"/>
      <c r="BB5" s="117" t="s">
        <v>179</v>
      </c>
      <c r="BC5" s="16">
        <f>IF(BB4="N","0",IF(BB5="Y",BC7/2,"0"))</f>
        <v>15</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179</v>
      </c>
      <c r="BR5" s="16">
        <f>IF(BQ4="N","0",IF(BQ5="Y",BR7/2,"0"))</f>
        <v>25</v>
      </c>
      <c r="BS5" s="272" t="s">
        <v>176</v>
      </c>
      <c r="BT5" s="273"/>
      <c r="BU5" s="274"/>
      <c r="BV5" s="117" t="s">
        <v>179</v>
      </c>
      <c r="BW5" s="16">
        <f>IF(BV4="N","0",IF(BV5="Y",BW7/2,"0"))</f>
        <v>25</v>
      </c>
      <c r="BX5" s="272" t="s">
        <v>176</v>
      </c>
      <c r="BY5" s="273"/>
      <c r="BZ5" s="274"/>
      <c r="CA5" s="117" t="s">
        <v>178</v>
      </c>
      <c r="CB5" s="16" t="str">
        <f>IF(CA4="N","0",IF(CA5="Y",CB7/2,"0"))</f>
        <v>0</v>
      </c>
      <c r="CC5" s="272" t="s">
        <v>176</v>
      </c>
      <c r="CD5" s="273"/>
      <c r="CE5" s="274"/>
      <c r="CF5" s="117"/>
      <c r="CG5" s="16" t="str">
        <f>IF(CF4="N","0",IF(CF5="Y",CG7/2,"0"))</f>
        <v>0</v>
      </c>
      <c r="CH5" s="272" t="s">
        <v>176</v>
      </c>
      <c r="CI5" s="273"/>
      <c r="CJ5" s="274"/>
      <c r="CK5" s="117"/>
      <c r="CL5" s="16" t="str">
        <f>IF(CK4="N","0",IF(CK5="Y",CL7/2,"0"))</f>
        <v>0</v>
      </c>
      <c r="CM5" s="272" t="s">
        <v>176</v>
      </c>
      <c r="CN5" s="273"/>
      <c r="CO5" s="274"/>
      <c r="CP5" s="117"/>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25</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179</v>
      </c>
      <c r="AN6" s="16" t="str">
        <f>IF(AM4="N","0",IF(AM6="N",AN7/2,"0"))</f>
        <v>0</v>
      </c>
      <c r="AO6" s="272" t="s">
        <v>177</v>
      </c>
      <c r="AP6" s="273"/>
      <c r="AQ6" s="274"/>
      <c r="AR6" s="117" t="s">
        <v>178</v>
      </c>
      <c r="AS6" s="16">
        <f>IF(AR4="N","0",IF(AR6="N",AS7/2,"0"))</f>
        <v>25</v>
      </c>
      <c r="AT6" s="272" t="s">
        <v>177</v>
      </c>
      <c r="AU6" s="273"/>
      <c r="AV6" s="274"/>
      <c r="AW6" s="117" t="s">
        <v>178</v>
      </c>
      <c r="AX6" s="16">
        <f>IF(AW4="N","0",IF(AW6="N",AX7/2,"0"))</f>
        <v>25</v>
      </c>
      <c r="AY6" s="272" t="s">
        <v>177</v>
      </c>
      <c r="AZ6" s="273"/>
      <c r="BA6" s="274"/>
      <c r="BB6" s="117" t="s">
        <v>178</v>
      </c>
      <c r="BC6" s="16">
        <f>IF(BB4="N","0",IF(BB6="N",BC7/2,"0"))</f>
        <v>15</v>
      </c>
      <c r="BD6" s="272" t="s">
        <v>177</v>
      </c>
      <c r="BE6" s="273"/>
      <c r="BF6" s="274"/>
      <c r="BG6" s="117" t="s">
        <v>178</v>
      </c>
      <c r="BH6" s="16">
        <f>IF(BG4="N","0",IF(BG6="N",BH7/2,"0"))</f>
        <v>25</v>
      </c>
      <c r="BI6" s="272" t="s">
        <v>177</v>
      </c>
      <c r="BJ6" s="273"/>
      <c r="BK6" s="274"/>
      <c r="BL6" s="117" t="s">
        <v>179</v>
      </c>
      <c r="BM6" s="16" t="str">
        <f>IF(BL4="N","0",IF(BL6="N",BM7/2,"0"))</f>
        <v>0</v>
      </c>
      <c r="BN6" s="272" t="s">
        <v>177</v>
      </c>
      <c r="BO6" s="273"/>
      <c r="BP6" s="274"/>
      <c r="BQ6" s="117" t="s">
        <v>178</v>
      </c>
      <c r="BR6" s="16">
        <f>IF(BQ4="N","0",IF(BQ6="N",BR7/2,"0"))</f>
        <v>25</v>
      </c>
      <c r="BS6" s="272" t="s">
        <v>177</v>
      </c>
      <c r="BT6" s="273"/>
      <c r="BU6" s="274"/>
      <c r="BV6" s="117" t="s">
        <v>178</v>
      </c>
      <c r="BW6" s="16">
        <f>IF(BV4="N","0",IF(BV6="N",BW7/2,"0"))</f>
        <v>25</v>
      </c>
      <c r="BX6" s="272" t="s">
        <v>177</v>
      </c>
      <c r="BY6" s="273"/>
      <c r="BZ6" s="274"/>
      <c r="CA6" s="117" t="s">
        <v>178</v>
      </c>
      <c r="CB6" s="16">
        <f>IF(CA4="N","0",IF(CA6="N",CB7/2,"0"))</f>
        <v>25</v>
      </c>
      <c r="CC6" s="272" t="s">
        <v>177</v>
      </c>
      <c r="CD6" s="273"/>
      <c r="CE6" s="274"/>
      <c r="CF6" s="117" t="s">
        <v>178</v>
      </c>
      <c r="CG6" s="16">
        <f>IF(CF4="N","0",IF(CF6="N",CG7/2,"0"))</f>
        <v>0</v>
      </c>
      <c r="CH6" s="272" t="s">
        <v>177</v>
      </c>
      <c r="CI6" s="273"/>
      <c r="CJ6" s="274"/>
      <c r="CK6" s="117" t="s">
        <v>178</v>
      </c>
      <c r="CL6" s="16">
        <f>IF(CK4="N","0",IF(CK6="N",CL7/2,"0"))</f>
        <v>0</v>
      </c>
      <c r="CM6" s="272" t="s">
        <v>177</v>
      </c>
      <c r="CN6" s="273"/>
      <c r="CO6" s="274"/>
      <c r="CP6" s="117" t="s">
        <v>179</v>
      </c>
      <c r="CQ6" s="16" t="str">
        <f>IF(CP4="N","0",IF(CP6="N",CQ7/2,"0"))</f>
        <v>0</v>
      </c>
      <c r="CR6" s="272" t="s">
        <v>177</v>
      </c>
      <c r="CS6" s="273"/>
      <c r="CT6" s="274"/>
      <c r="CU6" s="117" t="s">
        <v>178</v>
      </c>
      <c r="CV6" s="16">
        <f>IF(CU4="N","0",IF(CU6="N",CV7/2,"0"))</f>
        <v>0</v>
      </c>
      <c r="CW6" s="272" t="s">
        <v>177</v>
      </c>
      <c r="CX6" s="273"/>
      <c r="CY6" s="274"/>
      <c r="CZ6" s="117" t="s">
        <v>178</v>
      </c>
      <c r="DA6" s="16">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t="s">
        <v>487</v>
      </c>
      <c r="BC7" s="16">
        <f>IF(OR(BB7="RPX",BB7="SS"),30,IF(OR(BB7="RPX-T",BB7="EUC"),50,0))</f>
        <v>30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c r="CG7" s="16">
        <f>IF(OR(CF7="RPX",CF7="SS"),30,IF(OR(CF7="RPX-T",CF7="EUC"),50,0))</f>
        <v>0</v>
      </c>
      <c r="CH7" s="272" t="s">
        <v>180</v>
      </c>
      <c r="CI7" s="273"/>
      <c r="CJ7" s="274"/>
      <c r="CK7" s="117"/>
      <c r="CL7" s="16">
        <f>IF(OR(CK7="RPX",CK7="SS"),30,IF(OR(CK7="RPX-T",CK7="EUC"),50,0))</f>
        <v>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408</v>
      </c>
      <c r="B11" s="90"/>
      <c r="C11" s="116"/>
      <c r="D11" s="116"/>
      <c r="E11" s="16">
        <f t="shared" ref="E11:E74" si="1">IF(A11="",C11,A11)</f>
        <v>408</v>
      </c>
      <c r="F11" s="90">
        <v>268</v>
      </c>
      <c r="G11" s="90"/>
      <c r="H11" s="90"/>
      <c r="I11" s="116"/>
      <c r="J11" s="16">
        <f t="shared" ref="J11:J74" si="2">IF(F11="",H11,F11)</f>
        <v>268</v>
      </c>
      <c r="K11" s="90">
        <v>291</v>
      </c>
      <c r="L11" s="90"/>
      <c r="M11" s="90"/>
      <c r="N11" s="116"/>
      <c r="O11" s="16">
        <f t="shared" ref="O11:O74" si="3">IF(K11="",M11,K11)</f>
        <v>291</v>
      </c>
      <c r="P11" s="90">
        <v>102</v>
      </c>
      <c r="Q11" s="90"/>
      <c r="R11" s="90"/>
      <c r="S11" s="116"/>
      <c r="T11" s="16">
        <f t="shared" ref="T11:T74" si="4">IF(P11="",R11,P11)</f>
        <v>102</v>
      </c>
      <c r="U11" s="90">
        <v>154</v>
      </c>
      <c r="V11" s="90"/>
      <c r="W11" s="90"/>
      <c r="X11" s="116"/>
      <c r="Y11" s="16">
        <f t="shared" ref="Y11:Y74" si="5">IF(U11="",W11,U11)</f>
        <v>154</v>
      </c>
      <c r="Z11" s="90">
        <v>305</v>
      </c>
      <c r="AA11" s="90"/>
      <c r="AB11" s="90"/>
      <c r="AC11" s="116"/>
      <c r="AD11" s="16">
        <f t="shared" ref="AD11:AD74" si="6">IF(Z11="",AB11,Z11)</f>
        <v>305</v>
      </c>
      <c r="AE11" s="90">
        <v>115</v>
      </c>
      <c r="AF11" s="90"/>
      <c r="AG11" s="90"/>
      <c r="AH11" s="116"/>
      <c r="AI11" s="16">
        <f t="shared" ref="AI11:AI74" si="7">IF(AE11="",AG11,AE11)</f>
        <v>115</v>
      </c>
      <c r="AJ11" s="90">
        <v>85</v>
      </c>
      <c r="AK11" s="90"/>
      <c r="AL11" s="90"/>
      <c r="AM11" s="116"/>
      <c r="AN11" s="16">
        <f t="shared" ref="AN11:AN74" si="8">IF(AJ11="",AL11,AJ11)</f>
        <v>85</v>
      </c>
      <c r="AO11" s="90">
        <v>307</v>
      </c>
      <c r="AP11" s="90"/>
      <c r="AQ11" s="90"/>
      <c r="AR11" s="116"/>
      <c r="AS11" s="16">
        <f t="shared" ref="AS11:AS74" si="9">IF(AO11="",AQ11,AO11)</f>
        <v>307</v>
      </c>
      <c r="AT11" s="90">
        <v>105</v>
      </c>
      <c r="AU11" s="90"/>
      <c r="AV11" s="90"/>
      <c r="AW11" s="116"/>
      <c r="AX11" s="16">
        <f t="shared" ref="AX11:AX74" si="10">IF(AT11="",AV11,AT11)</f>
        <v>105</v>
      </c>
      <c r="AY11" s="90"/>
      <c r="AZ11" s="90"/>
      <c r="BA11" s="90">
        <v>79</v>
      </c>
      <c r="BB11" s="116"/>
      <c r="BC11" s="16">
        <f t="shared" ref="BC11:BC74" si="11">IF(AY11="",BA11,AY11)</f>
        <v>79</v>
      </c>
      <c r="BD11" s="90">
        <v>270</v>
      </c>
      <c r="BE11" s="90"/>
      <c r="BF11" s="90"/>
      <c r="BG11" s="116"/>
      <c r="BH11" s="16">
        <f t="shared" ref="BH11:BH74" si="12">IF(BD11="",BF11,BD11)</f>
        <v>270</v>
      </c>
      <c r="BI11" s="90">
        <v>406</v>
      </c>
      <c r="BJ11" s="90"/>
      <c r="BK11" s="90"/>
      <c r="BL11" s="116"/>
      <c r="BM11" s="16">
        <f t="shared" ref="BM11:BM74" si="13">IF(BI11="",BK11,BI11)</f>
        <v>406</v>
      </c>
      <c r="BN11" s="90">
        <v>245</v>
      </c>
      <c r="BO11" s="90"/>
      <c r="BP11" s="90"/>
      <c r="BQ11" s="116"/>
      <c r="BR11" s="16">
        <f t="shared" ref="BR11:BR74" si="14">IF(BN11="",BP11,BN11)</f>
        <v>245</v>
      </c>
      <c r="BS11" s="90">
        <v>93</v>
      </c>
      <c r="BT11" s="90"/>
      <c r="BU11" s="90"/>
      <c r="BV11" s="116"/>
      <c r="BW11" s="16">
        <f t="shared" ref="BW11:BW74" si="15">IF(BS11="",BU11,BS11)</f>
        <v>93</v>
      </c>
      <c r="BX11" s="90">
        <v>2</v>
      </c>
      <c r="BY11" s="90"/>
      <c r="BZ11" s="90"/>
      <c r="CA11" s="116"/>
      <c r="CB11" s="16">
        <f t="shared" ref="CB11:CB74" si="16">IF(BX11="",BZ11,BX11)</f>
        <v>2</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210</v>
      </c>
      <c r="B12" s="90"/>
      <c r="C12" s="116"/>
      <c r="D12" s="116"/>
      <c r="E12" s="16">
        <f t="shared" si="1"/>
        <v>210</v>
      </c>
      <c r="F12" s="90">
        <v>205</v>
      </c>
      <c r="G12" s="90"/>
      <c r="H12" s="90"/>
      <c r="I12" s="116"/>
      <c r="J12" s="16">
        <f t="shared" si="2"/>
        <v>205</v>
      </c>
      <c r="K12" s="90">
        <v>202</v>
      </c>
      <c r="L12" s="90"/>
      <c r="M12" s="90"/>
      <c r="N12" s="116"/>
      <c r="O12" s="16">
        <f t="shared" si="3"/>
        <v>202</v>
      </c>
      <c r="P12" s="90">
        <v>185</v>
      </c>
      <c r="Q12" s="90"/>
      <c r="R12" s="90"/>
      <c r="S12" s="116"/>
      <c r="T12" s="16">
        <f t="shared" si="4"/>
        <v>185</v>
      </c>
      <c r="U12" s="90">
        <v>120</v>
      </c>
      <c r="V12" s="90"/>
      <c r="W12" s="90"/>
      <c r="X12" s="116"/>
      <c r="Y12" s="16">
        <f t="shared" si="5"/>
        <v>120</v>
      </c>
      <c r="Z12" s="90"/>
      <c r="AA12" s="90">
        <v>50</v>
      </c>
      <c r="AB12" s="90"/>
      <c r="AC12" s="116"/>
      <c r="AD12" s="16">
        <f t="shared" si="6"/>
        <v>0</v>
      </c>
      <c r="AE12" s="90">
        <v>210</v>
      </c>
      <c r="AF12" s="90"/>
      <c r="AG12" s="90"/>
      <c r="AH12" s="116"/>
      <c r="AI12" s="16">
        <f t="shared" si="7"/>
        <v>210</v>
      </c>
      <c r="AJ12" s="90">
        <v>205</v>
      </c>
      <c r="AK12" s="90"/>
      <c r="AL12" s="90"/>
      <c r="AM12" s="116"/>
      <c r="AN12" s="16">
        <f t="shared" si="8"/>
        <v>205</v>
      </c>
      <c r="AO12" s="90"/>
      <c r="AP12" s="90">
        <v>20</v>
      </c>
      <c r="AQ12" s="90"/>
      <c r="AR12" s="116"/>
      <c r="AS12" s="16">
        <f t="shared" si="9"/>
        <v>0</v>
      </c>
      <c r="AT12" s="90">
        <v>202</v>
      </c>
      <c r="AU12" s="90"/>
      <c r="AV12" s="90"/>
      <c r="AW12" s="116"/>
      <c r="AX12" s="16">
        <f t="shared" si="10"/>
        <v>202</v>
      </c>
      <c r="AY12" s="90"/>
      <c r="AZ12" s="90"/>
      <c r="BA12" s="90">
        <v>103</v>
      </c>
      <c r="BB12" s="116"/>
      <c r="BC12" s="16">
        <f t="shared" si="11"/>
        <v>103</v>
      </c>
      <c r="BD12" s="90"/>
      <c r="BE12" s="90">
        <v>20</v>
      </c>
      <c r="BF12" s="90"/>
      <c r="BG12" s="116"/>
      <c r="BH12" s="16">
        <f t="shared" si="12"/>
        <v>0</v>
      </c>
      <c r="BI12" s="90"/>
      <c r="BJ12" s="90">
        <v>20</v>
      </c>
      <c r="BK12" s="90"/>
      <c r="BL12" s="116"/>
      <c r="BM12" s="16">
        <f t="shared" si="13"/>
        <v>0</v>
      </c>
      <c r="BN12" s="90"/>
      <c r="BO12" s="90">
        <v>20</v>
      </c>
      <c r="BP12" s="90"/>
      <c r="BQ12" s="116"/>
      <c r="BR12" s="16">
        <f t="shared" si="14"/>
        <v>0</v>
      </c>
      <c r="BS12" s="90">
        <v>91</v>
      </c>
      <c r="BT12" s="90"/>
      <c r="BU12" s="90"/>
      <c r="BV12" s="116"/>
      <c r="BW12" s="16">
        <f t="shared" si="15"/>
        <v>91</v>
      </c>
      <c r="BX12" s="90">
        <v>216</v>
      </c>
      <c r="BY12" s="90"/>
      <c r="BZ12" s="90"/>
      <c r="CA12" s="116"/>
      <c r="CB12" s="16">
        <f t="shared" si="16"/>
        <v>216</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v>204</v>
      </c>
      <c r="B13" s="90"/>
      <c r="C13" s="116"/>
      <c r="D13" s="116"/>
      <c r="E13" s="16">
        <f t="shared" si="1"/>
        <v>204</v>
      </c>
      <c r="F13" s="90">
        <v>210</v>
      </c>
      <c r="G13" s="90"/>
      <c r="H13" s="90"/>
      <c r="I13" s="116"/>
      <c r="J13" s="16">
        <f t="shared" si="2"/>
        <v>210</v>
      </c>
      <c r="K13" s="90">
        <v>201</v>
      </c>
      <c r="L13" s="90"/>
      <c r="M13" s="90"/>
      <c r="N13" s="116"/>
      <c r="O13" s="16">
        <f t="shared" si="3"/>
        <v>201</v>
      </c>
      <c r="P13" s="90">
        <v>90</v>
      </c>
      <c r="Q13" s="90"/>
      <c r="R13" s="90"/>
      <c r="S13" s="116"/>
      <c r="T13" s="16">
        <f t="shared" si="4"/>
        <v>90</v>
      </c>
      <c r="U13" s="90">
        <v>73</v>
      </c>
      <c r="V13" s="90"/>
      <c r="W13" s="90"/>
      <c r="X13" s="116"/>
      <c r="Y13" s="16">
        <f t="shared" si="5"/>
        <v>73</v>
      </c>
      <c r="Z13" s="90"/>
      <c r="AA13" s="90"/>
      <c r="AB13" s="90"/>
      <c r="AC13" s="116"/>
      <c r="AD13" s="16">
        <f t="shared" si="6"/>
        <v>0</v>
      </c>
      <c r="AE13" s="90">
        <v>2</v>
      </c>
      <c r="AF13" s="90"/>
      <c r="AG13" s="90"/>
      <c r="AH13" s="116"/>
      <c r="AI13" s="16">
        <f t="shared" si="7"/>
        <v>2</v>
      </c>
      <c r="AJ13" s="90">
        <v>203</v>
      </c>
      <c r="AK13" s="90"/>
      <c r="AL13" s="90"/>
      <c r="AM13" s="116"/>
      <c r="AN13" s="16">
        <f t="shared" si="8"/>
        <v>203</v>
      </c>
      <c r="AO13" s="90">
        <v>300</v>
      </c>
      <c r="AP13" s="90"/>
      <c r="AQ13" s="90"/>
      <c r="AR13" s="116"/>
      <c r="AS13" s="16">
        <f t="shared" si="9"/>
        <v>300</v>
      </c>
      <c r="AT13" s="90">
        <v>215</v>
      </c>
      <c r="AU13" s="90"/>
      <c r="AV13" s="90"/>
      <c r="AW13" s="116"/>
      <c r="AX13" s="16">
        <f t="shared" si="10"/>
        <v>215</v>
      </c>
      <c r="AY13" s="90"/>
      <c r="AZ13" s="90"/>
      <c r="BA13" s="90">
        <v>198</v>
      </c>
      <c r="BB13" s="116"/>
      <c r="BC13" s="16">
        <f t="shared" si="11"/>
        <v>198</v>
      </c>
      <c r="BD13" s="90">
        <v>205</v>
      </c>
      <c r="BE13" s="90"/>
      <c r="BF13" s="90"/>
      <c r="BG13" s="116"/>
      <c r="BH13" s="16">
        <f t="shared" si="12"/>
        <v>205</v>
      </c>
      <c r="BI13" s="90">
        <v>176</v>
      </c>
      <c r="BJ13" s="90"/>
      <c r="BK13" s="90"/>
      <c r="BL13" s="116"/>
      <c r="BM13" s="16">
        <f t="shared" si="13"/>
        <v>176</v>
      </c>
      <c r="BN13" s="90">
        <v>180</v>
      </c>
      <c r="BO13" s="90"/>
      <c r="BP13" s="90"/>
      <c r="BQ13" s="116"/>
      <c r="BR13" s="16">
        <f t="shared" si="14"/>
        <v>180</v>
      </c>
      <c r="BS13" s="90"/>
      <c r="BT13" s="90">
        <v>20</v>
      </c>
      <c r="BU13" s="90"/>
      <c r="BV13" s="116"/>
      <c r="BW13" s="16">
        <f t="shared" si="15"/>
        <v>0</v>
      </c>
      <c r="BX13" s="90">
        <v>206</v>
      </c>
      <c r="BY13" s="90"/>
      <c r="BZ13" s="90"/>
      <c r="CA13" s="116"/>
      <c r="CB13" s="16">
        <f t="shared" si="16"/>
        <v>206</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v>20</v>
      </c>
      <c r="C14" s="116"/>
      <c r="D14" s="116"/>
      <c r="E14" s="16">
        <f t="shared" si="1"/>
        <v>0</v>
      </c>
      <c r="F14" s="90">
        <v>103</v>
      </c>
      <c r="G14" s="90"/>
      <c r="H14" s="90"/>
      <c r="I14" s="116"/>
      <c r="J14" s="16">
        <f t="shared" si="2"/>
        <v>103</v>
      </c>
      <c r="K14" s="90"/>
      <c r="L14" s="90">
        <v>20</v>
      </c>
      <c r="M14" s="90"/>
      <c r="N14" s="116"/>
      <c r="O14" s="16">
        <f t="shared" si="3"/>
        <v>0</v>
      </c>
      <c r="P14" s="90"/>
      <c r="Q14" s="90">
        <v>20</v>
      </c>
      <c r="R14" s="90"/>
      <c r="S14" s="116"/>
      <c r="T14" s="16">
        <f t="shared" si="4"/>
        <v>0</v>
      </c>
      <c r="U14" s="90"/>
      <c r="V14" s="90"/>
      <c r="W14" s="90"/>
      <c r="X14" s="116"/>
      <c r="Y14" s="16">
        <f t="shared" si="5"/>
        <v>0</v>
      </c>
      <c r="Z14" s="90"/>
      <c r="AA14" s="90"/>
      <c r="AB14" s="90"/>
      <c r="AC14" s="116"/>
      <c r="AD14" s="16">
        <f t="shared" si="6"/>
        <v>0</v>
      </c>
      <c r="AE14" s="90"/>
      <c r="AF14" s="90">
        <v>50</v>
      </c>
      <c r="AG14" s="90"/>
      <c r="AH14" s="116"/>
      <c r="AI14" s="16">
        <f t="shared" si="7"/>
        <v>0</v>
      </c>
      <c r="AJ14" s="90">
        <v>215</v>
      </c>
      <c r="AK14" s="90"/>
      <c r="AL14" s="90"/>
      <c r="AM14" s="116"/>
      <c r="AN14" s="16">
        <f t="shared" si="8"/>
        <v>215</v>
      </c>
      <c r="AO14" s="90">
        <v>236</v>
      </c>
      <c r="AP14" s="90"/>
      <c r="AQ14" s="90"/>
      <c r="AR14" s="116"/>
      <c r="AS14" s="16">
        <f t="shared" si="9"/>
        <v>236</v>
      </c>
      <c r="AT14" s="90"/>
      <c r="AU14" s="90">
        <v>20</v>
      </c>
      <c r="AV14" s="90"/>
      <c r="AW14" s="116"/>
      <c r="AX14" s="16">
        <f t="shared" si="10"/>
        <v>0</v>
      </c>
      <c r="AY14" s="90"/>
      <c r="AZ14" s="90"/>
      <c r="BA14" s="90"/>
      <c r="BB14" s="116">
        <v>50</v>
      </c>
      <c r="BC14" s="16">
        <f t="shared" si="11"/>
        <v>0</v>
      </c>
      <c r="BD14" s="90">
        <v>168</v>
      </c>
      <c r="BE14" s="90"/>
      <c r="BF14" s="90"/>
      <c r="BG14" s="116"/>
      <c r="BH14" s="16">
        <f t="shared" si="12"/>
        <v>168</v>
      </c>
      <c r="BI14" s="90">
        <v>205</v>
      </c>
      <c r="BJ14" s="90"/>
      <c r="BK14" s="90"/>
      <c r="BL14" s="116"/>
      <c r="BM14" s="16">
        <f t="shared" si="13"/>
        <v>205</v>
      </c>
      <c r="BN14" s="90">
        <v>196</v>
      </c>
      <c r="BO14" s="90"/>
      <c r="BP14" s="90"/>
      <c r="BQ14" s="116"/>
      <c r="BR14" s="16">
        <f t="shared" si="14"/>
        <v>196</v>
      </c>
      <c r="BS14" s="90">
        <v>153</v>
      </c>
      <c r="BT14" s="90"/>
      <c r="BU14" s="90"/>
      <c r="BV14" s="116"/>
      <c r="BW14" s="16">
        <f t="shared" si="15"/>
        <v>153</v>
      </c>
      <c r="BX14" s="90">
        <v>100</v>
      </c>
      <c r="BY14" s="90"/>
      <c r="BZ14" s="90"/>
      <c r="CA14" s="116"/>
      <c r="CB14" s="16">
        <f t="shared" si="16"/>
        <v>100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202</v>
      </c>
      <c r="B15" s="90"/>
      <c r="C15" s="116"/>
      <c r="D15" s="116"/>
      <c r="E15" s="16">
        <f t="shared" si="1"/>
        <v>202</v>
      </c>
      <c r="F15" s="90">
        <v>128</v>
      </c>
      <c r="G15" s="90"/>
      <c r="H15" s="90"/>
      <c r="I15" s="116"/>
      <c r="J15" s="16">
        <f t="shared" si="2"/>
        <v>128</v>
      </c>
      <c r="K15" s="90">
        <v>328</v>
      </c>
      <c r="L15" s="90"/>
      <c r="M15" s="90"/>
      <c r="N15" s="116"/>
      <c r="O15" s="16">
        <f t="shared" si="3"/>
        <v>328</v>
      </c>
      <c r="P15" s="90">
        <v>90</v>
      </c>
      <c r="Q15" s="90"/>
      <c r="R15" s="90"/>
      <c r="S15" s="116"/>
      <c r="T15" s="16">
        <f t="shared" si="4"/>
        <v>90</v>
      </c>
      <c r="U15" s="90"/>
      <c r="V15" s="90"/>
      <c r="W15" s="90"/>
      <c r="X15" s="116"/>
      <c r="Y15" s="16">
        <f t="shared" si="5"/>
        <v>0</v>
      </c>
      <c r="Z15" s="90"/>
      <c r="AA15" s="90"/>
      <c r="AB15" s="90"/>
      <c r="AC15" s="116"/>
      <c r="AD15" s="16">
        <f t="shared" si="6"/>
        <v>0</v>
      </c>
      <c r="AE15" s="90"/>
      <c r="AF15" s="90"/>
      <c r="AG15" s="90"/>
      <c r="AH15" s="116"/>
      <c r="AI15" s="16">
        <f t="shared" si="7"/>
        <v>0</v>
      </c>
      <c r="AJ15" s="90"/>
      <c r="AK15" s="90">
        <v>20</v>
      </c>
      <c r="AL15" s="90"/>
      <c r="AM15" s="116"/>
      <c r="AN15" s="16">
        <f t="shared" si="8"/>
        <v>0</v>
      </c>
      <c r="AO15" s="90">
        <v>124</v>
      </c>
      <c r="AP15" s="90"/>
      <c r="AQ15" s="90"/>
      <c r="AR15" s="116"/>
      <c r="AS15" s="16">
        <f t="shared" si="9"/>
        <v>124</v>
      </c>
      <c r="AT15" s="90">
        <v>95</v>
      </c>
      <c r="AU15" s="90"/>
      <c r="AV15" s="90"/>
      <c r="AW15" s="116"/>
      <c r="AX15" s="16">
        <f t="shared" si="10"/>
        <v>95</v>
      </c>
      <c r="AY15" s="90"/>
      <c r="AZ15" s="90"/>
      <c r="BA15" s="90">
        <v>203</v>
      </c>
      <c r="BB15" s="116"/>
      <c r="BC15" s="16">
        <f t="shared" si="11"/>
        <v>203</v>
      </c>
      <c r="BD15" s="90">
        <v>102</v>
      </c>
      <c r="BE15" s="90"/>
      <c r="BF15" s="90"/>
      <c r="BG15" s="116"/>
      <c r="BH15" s="16">
        <f t="shared" si="12"/>
        <v>102</v>
      </c>
      <c r="BI15" s="90">
        <v>205</v>
      </c>
      <c r="BJ15" s="90"/>
      <c r="BK15" s="90"/>
      <c r="BL15" s="116"/>
      <c r="BM15" s="16">
        <f t="shared" si="13"/>
        <v>205</v>
      </c>
      <c r="BN15" s="90">
        <v>205</v>
      </c>
      <c r="BO15" s="90"/>
      <c r="BP15" s="90"/>
      <c r="BQ15" s="116"/>
      <c r="BR15" s="16">
        <f t="shared" si="14"/>
        <v>205</v>
      </c>
      <c r="BS15" s="90">
        <v>296</v>
      </c>
      <c r="BT15" s="90"/>
      <c r="BU15" s="90"/>
      <c r="BV15" s="116"/>
      <c r="BW15" s="16">
        <f t="shared" si="15"/>
        <v>296</v>
      </c>
      <c r="BX15" s="90">
        <v>106</v>
      </c>
      <c r="BY15" s="90"/>
      <c r="BZ15" s="90"/>
      <c r="CA15" s="116"/>
      <c r="CB15" s="16">
        <f t="shared" si="16"/>
        <v>106</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v>202</v>
      </c>
      <c r="B16" s="90"/>
      <c r="C16" s="116"/>
      <c r="D16" s="116"/>
      <c r="E16" s="16">
        <f t="shared" si="1"/>
        <v>202</v>
      </c>
      <c r="F16" s="90"/>
      <c r="G16" s="90"/>
      <c r="H16" s="90"/>
      <c r="I16" s="116"/>
      <c r="J16" s="16">
        <f t="shared" si="2"/>
        <v>0</v>
      </c>
      <c r="K16" s="90">
        <v>180</v>
      </c>
      <c r="L16" s="90"/>
      <c r="M16" s="90"/>
      <c r="N16" s="116"/>
      <c r="O16" s="16">
        <f t="shared" si="3"/>
        <v>180</v>
      </c>
      <c r="P16" s="90">
        <v>185</v>
      </c>
      <c r="Q16" s="90"/>
      <c r="R16" s="90"/>
      <c r="S16" s="116"/>
      <c r="T16" s="16">
        <f t="shared" si="4"/>
        <v>185</v>
      </c>
      <c r="U16" s="90"/>
      <c r="V16" s="90"/>
      <c r="W16" s="90"/>
      <c r="X16" s="116"/>
      <c r="Y16" s="16">
        <f t="shared" si="5"/>
        <v>0</v>
      </c>
      <c r="Z16" s="90"/>
      <c r="AA16" s="90"/>
      <c r="AB16" s="90"/>
      <c r="AC16" s="116"/>
      <c r="AD16" s="16">
        <f t="shared" si="6"/>
        <v>0</v>
      </c>
      <c r="AE16" s="90"/>
      <c r="AF16" s="90"/>
      <c r="AG16" s="90"/>
      <c r="AH16" s="116"/>
      <c r="AI16" s="16">
        <f t="shared" si="7"/>
        <v>0</v>
      </c>
      <c r="AJ16" s="90">
        <v>230</v>
      </c>
      <c r="AK16" s="90"/>
      <c r="AL16" s="90"/>
      <c r="AM16" s="116"/>
      <c r="AN16" s="16">
        <f t="shared" si="8"/>
        <v>230</v>
      </c>
      <c r="AO16" s="90"/>
      <c r="AP16" s="90"/>
      <c r="AQ16" s="90"/>
      <c r="AR16" s="116"/>
      <c r="AS16" s="16">
        <f t="shared" si="9"/>
        <v>0</v>
      </c>
      <c r="AT16" s="90">
        <v>335</v>
      </c>
      <c r="AU16" s="90"/>
      <c r="AV16" s="90"/>
      <c r="AW16" s="116"/>
      <c r="AX16" s="16">
        <f t="shared" si="10"/>
        <v>335</v>
      </c>
      <c r="AY16" s="90"/>
      <c r="AZ16" s="90"/>
      <c r="BA16" s="90">
        <v>95</v>
      </c>
      <c r="BB16" s="116"/>
      <c r="BC16" s="16">
        <f t="shared" si="11"/>
        <v>95</v>
      </c>
      <c r="BD16" s="90">
        <v>280</v>
      </c>
      <c r="BE16" s="90"/>
      <c r="BF16" s="90"/>
      <c r="BG16" s="116"/>
      <c r="BH16" s="16">
        <f t="shared" si="12"/>
        <v>280</v>
      </c>
      <c r="BI16" s="90"/>
      <c r="BJ16" s="90">
        <v>20</v>
      </c>
      <c r="BK16" s="90"/>
      <c r="BL16" s="116"/>
      <c r="BM16" s="16">
        <f t="shared" si="13"/>
        <v>0</v>
      </c>
      <c r="BN16" s="90">
        <v>103</v>
      </c>
      <c r="BO16" s="90"/>
      <c r="BP16" s="90"/>
      <c r="BQ16" s="116"/>
      <c r="BR16" s="16">
        <f t="shared" si="14"/>
        <v>103</v>
      </c>
      <c r="BS16" s="90">
        <v>316</v>
      </c>
      <c r="BT16" s="90"/>
      <c r="BU16" s="90"/>
      <c r="BV16" s="116"/>
      <c r="BW16" s="16">
        <f t="shared" si="15"/>
        <v>316</v>
      </c>
      <c r="BX16" s="90"/>
      <c r="BY16" s="90">
        <v>20</v>
      </c>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v>195</v>
      </c>
      <c r="B17" s="90"/>
      <c r="C17" s="116"/>
      <c r="D17" s="116"/>
      <c r="E17" s="16">
        <f t="shared" si="1"/>
        <v>195</v>
      </c>
      <c r="F17" s="90"/>
      <c r="G17" s="90"/>
      <c r="H17" s="90"/>
      <c r="I17" s="116"/>
      <c r="J17" s="16">
        <f t="shared" si="2"/>
        <v>0</v>
      </c>
      <c r="K17" s="90">
        <v>203</v>
      </c>
      <c r="L17" s="90"/>
      <c r="M17" s="90"/>
      <c r="N17" s="116"/>
      <c r="O17" s="16">
        <f t="shared" si="3"/>
        <v>203</v>
      </c>
      <c r="P17" s="90">
        <v>92</v>
      </c>
      <c r="Q17" s="90"/>
      <c r="R17" s="90"/>
      <c r="S17" s="116"/>
      <c r="T17" s="16">
        <f t="shared" si="4"/>
        <v>92</v>
      </c>
      <c r="U17" s="90"/>
      <c r="V17" s="90"/>
      <c r="W17" s="90"/>
      <c r="X17" s="116"/>
      <c r="Y17" s="16">
        <f t="shared" si="5"/>
        <v>0</v>
      </c>
      <c r="Z17" s="90"/>
      <c r="AA17" s="90"/>
      <c r="AB17" s="90"/>
      <c r="AC17" s="116"/>
      <c r="AD17" s="16">
        <f t="shared" si="6"/>
        <v>0</v>
      </c>
      <c r="AE17" s="90"/>
      <c r="AF17" s="90"/>
      <c r="AG17" s="90"/>
      <c r="AH17" s="116"/>
      <c r="AI17" s="16">
        <f t="shared" si="7"/>
        <v>0</v>
      </c>
      <c r="AJ17" s="90">
        <v>222</v>
      </c>
      <c r="AK17" s="90"/>
      <c r="AL17" s="90"/>
      <c r="AM17" s="116"/>
      <c r="AN17" s="16">
        <f t="shared" si="8"/>
        <v>222</v>
      </c>
      <c r="AO17" s="90"/>
      <c r="AP17" s="90"/>
      <c r="AQ17" s="90"/>
      <c r="AR17" s="116"/>
      <c r="AS17" s="16">
        <f t="shared" si="9"/>
        <v>0</v>
      </c>
      <c r="AT17" s="90">
        <v>280</v>
      </c>
      <c r="AU17" s="90"/>
      <c r="AV17" s="90"/>
      <c r="AW17" s="116"/>
      <c r="AX17" s="16">
        <f t="shared" si="10"/>
        <v>280</v>
      </c>
      <c r="AY17" s="90"/>
      <c r="AZ17" s="90"/>
      <c r="BA17" s="90">
        <v>152</v>
      </c>
      <c r="BB17" s="116"/>
      <c r="BC17" s="16">
        <f t="shared" si="11"/>
        <v>152</v>
      </c>
      <c r="BD17" s="90"/>
      <c r="BE17" s="90">
        <v>20</v>
      </c>
      <c r="BF17" s="90"/>
      <c r="BG17" s="116"/>
      <c r="BH17" s="16">
        <f t="shared" si="12"/>
        <v>0</v>
      </c>
      <c r="BI17" s="90">
        <v>203</v>
      </c>
      <c r="BJ17" s="90"/>
      <c r="BK17" s="90"/>
      <c r="BL17" s="116"/>
      <c r="BM17" s="16">
        <f t="shared" si="13"/>
        <v>203</v>
      </c>
      <c r="BN17" s="90"/>
      <c r="BO17" s="90"/>
      <c r="BP17" s="90"/>
      <c r="BQ17" s="116"/>
      <c r="BR17" s="16">
        <f t="shared" si="14"/>
        <v>0</v>
      </c>
      <c r="BS17" s="90"/>
      <c r="BT17" s="90">
        <v>20</v>
      </c>
      <c r="BU17" s="90"/>
      <c r="BV17" s="116"/>
      <c r="BW17" s="16">
        <f t="shared" si="15"/>
        <v>0</v>
      </c>
      <c r="BX17" s="90">
        <v>200</v>
      </c>
      <c r="BY17" s="90"/>
      <c r="BZ17" s="90"/>
      <c r="CA17" s="116"/>
      <c r="CB17" s="16">
        <f t="shared" si="16"/>
        <v>200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v>111</v>
      </c>
      <c r="B18" s="90"/>
      <c r="C18" s="116"/>
      <c r="D18" s="116"/>
      <c r="E18" s="16">
        <f t="shared" si="1"/>
        <v>111</v>
      </c>
      <c r="F18" s="90"/>
      <c r="G18" s="90"/>
      <c r="H18" s="90"/>
      <c r="I18" s="116"/>
      <c r="J18" s="16">
        <f t="shared" si="2"/>
        <v>0</v>
      </c>
      <c r="K18" s="90"/>
      <c r="L18" s="90"/>
      <c r="M18" s="90"/>
      <c r="N18" s="116"/>
      <c r="O18" s="16">
        <f t="shared" si="3"/>
        <v>0</v>
      </c>
      <c r="P18" s="90">
        <v>92</v>
      </c>
      <c r="Q18" s="90"/>
      <c r="R18" s="90"/>
      <c r="S18" s="116"/>
      <c r="T18" s="16">
        <f t="shared" si="4"/>
        <v>92</v>
      </c>
      <c r="U18" s="90"/>
      <c r="V18" s="90"/>
      <c r="W18" s="90"/>
      <c r="X18" s="116"/>
      <c r="Y18" s="16">
        <f t="shared" si="5"/>
        <v>0</v>
      </c>
      <c r="Z18" s="90"/>
      <c r="AA18" s="90"/>
      <c r="AB18" s="90"/>
      <c r="AC18" s="116"/>
      <c r="AD18" s="16">
        <f t="shared" si="6"/>
        <v>0</v>
      </c>
      <c r="AE18" s="90"/>
      <c r="AF18" s="90"/>
      <c r="AG18" s="90"/>
      <c r="AH18" s="116"/>
      <c r="AI18" s="16">
        <f t="shared" si="7"/>
        <v>0</v>
      </c>
      <c r="AJ18" s="90">
        <v>122</v>
      </c>
      <c r="AK18" s="90"/>
      <c r="AL18" s="90"/>
      <c r="AM18" s="116"/>
      <c r="AN18" s="16">
        <f t="shared" si="8"/>
        <v>122</v>
      </c>
      <c r="AO18" s="90"/>
      <c r="AP18" s="90"/>
      <c r="AQ18" s="90"/>
      <c r="AR18" s="116"/>
      <c r="AS18" s="16">
        <f t="shared" si="9"/>
        <v>0</v>
      </c>
      <c r="AT18" s="90"/>
      <c r="AU18" s="90"/>
      <c r="AV18" s="90"/>
      <c r="AW18" s="116">
        <v>20</v>
      </c>
      <c r="AX18" s="16">
        <f t="shared" si="10"/>
        <v>0</v>
      </c>
      <c r="AY18" s="90"/>
      <c r="AZ18" s="90"/>
      <c r="BA18" s="90"/>
      <c r="BB18" s="116">
        <v>50</v>
      </c>
      <c r="BC18" s="16">
        <f t="shared" si="11"/>
        <v>0</v>
      </c>
      <c r="BD18" s="90">
        <v>206</v>
      </c>
      <c r="BE18" s="90"/>
      <c r="BF18" s="90"/>
      <c r="BG18" s="116"/>
      <c r="BH18" s="16">
        <f t="shared" si="12"/>
        <v>206</v>
      </c>
      <c r="BI18" s="90">
        <v>205</v>
      </c>
      <c r="BJ18" s="90"/>
      <c r="BK18" s="90"/>
      <c r="BL18" s="116"/>
      <c r="BM18" s="16">
        <f t="shared" si="13"/>
        <v>205</v>
      </c>
      <c r="BN18" s="90"/>
      <c r="BO18" s="90"/>
      <c r="BP18" s="90"/>
      <c r="BQ18" s="116"/>
      <c r="BR18" s="16">
        <f t="shared" si="14"/>
        <v>0</v>
      </c>
      <c r="BS18" s="90">
        <v>174</v>
      </c>
      <c r="BT18" s="90"/>
      <c r="BU18" s="90"/>
      <c r="BV18" s="116"/>
      <c r="BW18" s="16">
        <f t="shared" si="15"/>
        <v>174</v>
      </c>
      <c r="BX18" s="90">
        <v>200</v>
      </c>
      <c r="BY18" s="90"/>
      <c r="BZ18" s="90"/>
      <c r="CA18" s="116"/>
      <c r="CB18" s="16">
        <f t="shared" si="16"/>
        <v>200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v>20</v>
      </c>
      <c r="C19" s="90"/>
      <c r="D19" s="116"/>
      <c r="E19" s="16">
        <f t="shared" si="1"/>
        <v>0</v>
      </c>
      <c r="F19" s="90"/>
      <c r="G19" s="90"/>
      <c r="H19" s="90"/>
      <c r="I19" s="116"/>
      <c r="J19" s="16">
        <f t="shared" si="2"/>
        <v>0</v>
      </c>
      <c r="K19" s="90"/>
      <c r="L19" s="90"/>
      <c r="M19" s="90"/>
      <c r="N19" s="116"/>
      <c r="O19" s="16">
        <f t="shared" si="3"/>
        <v>0</v>
      </c>
      <c r="P19" s="90"/>
      <c r="Q19" s="90">
        <v>50</v>
      </c>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v>90</v>
      </c>
      <c r="AK19" s="90"/>
      <c r="AL19" s="90"/>
      <c r="AM19" s="116"/>
      <c r="AN19" s="16">
        <f t="shared" si="8"/>
        <v>90</v>
      </c>
      <c r="AO19" s="90"/>
      <c r="AP19" s="90"/>
      <c r="AQ19" s="90"/>
      <c r="AR19" s="116"/>
      <c r="AS19" s="16">
        <f t="shared" si="9"/>
        <v>0</v>
      </c>
      <c r="AT19" s="90"/>
      <c r="AU19" s="90"/>
      <c r="AV19" s="116">
        <v>55</v>
      </c>
      <c r="AW19" s="116"/>
      <c r="AX19" s="16">
        <f t="shared" si="10"/>
        <v>55</v>
      </c>
      <c r="AY19" s="90"/>
      <c r="AZ19" s="90"/>
      <c r="BA19" s="90">
        <v>74</v>
      </c>
      <c r="BB19" s="116"/>
      <c r="BC19" s="16">
        <f t="shared" si="11"/>
        <v>74</v>
      </c>
      <c r="BD19" s="90">
        <v>200</v>
      </c>
      <c r="BE19" s="90"/>
      <c r="BF19" s="90"/>
      <c r="BG19" s="116"/>
      <c r="BH19" s="16">
        <f t="shared" si="12"/>
        <v>200</v>
      </c>
      <c r="BI19" s="90">
        <v>189</v>
      </c>
      <c r="BJ19" s="90"/>
      <c r="BK19" s="90"/>
      <c r="BL19" s="116"/>
      <c r="BM19" s="16">
        <f t="shared" si="13"/>
        <v>189</v>
      </c>
      <c r="BN19" s="90"/>
      <c r="BO19" s="90"/>
      <c r="BP19" s="90"/>
      <c r="BQ19" s="116"/>
      <c r="BR19" s="16">
        <f t="shared" si="14"/>
        <v>0</v>
      </c>
      <c r="BS19" s="90">
        <v>182</v>
      </c>
      <c r="BT19" s="90"/>
      <c r="BU19" s="90"/>
      <c r="BV19" s="116"/>
      <c r="BW19" s="16">
        <f t="shared" si="15"/>
        <v>182</v>
      </c>
      <c r="BX19" s="90">
        <v>205</v>
      </c>
      <c r="BY19" s="90"/>
      <c r="BZ19" s="90"/>
      <c r="CA19" s="116"/>
      <c r="CB19" s="16">
        <f t="shared" si="16"/>
        <v>205</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v>110</v>
      </c>
      <c r="B20" s="90"/>
      <c r="C20" s="90"/>
      <c r="D20" s="116"/>
      <c r="E20" s="16">
        <f t="shared" si="1"/>
        <v>110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v>50</v>
      </c>
      <c r="AL20" s="90"/>
      <c r="AM20" s="116"/>
      <c r="AN20" s="16">
        <f t="shared" si="8"/>
        <v>0</v>
      </c>
      <c r="AO20" s="90"/>
      <c r="AP20" s="90"/>
      <c r="AQ20" s="90"/>
      <c r="AR20" s="116"/>
      <c r="AS20" s="16">
        <f t="shared" si="9"/>
        <v>0</v>
      </c>
      <c r="AT20" s="90"/>
      <c r="AU20" s="90"/>
      <c r="AV20" s="116">
        <v>219</v>
      </c>
      <c r="AW20" s="116"/>
      <c r="AX20" s="16">
        <f t="shared" si="10"/>
        <v>219</v>
      </c>
      <c r="AY20" s="90"/>
      <c r="AZ20" s="90"/>
      <c r="BA20" s="90">
        <v>106</v>
      </c>
      <c r="BB20" s="116"/>
      <c r="BC20" s="16">
        <f t="shared" si="11"/>
        <v>106</v>
      </c>
      <c r="BD20" s="90">
        <v>199</v>
      </c>
      <c r="BE20" s="90"/>
      <c r="BF20" s="90"/>
      <c r="BG20" s="116"/>
      <c r="BH20" s="16">
        <f t="shared" si="12"/>
        <v>199</v>
      </c>
      <c r="BI20" s="90"/>
      <c r="BJ20" s="90">
        <v>50</v>
      </c>
      <c r="BK20" s="90"/>
      <c r="BL20" s="116"/>
      <c r="BM20" s="16">
        <f t="shared" si="13"/>
        <v>0</v>
      </c>
      <c r="BN20" s="90"/>
      <c r="BO20" s="90"/>
      <c r="BP20" s="90"/>
      <c r="BQ20" s="116"/>
      <c r="BR20" s="16">
        <f t="shared" si="14"/>
        <v>0</v>
      </c>
      <c r="BS20" s="90">
        <v>193</v>
      </c>
      <c r="BT20" s="90"/>
      <c r="BU20" s="90"/>
      <c r="BV20" s="116"/>
      <c r="BW20" s="16">
        <f t="shared" si="15"/>
        <v>193</v>
      </c>
      <c r="BX20" s="90">
        <v>96</v>
      </c>
      <c r="BY20" s="90"/>
      <c r="BZ20" s="90"/>
      <c r="CA20" s="116"/>
      <c r="CB20" s="16">
        <f t="shared" si="16"/>
        <v>96</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v>195</v>
      </c>
      <c r="B21" s="90"/>
      <c r="C21" s="90"/>
      <c r="D21" s="116"/>
      <c r="E21" s="16">
        <f t="shared" si="1"/>
        <v>195</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116"/>
      <c r="AW21" s="116">
        <v>50</v>
      </c>
      <c r="AX21" s="16">
        <f t="shared" si="10"/>
        <v>0</v>
      </c>
      <c r="AY21" s="90"/>
      <c r="AZ21" s="90"/>
      <c r="BA21" s="90">
        <v>198</v>
      </c>
      <c r="BB21" s="116"/>
      <c r="BC21" s="16">
        <f t="shared" si="11"/>
        <v>198</v>
      </c>
      <c r="BD21" s="90">
        <v>106</v>
      </c>
      <c r="BE21" s="90"/>
      <c r="BF21" s="90"/>
      <c r="BG21" s="116"/>
      <c r="BH21" s="16">
        <f t="shared" si="12"/>
        <v>106</v>
      </c>
      <c r="BI21" s="90"/>
      <c r="BJ21" s="90"/>
      <c r="BK21" s="90"/>
      <c r="BL21" s="116"/>
      <c r="BM21" s="16">
        <f t="shared" si="13"/>
        <v>0</v>
      </c>
      <c r="BN21" s="90"/>
      <c r="BO21" s="90"/>
      <c r="BP21" s="90"/>
      <c r="BQ21" s="116"/>
      <c r="BR21" s="16">
        <f t="shared" si="14"/>
        <v>0</v>
      </c>
      <c r="BS21" s="90">
        <v>92</v>
      </c>
      <c r="BT21" s="90"/>
      <c r="BU21" s="90"/>
      <c r="BV21" s="116"/>
      <c r="BW21" s="16">
        <f t="shared" si="15"/>
        <v>92</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v>109</v>
      </c>
      <c r="B22" s="90"/>
      <c r="C22" s="90"/>
      <c r="D22" s="116"/>
      <c r="E22" s="16">
        <f t="shared" si="1"/>
        <v>109</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116">
        <v>122</v>
      </c>
      <c r="AW22" s="116"/>
      <c r="AX22" s="16">
        <f t="shared" si="10"/>
        <v>122</v>
      </c>
      <c r="AY22" s="90"/>
      <c r="AZ22" s="90"/>
      <c r="BA22" s="90">
        <v>206</v>
      </c>
      <c r="BB22" s="116"/>
      <c r="BC22" s="16">
        <f t="shared" si="11"/>
        <v>206</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v>90</v>
      </c>
      <c r="B23" s="90"/>
      <c r="C23" s="90"/>
      <c r="D23" s="116"/>
      <c r="E23" s="16">
        <f t="shared" si="1"/>
        <v>90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116">
        <v>58</v>
      </c>
      <c r="AW23" s="116"/>
      <c r="AX23" s="16">
        <f t="shared" si="10"/>
        <v>58</v>
      </c>
      <c r="AY23" s="90"/>
      <c r="AZ23" s="90"/>
      <c r="BA23" s="90">
        <v>62</v>
      </c>
      <c r="BB23" s="116"/>
      <c r="BC23" s="16">
        <f t="shared" si="11"/>
        <v>62</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v>50</v>
      </c>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116">
        <v>215</v>
      </c>
      <c r="AW24" s="116"/>
      <c r="AX24" s="16">
        <f t="shared" si="10"/>
        <v>215</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116">
        <v>177</v>
      </c>
      <c r="AW25" s="116"/>
      <c r="AX25" s="16">
        <f t="shared" si="10"/>
        <v>177</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89" priority="210">
      <formula>IF(A25&gt;0,A25&lt;20)</formula>
    </cfRule>
  </conditionalFormatting>
  <conditionalFormatting sqref="F20:F208">
    <cfRule type="expression" dxfId="1588" priority="91">
      <formula>IF(F20&gt;0,F20&lt;20)</formula>
    </cfRule>
  </conditionalFormatting>
  <conditionalFormatting sqref="K22:K208">
    <cfRule type="expression" dxfId="1587" priority="90">
      <formula>IF(K22&gt;0,K22&lt;20)</formula>
    </cfRule>
  </conditionalFormatting>
  <conditionalFormatting sqref="P11:P208">
    <cfRule type="expression" dxfId="1586" priority="89">
      <formula>IF(P11&gt;0,P11&lt;20)</formula>
    </cfRule>
  </conditionalFormatting>
  <conditionalFormatting sqref="U27:U208">
    <cfRule type="expression" dxfId="1585" priority="88">
      <formula>IF(U27&gt;0,U27&lt;20)</formula>
    </cfRule>
  </conditionalFormatting>
  <conditionalFormatting sqref="Z17:Z208">
    <cfRule type="expression" dxfId="1584" priority="87">
      <formula>IF(Z17&gt;0,Z17&lt;20)</formula>
    </cfRule>
  </conditionalFormatting>
  <conditionalFormatting sqref="AE15:AE208">
    <cfRule type="expression" dxfId="1583" priority="86">
      <formula>IF(AE15&gt;0,AE15&lt;20)</formula>
    </cfRule>
  </conditionalFormatting>
  <conditionalFormatting sqref="AJ25:AJ208">
    <cfRule type="expression" dxfId="1582" priority="85">
      <formula>IF(AJ25&gt;0,AJ25&lt;20)</formula>
    </cfRule>
  </conditionalFormatting>
  <conditionalFormatting sqref="AO16:AO208">
    <cfRule type="expression" dxfId="1581" priority="84">
      <formula>IF(AO16&gt;0,AO16&lt;20)</formula>
    </cfRule>
  </conditionalFormatting>
  <conditionalFormatting sqref="AT14:AT208">
    <cfRule type="expression" dxfId="1580" priority="83">
      <formula>IF(AT14&gt;0,AT14&lt;20)</formula>
    </cfRule>
  </conditionalFormatting>
  <conditionalFormatting sqref="AY9:AY208">
    <cfRule type="expression" dxfId="1579" priority="82">
      <formula>IF(AY9&gt;0,AY9&lt;20)</formula>
    </cfRule>
  </conditionalFormatting>
  <conditionalFormatting sqref="BD21:BD208">
    <cfRule type="expression" dxfId="1578" priority="81">
      <formula>IF(BD21&gt;0,BD21&lt;20)</formula>
    </cfRule>
  </conditionalFormatting>
  <conditionalFormatting sqref="BI26:BI208">
    <cfRule type="expression" dxfId="1577" priority="80">
      <formula>IF(BI26&gt;0,BI26&lt;20)</formula>
    </cfRule>
  </conditionalFormatting>
  <conditionalFormatting sqref="BN17:BN208">
    <cfRule type="expression" dxfId="1576" priority="79">
      <formula>IF(BN17&gt;0,BN17&lt;20)</formula>
    </cfRule>
  </conditionalFormatting>
  <conditionalFormatting sqref="BS29:BS208">
    <cfRule type="expression" dxfId="1575" priority="78">
      <formula>IF(BS29&gt;0,BS29&lt;20)</formula>
    </cfRule>
  </conditionalFormatting>
  <conditionalFormatting sqref="BX29:BX208">
    <cfRule type="expression" dxfId="1574" priority="77">
      <formula>IF(BX29&gt;0,BX29&lt;20)</formula>
    </cfRule>
  </conditionalFormatting>
  <conditionalFormatting sqref="CC9:CC208">
    <cfRule type="expression" dxfId="1573" priority="76">
      <formula>IF(CC9&gt;0,CC9&lt;20)</formula>
    </cfRule>
  </conditionalFormatting>
  <conditionalFormatting sqref="CH9:CH208">
    <cfRule type="expression" dxfId="1572" priority="75">
      <formula>IF(CH9&gt;0,CH9&lt;20)</formula>
    </cfRule>
  </conditionalFormatting>
  <conditionalFormatting sqref="CM9:CM208">
    <cfRule type="expression" dxfId="1571" priority="74">
      <formula>IF(CM9&gt;0,CM9&lt;20)</formula>
    </cfRule>
  </conditionalFormatting>
  <conditionalFormatting sqref="CR9:CR208">
    <cfRule type="expression" dxfId="1570" priority="73">
      <formula>IF(CR9&gt;0,CR9&lt;20)</formula>
    </cfRule>
  </conditionalFormatting>
  <conditionalFormatting sqref="CW9:CW208">
    <cfRule type="expression" dxfId="1569" priority="72">
      <formula>IF(CW9&gt;0,CW9&lt;20)</formula>
    </cfRule>
  </conditionalFormatting>
  <conditionalFormatting sqref="DB9:DB208">
    <cfRule type="expression" dxfId="1568" priority="71">
      <formula>IF(DB9&gt;0,DB9&lt;20)</formula>
    </cfRule>
  </conditionalFormatting>
  <conditionalFormatting sqref="DG9:DG208">
    <cfRule type="expression" dxfId="1567" priority="70">
      <formula>IF(DG9&gt;0,DG9&lt;20)</formula>
    </cfRule>
  </conditionalFormatting>
  <conditionalFormatting sqref="DL9:DL208">
    <cfRule type="expression" dxfId="1566" priority="69">
      <formula>IF(DL9&gt;0,DL9&lt;20)</formula>
    </cfRule>
  </conditionalFormatting>
  <conditionalFormatting sqref="DQ9:DQ208">
    <cfRule type="expression" dxfId="1565" priority="68">
      <formula>IF(DQ9&gt;0,DQ9&lt;20)</formula>
    </cfRule>
  </conditionalFormatting>
  <conditionalFormatting sqref="DV9:DV208">
    <cfRule type="expression" dxfId="1564" priority="67">
      <formula>IF(DV9&gt;0,DV9&lt;20)</formula>
    </cfRule>
  </conditionalFormatting>
  <conditionalFormatting sqref="EA9:EA208">
    <cfRule type="expression" dxfId="1563" priority="66">
      <formula>IF(EA9&gt;0,EA9&lt;20)</formula>
    </cfRule>
  </conditionalFormatting>
  <conditionalFormatting sqref="EF9:EF208">
    <cfRule type="expression" dxfId="1562" priority="65">
      <formula>IF(EF9&gt;0,EF9&lt;20)</formula>
    </cfRule>
  </conditionalFormatting>
  <conditionalFormatting sqref="EK9:EK208">
    <cfRule type="expression" dxfId="1561" priority="64">
      <formula>IF(EK9&gt;0,EK9&lt;20)</formula>
    </cfRule>
  </conditionalFormatting>
  <conditionalFormatting sqref="EP9:EP208">
    <cfRule type="expression" dxfId="1560" priority="63">
      <formula>IF(EP9&gt;0,EP9&lt;20)</formula>
    </cfRule>
  </conditionalFormatting>
  <conditionalFormatting sqref="EU9:EU208">
    <cfRule type="expression" dxfId="1559" priority="62">
      <formula>IF(EU9&gt;0,EU9&lt;20)</formula>
    </cfRule>
  </conditionalFormatting>
  <conditionalFormatting sqref="EZ9:EZ208">
    <cfRule type="expression" dxfId="1558" priority="61">
      <formula>IF(EZ9&gt;0,EZ9&lt;20)</formula>
    </cfRule>
  </conditionalFormatting>
  <conditionalFormatting sqref="FE9:FE208">
    <cfRule type="expression" dxfId="1557" priority="60">
      <formula>IF(FE9&gt;0,FE9&lt;20)</formula>
    </cfRule>
  </conditionalFormatting>
  <conditionalFormatting sqref="IL9:IL208">
    <cfRule type="expression" dxfId="1556" priority="43">
      <formula>IF(IL9&gt;0,IL9&lt;20)</formula>
    </cfRule>
  </conditionalFormatting>
  <conditionalFormatting sqref="FJ9:FJ208">
    <cfRule type="expression" dxfId="1555" priority="59">
      <formula>IF(FJ9&gt;0,FJ9&lt;20)</formula>
    </cfRule>
  </conditionalFormatting>
  <conditionalFormatting sqref="FO9:FO208">
    <cfRule type="expression" dxfId="1554" priority="58">
      <formula>IF(FO9&gt;0,FO9&lt;20)</formula>
    </cfRule>
  </conditionalFormatting>
  <conditionalFormatting sqref="FT9:FT208">
    <cfRule type="expression" dxfId="1553" priority="57">
      <formula>IF(FT9&gt;0,FT9&lt;20)</formula>
    </cfRule>
  </conditionalFormatting>
  <conditionalFormatting sqref="FY9:FY208">
    <cfRule type="expression" dxfId="1552" priority="56">
      <formula>IF(FY9&gt;0,FY9&lt;20)</formula>
    </cfRule>
  </conditionalFormatting>
  <conditionalFormatting sqref="GD9:GD208">
    <cfRule type="expression" dxfId="1551" priority="55">
      <formula>IF(GD9&gt;0,GD9&lt;20)</formula>
    </cfRule>
  </conditionalFormatting>
  <conditionalFormatting sqref="GI9:GI208">
    <cfRule type="expression" dxfId="1550" priority="54">
      <formula>IF(GI9&gt;0,GI9&lt;20)</formula>
    </cfRule>
  </conditionalFormatting>
  <conditionalFormatting sqref="GN9:GN208">
    <cfRule type="expression" dxfId="1549" priority="53">
      <formula>IF(GN9&gt;0,GN9&lt;20)</formula>
    </cfRule>
  </conditionalFormatting>
  <conditionalFormatting sqref="GS9:GS208">
    <cfRule type="expression" dxfId="1548" priority="52">
      <formula>IF(GS9&gt;0,GS9&lt;20)</formula>
    </cfRule>
  </conditionalFormatting>
  <conditionalFormatting sqref="GX9:GX208">
    <cfRule type="expression" dxfId="1547" priority="51">
      <formula>IF(GX9&gt;0,GX9&lt;20)</formula>
    </cfRule>
  </conditionalFormatting>
  <conditionalFormatting sqref="HC9:HC208">
    <cfRule type="expression" dxfId="1546" priority="50">
      <formula>IF(HC9&gt;0,HC9&lt;20)</formula>
    </cfRule>
  </conditionalFormatting>
  <conditionalFormatting sqref="HH9:HH208">
    <cfRule type="expression" dxfId="1545" priority="49">
      <formula>IF(HH9&gt;0,HH9&lt;20)</formula>
    </cfRule>
  </conditionalFormatting>
  <conditionalFormatting sqref="HM9:HM208">
    <cfRule type="expression" dxfId="1544" priority="48">
      <formula>IF(HM9&gt;0,HM9&lt;20)</formula>
    </cfRule>
  </conditionalFormatting>
  <conditionalFormatting sqref="HR9:HR208">
    <cfRule type="expression" dxfId="1543" priority="47">
      <formula>IF(HR9&gt;0,HR9&lt;20)</formula>
    </cfRule>
  </conditionalFormatting>
  <conditionalFormatting sqref="HW9:HW208">
    <cfRule type="expression" dxfId="1542" priority="46">
      <formula>IF(HW9&gt;0,HW9&lt;20)</formula>
    </cfRule>
  </conditionalFormatting>
  <conditionalFormatting sqref="IB9:IB208">
    <cfRule type="expression" dxfId="1541" priority="45">
      <formula>IF(IB9&gt;0,IB9&lt;20)</formula>
    </cfRule>
  </conditionalFormatting>
  <conditionalFormatting sqref="IG9:IG208">
    <cfRule type="expression" dxfId="1540" priority="44">
      <formula>IF(IG9&gt;0,IG9&lt;20)</formula>
    </cfRule>
  </conditionalFormatting>
  <conditionalFormatting sqref="A19:A24">
    <cfRule type="expression" dxfId="1539" priority="41">
      <formula>IF(A19&gt;0,A19&lt;20)</formula>
    </cfRule>
  </conditionalFormatting>
  <conditionalFormatting sqref="F12:F19">
    <cfRule type="expression" dxfId="1538" priority="40">
      <formula>IF(F12&gt;0,F12&lt;20)</formula>
    </cfRule>
  </conditionalFormatting>
  <conditionalFormatting sqref="K14:K21">
    <cfRule type="expression" dxfId="1537" priority="39">
      <formula>IF(K14&gt;0,K14&lt;20)</formula>
    </cfRule>
  </conditionalFormatting>
  <conditionalFormatting sqref="P11:P15">
    <cfRule type="expression" dxfId="1536" priority="37">
      <formula>IF(P11&gt;0,P11&lt;20)</formula>
    </cfRule>
  </conditionalFormatting>
  <conditionalFormatting sqref="U10:U20">
    <cfRule type="expression" dxfId="1535" priority="36">
      <formula>IF(U10&gt;0,U10&lt;20)</formula>
    </cfRule>
  </conditionalFormatting>
  <conditionalFormatting sqref="AJ11:AJ24">
    <cfRule type="expression" dxfId="1534" priority="33">
      <formula>IF(AJ11&gt;0,AJ11&lt;20)</formula>
    </cfRule>
  </conditionalFormatting>
  <conditionalFormatting sqref="F9:F12">
    <cfRule type="expression" dxfId="1533" priority="32">
      <formula>IF(F9&gt;0,F9&lt;20)</formula>
    </cfRule>
  </conditionalFormatting>
  <conditionalFormatting sqref="K13:K15">
    <cfRule type="expression" dxfId="1532" priority="31">
      <formula>IF(K13&gt;0,K13&lt;20)</formula>
    </cfRule>
  </conditionalFormatting>
  <conditionalFormatting sqref="K9:K14">
    <cfRule type="expression" dxfId="1531" priority="30">
      <formula>IF(K9&gt;0,K9&lt;20)</formula>
    </cfRule>
  </conditionalFormatting>
  <conditionalFormatting sqref="P9:P15">
    <cfRule type="expression" dxfId="1530" priority="29">
      <formula>IF(P9&gt;0,P9&lt;20)</formula>
    </cfRule>
  </conditionalFormatting>
  <conditionalFormatting sqref="U9">
    <cfRule type="expression" dxfId="1529" priority="28">
      <formula>IF(U9&gt;0,U9&lt;20)</formula>
    </cfRule>
  </conditionalFormatting>
  <conditionalFormatting sqref="Z9:Z16">
    <cfRule type="expression" dxfId="1528" priority="27">
      <formula>IF(Z9&gt;0,Z9&lt;20)</formula>
    </cfRule>
  </conditionalFormatting>
  <conditionalFormatting sqref="AE13:AE14">
    <cfRule type="expression" dxfId="1527" priority="26">
      <formula>IF(AE13&gt;0,AE13&lt;20)</formula>
    </cfRule>
  </conditionalFormatting>
  <conditionalFormatting sqref="AE9:AE13">
    <cfRule type="expression" dxfId="1526" priority="25">
      <formula>IF(AE9&gt;0,AE9&lt;20)</formula>
    </cfRule>
  </conditionalFormatting>
  <conditionalFormatting sqref="AJ9:AJ11">
    <cfRule type="expression" dxfId="1525" priority="24">
      <formula>IF(AJ9&gt;0,AJ9&lt;20)</formula>
    </cfRule>
  </conditionalFormatting>
  <conditionalFormatting sqref="AO9:AO15">
    <cfRule type="expression" dxfId="1524" priority="23">
      <formula>IF(AO9&gt;0,AO9&lt;20)</formula>
    </cfRule>
  </conditionalFormatting>
  <conditionalFormatting sqref="AT9:AT15">
    <cfRule type="expression" dxfId="1523" priority="22">
      <formula>IF(AT9&gt;0,AT9&lt;20)</formula>
    </cfRule>
  </conditionalFormatting>
  <conditionalFormatting sqref="A9">
    <cfRule type="expression" dxfId="1522" priority="21">
      <formula>AND(A$9&lt;&gt;"",A$9&lt;20)</formula>
    </cfRule>
  </conditionalFormatting>
  <conditionalFormatting sqref="A10:A21">
    <cfRule type="expression" dxfId="1521" priority="20">
      <formula>AND(A10&lt;&gt;"",A10&lt;20)</formula>
    </cfRule>
  </conditionalFormatting>
  <conditionalFormatting sqref="BD9:BD21">
    <cfRule type="expression" dxfId="1520" priority="19">
      <formula>IF(BD9&gt;0,BD9&lt;20)</formula>
    </cfRule>
  </conditionalFormatting>
  <conditionalFormatting sqref="BI9:BI28">
    <cfRule type="expression" dxfId="1519" priority="18">
      <formula>IF(BI9&gt;0,BI9&lt;20)</formula>
    </cfRule>
  </conditionalFormatting>
  <conditionalFormatting sqref="BN9 BN16">
    <cfRule type="expression" dxfId="1518" priority="17">
      <formula>IF(BN9&gt;0,BN9&lt;20)</formula>
    </cfRule>
  </conditionalFormatting>
  <conditionalFormatting sqref="U21:U26">
    <cfRule type="expression" dxfId="1517" priority="16">
      <formula>IF(U21&gt;0,U21&lt;20)</formula>
    </cfRule>
  </conditionalFormatting>
  <conditionalFormatting sqref="P16:P29">
    <cfRule type="expression" dxfId="1516" priority="15">
      <formula>IF(P16&gt;0,P16&lt;20)</formula>
    </cfRule>
  </conditionalFormatting>
  <conditionalFormatting sqref="BS27:BS29">
    <cfRule type="expression" dxfId="1515" priority="14">
      <formula>IF(BS27&gt;0,BS27&lt;20)</formula>
    </cfRule>
  </conditionalFormatting>
  <conditionalFormatting sqref="BS9:BS10">
    <cfRule type="expression" dxfId="1514" priority="12">
      <formula>IF(BS9&gt;0,BS9&lt;20)</formula>
    </cfRule>
  </conditionalFormatting>
  <conditionalFormatting sqref="BS26:BS29">
    <cfRule type="expression" dxfId="1513" priority="11">
      <formula>IF(BS26&gt;0,BS26&lt;20)</formula>
    </cfRule>
  </conditionalFormatting>
  <conditionalFormatting sqref="BS23:BS25 BS11:BS21">
    <cfRule type="expression" dxfId="1512" priority="10">
      <formula>IF(BS11&gt;0,BS11&lt;20)</formula>
    </cfRule>
  </conditionalFormatting>
  <conditionalFormatting sqref="BS11:BS15">
    <cfRule type="expression" dxfId="1511" priority="9">
      <formula>IF(BS11&gt;0,BS11&lt;20)</formula>
    </cfRule>
  </conditionalFormatting>
  <conditionalFormatting sqref="BS11">
    <cfRule type="expression" dxfId="1510" priority="8">
      <formula>IF(BS11&gt;0,BS11&lt;20)</formula>
    </cfRule>
  </conditionalFormatting>
  <conditionalFormatting sqref="BS17:BS25">
    <cfRule type="expression" dxfId="1509" priority="7">
      <formula>IF(BS17&gt;0,BS17&lt;20)</formula>
    </cfRule>
  </conditionalFormatting>
  <conditionalFormatting sqref="P13:P18">
    <cfRule type="expression" dxfId="1508" priority="6">
      <formula>IF(P13&gt;0,P13&lt;20)</formula>
    </cfRule>
  </conditionalFormatting>
  <conditionalFormatting sqref="P13:P18">
    <cfRule type="expression" dxfId="1507" priority="5">
      <formula>IF(P13&gt;0,P13&lt;20)</formula>
    </cfRule>
  </conditionalFormatting>
  <conditionalFormatting sqref="P13:P16">
    <cfRule type="expression" dxfId="1506" priority="4">
      <formula>IF(P13&gt;0,P13&lt;20)</formula>
    </cfRule>
  </conditionalFormatting>
  <conditionalFormatting sqref="BX26:BX28">
    <cfRule type="expression" dxfId="1505" priority="3">
      <formula>IF(BX26&gt;0,BX26&lt;20)</formula>
    </cfRule>
  </conditionalFormatting>
  <conditionalFormatting sqref="BX9:BX28">
    <cfRule type="expression" dxfId="1504" priority="2">
      <formula>IF(BX9&gt;0,BX9&lt;20)</formula>
    </cfRule>
  </conditionalFormatting>
  <conditionalFormatting sqref="BX16:BX19">
    <cfRule type="expression" dxfId="1503" priority="1">
      <formula>IF(BX16&gt;0,BX16&lt;20)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625" zoomScaleNormal="100" workbookViewId="0">
      <selection activeCell="D644" sqref="D644"/>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731</v>
      </c>
      <c r="D1" s="328"/>
      <c r="E1" s="88"/>
      <c r="F1" s="88"/>
      <c r="G1" s="89" t="s">
        <v>186</v>
      </c>
      <c r="H1" s="325" t="s">
        <v>733</v>
      </c>
      <c r="I1" s="326"/>
      <c r="J1" s="114"/>
      <c r="K1" s="196"/>
      <c r="L1" s="196"/>
      <c r="M1" s="196"/>
      <c r="N1" s="196"/>
      <c r="O1" s="196"/>
      <c r="P1" s="196"/>
      <c r="Q1" s="196"/>
      <c r="R1" s="196"/>
      <c r="S1" s="196"/>
      <c r="T1" s="196"/>
      <c r="U1" s="196"/>
      <c r="V1" s="196"/>
      <c r="W1" s="196"/>
      <c r="X1" s="196"/>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29" t="s">
        <v>205</v>
      </c>
    </row>
    <row r="2" spans="1:53" ht="16.5" thickBot="1" x14ac:dyDescent="0.3">
      <c r="A2" s="88"/>
      <c r="B2" s="89" t="s">
        <v>206</v>
      </c>
      <c r="C2" s="327" t="s">
        <v>732</v>
      </c>
      <c r="D2" s="328"/>
      <c r="E2" s="88"/>
      <c r="F2" s="88"/>
      <c r="G2" s="89" t="s">
        <v>207</v>
      </c>
      <c r="H2" s="325" t="s">
        <v>734</v>
      </c>
      <c r="I2" s="326"/>
      <c r="J2" s="114"/>
      <c r="K2" s="196"/>
      <c r="L2" s="196"/>
      <c r="M2" s="196"/>
      <c r="N2" s="196"/>
      <c r="O2" s="196"/>
      <c r="P2" s="196"/>
      <c r="Q2" s="196"/>
      <c r="R2" s="196"/>
      <c r="S2" s="196"/>
      <c r="T2" s="196"/>
      <c r="U2" s="196"/>
      <c r="V2" s="196"/>
      <c r="W2" s="196"/>
      <c r="X2" s="196"/>
      <c r="Y2" s="88"/>
      <c r="Z2" s="88"/>
      <c r="AA2" s="88"/>
      <c r="AB2" s="88"/>
      <c r="AC2" s="88"/>
      <c r="AD2" s="88"/>
      <c r="BA2" s="229" t="s">
        <v>208</v>
      </c>
    </row>
    <row r="3" spans="1:53" ht="15.75" x14ac:dyDescent="0.25">
      <c r="A3" s="88"/>
      <c r="B3" s="88"/>
      <c r="C3" s="88"/>
      <c r="D3" s="88"/>
      <c r="E3" s="88"/>
      <c r="F3" s="88"/>
      <c r="G3" s="115"/>
      <c r="H3" s="230"/>
      <c r="I3" s="230"/>
      <c r="J3" s="88"/>
      <c r="K3" s="196"/>
      <c r="L3" s="196"/>
      <c r="M3" s="196"/>
      <c r="N3" s="196"/>
      <c r="O3" s="196"/>
      <c r="P3" s="196"/>
      <c r="Q3" s="196"/>
      <c r="R3" s="196"/>
      <c r="S3" s="196"/>
      <c r="T3" s="196"/>
      <c r="U3" s="196"/>
      <c r="V3" s="196"/>
      <c r="W3" s="196"/>
      <c r="X3" s="196"/>
      <c r="Y3" s="88"/>
      <c r="Z3" s="88"/>
      <c r="AA3" s="88"/>
      <c r="AB3" s="88"/>
      <c r="AC3" s="88"/>
      <c r="AD3" s="88"/>
      <c r="BA3" s="229" t="str">
        <f>CONCATENATE("FA_IMPORT_"&amp;C1)</f>
        <v>FA_IMPORT_A02RNLQ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5" t="s">
        <v>210</v>
      </c>
      <c r="N5" s="195" t="s">
        <v>211</v>
      </c>
      <c r="O5" s="195" t="s">
        <v>212</v>
      </c>
      <c r="P5" s="195" t="s">
        <v>213</v>
      </c>
      <c r="Q5" s="195" t="s">
        <v>214</v>
      </c>
      <c r="R5" s="195" t="s">
        <v>215</v>
      </c>
      <c r="S5" s="195" t="s">
        <v>216</v>
      </c>
      <c r="T5" s="195" t="s">
        <v>217</v>
      </c>
      <c r="U5" s="195" t="s">
        <v>218</v>
      </c>
      <c r="V5" s="195" t="s">
        <v>219</v>
      </c>
      <c r="W5" s="113" t="s">
        <v>220</v>
      </c>
      <c r="X5" s="195"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156</v>
      </c>
      <c r="J6" s="316" t="s">
        <v>225</v>
      </c>
      <c r="K6" s="317"/>
      <c r="L6" s="304"/>
      <c r="M6" s="195">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304"/>
      <c r="I7" s="33">
        <f>E8-I6</f>
        <v>60</v>
      </c>
      <c r="J7" s="288" t="s">
        <v>231</v>
      </c>
      <c r="K7" s="289"/>
      <c r="L7" s="34">
        <f>I11</f>
        <v>709</v>
      </c>
      <c r="M7" s="195">
        <v>4</v>
      </c>
      <c r="N7" s="35">
        <f>SUM(AI7,AI18)</f>
        <v>0</v>
      </c>
      <c r="O7" s="35">
        <v>0</v>
      </c>
      <c r="P7" s="35">
        <f>SUM(AJ7,AJ18)</f>
        <v>0</v>
      </c>
      <c r="Q7" s="35">
        <v>0</v>
      </c>
      <c r="R7" s="35">
        <f>COUNTIFS($E17:$E41,"4",$F17:$F41,"Pole",$C17:$C41,"FST")</f>
        <v>0</v>
      </c>
      <c r="S7" s="35">
        <f>SUM(AL7,AK18)</f>
        <v>0</v>
      </c>
      <c r="T7" s="35">
        <v>0</v>
      </c>
      <c r="U7" s="35">
        <f>SUM(AK7,AL18)</f>
        <v>9</v>
      </c>
      <c r="V7" s="35">
        <v>0</v>
      </c>
      <c r="W7" s="34">
        <f>COUNTIFS($E17:$E41,"4",$F17:$F41,"HH",$C17:$C41,"FST")</f>
        <v>9</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f>IF($E7="EUC",COUNTIFS($C17:$C41,"FST",$E17:$E41,"4"),"0")</f>
        <v>9</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290" t="s">
        <v>237</v>
      </c>
      <c r="H8" s="291"/>
      <c r="I8" s="35">
        <f>IF(E8=0,0,12-(MOD(I6,12)))</f>
        <v>12</v>
      </c>
      <c r="J8" s="288" t="s">
        <v>238</v>
      </c>
      <c r="K8" s="289"/>
      <c r="L8" s="39">
        <f>I12-I6</f>
        <v>708</v>
      </c>
      <c r="M8" s="195">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60</v>
      </c>
      <c r="F9" s="88"/>
      <c r="G9" s="320" t="s">
        <v>242</v>
      </c>
      <c r="H9" s="43" t="s">
        <v>243</v>
      </c>
      <c r="I9" s="35">
        <f>IF(E9&lt;&gt;0,1,0)</f>
        <v>1</v>
      </c>
      <c r="J9" s="290" t="s">
        <v>244</v>
      </c>
      <c r="K9" s="291"/>
      <c r="L9" s="44">
        <f>'Cable Calculator'!D3</f>
        <v>2176</v>
      </c>
      <c r="M9" s="195">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709</v>
      </c>
      <c r="F10" s="88"/>
      <c r="G10" s="321"/>
      <c r="H10" s="47" t="s">
        <v>248</v>
      </c>
      <c r="I10" s="35">
        <f>IF(E9&lt;&gt;0,E9,0)</f>
        <v>60</v>
      </c>
      <c r="J10" s="193"/>
      <c r="K10" s="194"/>
      <c r="L10" s="48"/>
      <c r="M10" s="195">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1</v>
      </c>
      <c r="V10" s="35">
        <f>IF($E7="EUC",SUM($AN42,AP42,AR42),"0")</f>
        <v>1</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18</v>
      </c>
      <c r="F11" s="88"/>
      <c r="G11" s="320" t="s">
        <v>251</v>
      </c>
      <c r="H11" s="51" t="s">
        <v>252</v>
      </c>
      <c r="I11" s="112">
        <f>E10</f>
        <v>709</v>
      </c>
      <c r="J11" s="322" t="s">
        <v>253</v>
      </c>
      <c r="K11" s="323"/>
      <c r="L11" s="324"/>
      <c r="M11" s="52" t="s">
        <v>254</v>
      </c>
      <c r="N11" s="106"/>
      <c r="O11" s="106"/>
      <c r="P11" s="191"/>
      <c r="Q11" s="191"/>
      <c r="R11" s="191"/>
      <c r="S11" s="191"/>
      <c r="T11" s="191"/>
      <c r="U11" s="191"/>
      <c r="V11" s="191"/>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156</v>
      </c>
      <c r="D13" s="31" t="s">
        <v>259</v>
      </c>
      <c r="E13" s="101" t="str">
        <f>IF(AS7="Y","DBL",IF(AS8="Y","TRPL",IF(AS9="Y","QUAD","")))</f>
        <v/>
      </c>
      <c r="F13" s="88"/>
      <c r="G13" s="191"/>
      <c r="H13" s="57"/>
      <c r="I13" s="191"/>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735</v>
      </c>
      <c r="E17" s="32">
        <v>4</v>
      </c>
      <c r="F17" s="32" t="s">
        <v>488</v>
      </c>
      <c r="G17" s="68" t="s">
        <v>277</v>
      </c>
      <c r="H17" s="69">
        <f>IF(I17=0,0,I17-(E17-1))</f>
        <v>861</v>
      </c>
      <c r="I17" s="70">
        <f>IF(E17=0,0,I12)</f>
        <v>864</v>
      </c>
      <c r="J17" s="71" t="s">
        <v>278</v>
      </c>
      <c r="K17" s="32"/>
      <c r="L17" s="232"/>
      <c r="M17" s="277"/>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8">
        <f>MOD(E17,12)</f>
        <v>4</v>
      </c>
    </row>
    <row r="18" spans="1:53" ht="15.75" thickBot="1" x14ac:dyDescent="0.3">
      <c r="A18" s="88"/>
      <c r="B18" s="66" t="s">
        <v>279</v>
      </c>
      <c r="C18" s="67" t="s">
        <v>484</v>
      </c>
      <c r="D18" s="102" t="s">
        <v>736</v>
      </c>
      <c r="E18" s="32">
        <v>4</v>
      </c>
      <c r="F18" s="32" t="s">
        <v>488</v>
      </c>
      <c r="G18" s="68" t="s">
        <v>277</v>
      </c>
      <c r="H18" s="69">
        <f t="shared" ref="H18:H41" si="9">IF(E18=0,0,I18-(E18-1))</f>
        <v>857</v>
      </c>
      <c r="I18" s="70">
        <f t="shared" ref="I18:I41" si="10">IF(E18=0,0,H17-1)</f>
        <v>860</v>
      </c>
      <c r="J18" s="73" t="str">
        <f>IF(C18="","--",IF(AND(C18&lt;&gt;"FST",C18&lt;&gt;"TCF",BA17&lt;&gt;0),BA17,"--"))</f>
        <v>--</v>
      </c>
      <c r="K18" s="32"/>
      <c r="L18" s="232"/>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8">
        <f>MOD(SUM(E17:E18),12)</f>
        <v>8</v>
      </c>
    </row>
    <row r="19" spans="1:53" ht="15.75" thickBot="1" x14ac:dyDescent="0.3">
      <c r="A19" s="88"/>
      <c r="B19" s="74" t="s">
        <v>280</v>
      </c>
      <c r="C19" s="67" t="s">
        <v>484</v>
      </c>
      <c r="D19" s="102" t="s">
        <v>737</v>
      </c>
      <c r="E19" s="32">
        <v>4</v>
      </c>
      <c r="F19" s="32" t="s">
        <v>488</v>
      </c>
      <c r="G19" s="75" t="s">
        <v>277</v>
      </c>
      <c r="H19" s="69">
        <f t="shared" si="9"/>
        <v>853</v>
      </c>
      <c r="I19" s="70">
        <f t="shared" si="10"/>
        <v>856</v>
      </c>
      <c r="J19" s="73" t="str">
        <f t="shared" ref="J19:J41" si="11">IF(C19="","--",IF(AND(C19&lt;&gt;"FST",C19&lt;&gt;"TCF",BA18&lt;&gt;0),BA18,"--"))</f>
        <v>--</v>
      </c>
      <c r="K19" s="32"/>
      <c r="L19" s="232"/>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8">
        <f>MOD(SUM(E17:E20),12)</f>
        <v>4</v>
      </c>
    </row>
    <row r="20" spans="1:53" ht="15.75" thickBot="1" x14ac:dyDescent="0.3">
      <c r="A20" s="88"/>
      <c r="B20" s="66" t="s">
        <v>281</v>
      </c>
      <c r="C20" s="67" t="s">
        <v>484</v>
      </c>
      <c r="D20" s="102" t="s">
        <v>738</v>
      </c>
      <c r="E20" s="32">
        <v>4</v>
      </c>
      <c r="F20" s="32" t="s">
        <v>488</v>
      </c>
      <c r="G20" s="68" t="s">
        <v>277</v>
      </c>
      <c r="H20" s="69">
        <f t="shared" si="9"/>
        <v>849</v>
      </c>
      <c r="I20" s="70">
        <f t="shared" si="10"/>
        <v>852</v>
      </c>
      <c r="J20" s="73" t="str">
        <f t="shared" si="11"/>
        <v>--</v>
      </c>
      <c r="K20" s="32"/>
      <c r="L20" s="232"/>
      <c r="M20" s="277"/>
      <c r="N20" s="277"/>
      <c r="O20" s="277"/>
      <c r="P20" s="277"/>
      <c r="Q20" s="277"/>
      <c r="R20" s="277"/>
      <c r="S20" s="277"/>
      <c r="T20" s="277"/>
      <c r="U20" s="278"/>
      <c r="V20" s="103"/>
      <c r="W20" s="72"/>
      <c r="X20" s="72"/>
      <c r="Y20" s="72"/>
      <c r="Z20" s="45">
        <v>12</v>
      </c>
      <c r="AA20" s="76">
        <v>133</v>
      </c>
      <c r="AB20" s="76">
        <v>144</v>
      </c>
      <c r="AC20" s="72">
        <f t="shared" si="0"/>
        <v>1</v>
      </c>
      <c r="AD20" s="72">
        <f t="shared" si="1"/>
        <v>0</v>
      </c>
      <c r="AE20" s="109" t="str">
        <f t="shared" si="2"/>
        <v>849-852</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8">
        <f>MOD(SUM(E17:E21),12)</f>
        <v>8</v>
      </c>
    </row>
    <row r="21" spans="1:53" ht="15.75" thickBot="1" x14ac:dyDescent="0.3">
      <c r="A21" s="88"/>
      <c r="B21" s="66" t="s">
        <v>282</v>
      </c>
      <c r="C21" s="67" t="s">
        <v>484</v>
      </c>
      <c r="D21" s="102" t="s">
        <v>739</v>
      </c>
      <c r="E21" s="32">
        <v>4</v>
      </c>
      <c r="F21" s="32" t="s">
        <v>488</v>
      </c>
      <c r="G21" s="68" t="s">
        <v>277</v>
      </c>
      <c r="H21" s="69">
        <f t="shared" si="9"/>
        <v>845</v>
      </c>
      <c r="I21" s="70">
        <f t="shared" si="10"/>
        <v>848</v>
      </c>
      <c r="J21" s="73" t="str">
        <f t="shared" si="11"/>
        <v>--</v>
      </c>
      <c r="K21" s="32"/>
      <c r="L21" s="232"/>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0</v>
      </c>
      <c r="AE21" s="109" t="str">
        <f t="shared" si="2"/>
        <v>845-848</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8">
        <f>MOD(SUM(E17:E22),12)</f>
        <v>0</v>
      </c>
    </row>
    <row r="22" spans="1:53" ht="15.75" thickBot="1" x14ac:dyDescent="0.3">
      <c r="A22" s="88"/>
      <c r="B22" s="66" t="s">
        <v>283</v>
      </c>
      <c r="C22" s="67" t="s">
        <v>484</v>
      </c>
      <c r="D22" s="102" t="s">
        <v>740</v>
      </c>
      <c r="E22" s="32">
        <v>4</v>
      </c>
      <c r="F22" s="32" t="s">
        <v>488</v>
      </c>
      <c r="G22" s="68" t="s">
        <v>277</v>
      </c>
      <c r="H22" s="69">
        <f t="shared" si="9"/>
        <v>841</v>
      </c>
      <c r="I22" s="70">
        <f t="shared" si="10"/>
        <v>844</v>
      </c>
      <c r="J22" s="73" t="str">
        <f t="shared" si="11"/>
        <v>--</v>
      </c>
      <c r="K22" s="32"/>
      <c r="L22" s="232"/>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0</v>
      </c>
      <c r="AE22" s="109" t="str">
        <f t="shared" si="2"/>
        <v>841-844</v>
      </c>
      <c r="AF22" s="109" t="str">
        <f t="shared" si="3"/>
        <v>Y</v>
      </c>
      <c r="AG22" s="109" t="str">
        <f t="shared" si="4"/>
        <v>B</v>
      </c>
      <c r="AM22" s="109">
        <f t="shared" si="5"/>
        <v>0</v>
      </c>
      <c r="AN22" s="109">
        <f t="shared" si="6"/>
        <v>0</v>
      </c>
      <c r="AO22" s="109" t="str">
        <f t="shared" si="7"/>
        <v/>
      </c>
      <c r="AQ22" s="109" t="str">
        <f t="shared" si="8"/>
        <v/>
      </c>
      <c r="BA22" s="228">
        <f>MOD(SUM(E17:E23),12)</f>
        <v>0</v>
      </c>
    </row>
    <row r="23" spans="1:53" ht="15.75" thickBot="1" x14ac:dyDescent="0.3">
      <c r="A23" s="88"/>
      <c r="B23" s="66" t="s">
        <v>284</v>
      </c>
      <c r="C23" s="67" t="s">
        <v>499</v>
      </c>
      <c r="D23" s="102"/>
      <c r="E23" s="32">
        <v>12</v>
      </c>
      <c r="F23" s="32"/>
      <c r="G23" s="68" t="s">
        <v>277</v>
      </c>
      <c r="H23" s="69">
        <f t="shared" si="9"/>
        <v>829</v>
      </c>
      <c r="I23" s="70">
        <f t="shared" si="10"/>
        <v>840</v>
      </c>
      <c r="J23" s="73" t="str">
        <f t="shared" si="11"/>
        <v>--</v>
      </c>
      <c r="K23" s="32"/>
      <c r="L23" s="232"/>
      <c r="M23" s="277" t="s">
        <v>404</v>
      </c>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829-840</v>
      </c>
      <c r="AF23" s="109" t="str">
        <f t="shared" si="3"/>
        <v>Y</v>
      </c>
      <c r="AG23" s="109" t="str">
        <f t="shared" si="4"/>
        <v>B</v>
      </c>
      <c r="AM23" s="109">
        <f t="shared" si="5"/>
        <v>0.5</v>
      </c>
      <c r="AN23" s="109">
        <f t="shared" si="6"/>
        <v>0.5</v>
      </c>
      <c r="AO23" s="109" t="str">
        <f t="shared" si="7"/>
        <v/>
      </c>
      <c r="AQ23" s="109" t="str">
        <f t="shared" si="8"/>
        <v/>
      </c>
      <c r="BA23" s="228">
        <f>MOD(SUM(E17:E24),12)</f>
        <v>0</v>
      </c>
    </row>
    <row r="24" spans="1:53" ht="15.75" thickBot="1" x14ac:dyDescent="0.3">
      <c r="A24" s="88"/>
      <c r="B24" s="66" t="s">
        <v>285</v>
      </c>
      <c r="C24" s="67" t="s">
        <v>499</v>
      </c>
      <c r="D24" s="102"/>
      <c r="E24" s="32">
        <v>12</v>
      </c>
      <c r="F24" s="32"/>
      <c r="G24" s="68" t="s">
        <v>277</v>
      </c>
      <c r="H24" s="69">
        <f t="shared" si="9"/>
        <v>817</v>
      </c>
      <c r="I24" s="70">
        <f t="shared" si="10"/>
        <v>828</v>
      </c>
      <c r="J24" s="73" t="str">
        <f t="shared" si="11"/>
        <v>--</v>
      </c>
      <c r="K24" s="32"/>
      <c r="L24" s="232"/>
      <c r="M24" s="277" t="s">
        <v>404</v>
      </c>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817-828</v>
      </c>
      <c r="AF24" s="109" t="str">
        <f t="shared" si="3"/>
        <v>Y</v>
      </c>
      <c r="AG24" s="109" t="str">
        <f t="shared" si="4"/>
        <v>B</v>
      </c>
      <c r="AM24" s="109">
        <f t="shared" si="5"/>
        <v>0.5</v>
      </c>
      <c r="AN24" s="109">
        <f t="shared" si="6"/>
        <v>0.5</v>
      </c>
      <c r="AO24" s="109" t="str">
        <f t="shared" si="7"/>
        <v/>
      </c>
      <c r="AQ24" s="109" t="str">
        <f t="shared" si="8"/>
        <v/>
      </c>
      <c r="BA24" s="228">
        <f>MOD(SUM(E17:E25),12)</f>
        <v>4</v>
      </c>
    </row>
    <row r="25" spans="1:53" ht="15.75" thickBot="1" x14ac:dyDescent="0.3">
      <c r="A25" s="88"/>
      <c r="B25" s="66" t="s">
        <v>286</v>
      </c>
      <c r="C25" s="67" t="s">
        <v>484</v>
      </c>
      <c r="D25" s="102" t="s">
        <v>741</v>
      </c>
      <c r="E25" s="32">
        <v>4</v>
      </c>
      <c r="F25" s="32" t="s">
        <v>488</v>
      </c>
      <c r="G25" s="68" t="s">
        <v>277</v>
      </c>
      <c r="H25" s="69">
        <f t="shared" si="9"/>
        <v>813</v>
      </c>
      <c r="I25" s="70">
        <f t="shared" si="10"/>
        <v>816</v>
      </c>
      <c r="J25" s="73" t="str">
        <f t="shared" si="11"/>
        <v>--</v>
      </c>
      <c r="K25" s="32"/>
      <c r="L25" s="232"/>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0</v>
      </c>
      <c r="AE25" s="109" t="str">
        <f t="shared" si="2"/>
        <v>813-816</v>
      </c>
      <c r="AF25" s="109" t="str">
        <f t="shared" si="3"/>
        <v>Y</v>
      </c>
      <c r="AG25" s="109" t="str">
        <f t="shared" si="4"/>
        <v>B</v>
      </c>
      <c r="AM25" s="109">
        <f t="shared" si="5"/>
        <v>0</v>
      </c>
      <c r="AN25" s="109">
        <f t="shared" si="6"/>
        <v>0</v>
      </c>
      <c r="AO25" s="109" t="str">
        <f t="shared" si="7"/>
        <v/>
      </c>
      <c r="AQ25" s="109" t="str">
        <f t="shared" si="8"/>
        <v/>
      </c>
      <c r="BA25" s="228">
        <f>MOD(SUM(E17:E26),12)</f>
        <v>8</v>
      </c>
    </row>
    <row r="26" spans="1:53" ht="15.75" thickBot="1" x14ac:dyDescent="0.3">
      <c r="A26" s="88"/>
      <c r="B26" s="66" t="s">
        <v>287</v>
      </c>
      <c r="C26" s="67" t="s">
        <v>484</v>
      </c>
      <c r="D26" s="102" t="s">
        <v>787</v>
      </c>
      <c r="E26" s="32">
        <v>4</v>
      </c>
      <c r="F26" s="32" t="s">
        <v>488</v>
      </c>
      <c r="G26" s="68" t="s">
        <v>277</v>
      </c>
      <c r="H26" s="69">
        <f t="shared" si="9"/>
        <v>809</v>
      </c>
      <c r="I26" s="70">
        <f t="shared" si="10"/>
        <v>812</v>
      </c>
      <c r="J26" s="73" t="str">
        <f t="shared" si="11"/>
        <v>--</v>
      </c>
      <c r="K26" s="32"/>
      <c r="L26" s="232"/>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0</v>
      </c>
      <c r="AE26" s="109" t="str">
        <f t="shared" si="2"/>
        <v>809-812</v>
      </c>
      <c r="AF26" s="109" t="str">
        <f t="shared" si="3"/>
        <v>Y</v>
      </c>
      <c r="AG26" s="109" t="str">
        <f t="shared" si="4"/>
        <v>B</v>
      </c>
      <c r="AM26" s="109">
        <f t="shared" si="5"/>
        <v>0</v>
      </c>
      <c r="AN26" s="109">
        <f t="shared" si="6"/>
        <v>0</v>
      </c>
      <c r="AO26" s="109" t="str">
        <f t="shared" si="7"/>
        <v/>
      </c>
      <c r="AQ26" s="109" t="str">
        <f t="shared" si="8"/>
        <v/>
      </c>
      <c r="BA26" s="228">
        <f>MOD(SUM(E17:E27),12)</f>
        <v>0</v>
      </c>
    </row>
    <row r="27" spans="1:53" ht="15.75" thickBot="1" x14ac:dyDescent="0.3">
      <c r="A27" s="88"/>
      <c r="B27" s="66" t="s">
        <v>288</v>
      </c>
      <c r="C27" s="67" t="s">
        <v>484</v>
      </c>
      <c r="D27" s="102" t="s">
        <v>765</v>
      </c>
      <c r="E27" s="32">
        <v>4</v>
      </c>
      <c r="F27" s="32" t="s">
        <v>488</v>
      </c>
      <c r="G27" s="68" t="s">
        <v>277</v>
      </c>
      <c r="H27" s="69">
        <f t="shared" si="9"/>
        <v>805</v>
      </c>
      <c r="I27" s="70">
        <f t="shared" si="10"/>
        <v>808</v>
      </c>
      <c r="J27" s="73" t="str">
        <f t="shared" si="11"/>
        <v>--</v>
      </c>
      <c r="K27" s="32"/>
      <c r="L27" s="232"/>
      <c r="M27" s="277"/>
      <c r="N27" s="277"/>
      <c r="O27" s="277"/>
      <c r="P27" s="277"/>
      <c r="Q27" s="277"/>
      <c r="R27" s="277"/>
      <c r="S27" s="277"/>
      <c r="T27" s="277"/>
      <c r="U27" s="278"/>
      <c r="V27" s="103"/>
      <c r="W27" s="84"/>
      <c r="X27" s="84"/>
      <c r="Y27" s="72"/>
      <c r="Z27" s="72"/>
      <c r="AA27" s="72"/>
      <c r="AB27" s="72"/>
      <c r="AC27" s="72">
        <f t="shared" si="0"/>
        <v>1</v>
      </c>
      <c r="AD27" s="72">
        <f t="shared" si="1"/>
        <v>0</v>
      </c>
      <c r="AE27" s="109" t="str">
        <f t="shared" si="2"/>
        <v>805-808</v>
      </c>
      <c r="AF27" s="109" t="str">
        <f t="shared" si="3"/>
        <v>Y</v>
      </c>
      <c r="AG27" s="109" t="str">
        <f t="shared" si="4"/>
        <v>B</v>
      </c>
      <c r="AM27" s="109">
        <f t="shared" si="5"/>
        <v>0</v>
      </c>
      <c r="AN27" s="109">
        <f t="shared" si="6"/>
        <v>0</v>
      </c>
      <c r="AO27" s="109" t="str">
        <f t="shared" si="7"/>
        <v/>
      </c>
      <c r="AQ27" s="109" t="str">
        <f t="shared" si="8"/>
        <v/>
      </c>
      <c r="BA27" s="228">
        <f>MOD(SUM(E17:E28),12)</f>
        <v>0</v>
      </c>
    </row>
    <row r="28" spans="1:53" ht="15.75" thickBot="1" x14ac:dyDescent="0.3">
      <c r="A28" s="88"/>
      <c r="B28" s="66" t="s">
        <v>289</v>
      </c>
      <c r="C28" s="67" t="s">
        <v>502</v>
      </c>
      <c r="D28" s="102"/>
      <c r="E28" s="32">
        <v>24</v>
      </c>
      <c r="F28" s="32"/>
      <c r="G28" s="68" t="s">
        <v>277</v>
      </c>
      <c r="H28" s="69">
        <f t="shared" si="9"/>
        <v>781</v>
      </c>
      <c r="I28" s="70">
        <f t="shared" si="10"/>
        <v>804</v>
      </c>
      <c r="J28" s="73" t="str">
        <f t="shared" si="11"/>
        <v>--</v>
      </c>
      <c r="K28" s="32"/>
      <c r="L28" s="232"/>
      <c r="M28" s="277" t="s">
        <v>405</v>
      </c>
      <c r="N28" s="277"/>
      <c r="O28" s="277"/>
      <c r="P28" s="277"/>
      <c r="Q28" s="277"/>
      <c r="R28" s="277"/>
      <c r="S28" s="277"/>
      <c r="T28" s="277"/>
      <c r="U28" s="278"/>
      <c r="V28" s="103"/>
      <c r="W28" s="84">
        <f>Y28+1</f>
        <v>85</v>
      </c>
      <c r="X28" s="84"/>
      <c r="Y28" s="78">
        <f>SUM(E17:E28)</f>
        <v>84</v>
      </c>
      <c r="Z28" s="72"/>
      <c r="AA28" s="72"/>
      <c r="AB28" s="72"/>
      <c r="AC28" s="72">
        <f t="shared" si="0"/>
        <v>1</v>
      </c>
      <c r="AD28" s="72">
        <f t="shared" si="1"/>
        <v>1</v>
      </c>
      <c r="AE28" s="109" t="str">
        <f t="shared" si="2"/>
        <v>781-804</v>
      </c>
      <c r="AF28" s="109" t="str">
        <f t="shared" si="3"/>
        <v>N</v>
      </c>
      <c r="AG28" s="109" t="str">
        <f t="shared" si="4"/>
        <v>B</v>
      </c>
      <c r="AM28" s="109">
        <f t="shared" si="5"/>
        <v>0</v>
      </c>
      <c r="AN28" s="109">
        <f t="shared" si="6"/>
        <v>0</v>
      </c>
      <c r="AO28" s="109" t="str">
        <f t="shared" si="7"/>
        <v/>
      </c>
      <c r="AQ28" s="109" t="str">
        <f t="shared" si="8"/>
        <v/>
      </c>
      <c r="BA28" s="228">
        <f>MOD(SUM(E17:E29),12)</f>
        <v>0</v>
      </c>
    </row>
    <row r="29" spans="1:53" ht="15.75" thickBot="1" x14ac:dyDescent="0.3">
      <c r="A29" s="88"/>
      <c r="B29" s="66" t="s">
        <v>290</v>
      </c>
      <c r="C29" s="67" t="s">
        <v>502</v>
      </c>
      <c r="D29" s="102"/>
      <c r="E29" s="32">
        <v>72</v>
      </c>
      <c r="F29" s="32"/>
      <c r="G29" s="68" t="s">
        <v>277</v>
      </c>
      <c r="H29" s="69">
        <f t="shared" si="9"/>
        <v>709</v>
      </c>
      <c r="I29" s="70">
        <f t="shared" si="10"/>
        <v>780</v>
      </c>
      <c r="J29" s="73" t="str">
        <f t="shared" si="11"/>
        <v>--</v>
      </c>
      <c r="K29" s="32"/>
      <c r="L29" s="232"/>
      <c r="M29" s="277" t="s">
        <v>406</v>
      </c>
      <c r="N29" s="277"/>
      <c r="O29" s="277"/>
      <c r="P29" s="277"/>
      <c r="Q29" s="277"/>
      <c r="R29" s="277"/>
      <c r="S29" s="277"/>
      <c r="T29" s="277"/>
      <c r="U29" s="278"/>
      <c r="V29" s="103"/>
      <c r="W29" s="84">
        <f>Y29+1</f>
        <v>157</v>
      </c>
      <c r="X29" s="84"/>
      <c r="Y29" s="78">
        <f>SUM(E17:E29)</f>
        <v>156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709-780</v>
      </c>
      <c r="AF29" s="109" t="str">
        <f t="shared" si="3"/>
        <v>N</v>
      </c>
      <c r="AG29" s="109" t="str">
        <f t="shared" si="4"/>
        <v>B</v>
      </c>
      <c r="AM29" s="109">
        <f t="shared" si="5"/>
        <v>0</v>
      </c>
      <c r="AN29" s="109">
        <f t="shared" si="6"/>
        <v>0</v>
      </c>
      <c r="AO29" s="109" t="str">
        <f t="shared" si="7"/>
        <v/>
      </c>
      <c r="AQ29" s="109" t="str">
        <f t="shared" si="8"/>
        <v/>
      </c>
      <c r="BA29" s="228">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2"/>
      <c r="M30" s="277"/>
      <c r="N30" s="277"/>
      <c r="O30" s="277"/>
      <c r="P30" s="277"/>
      <c r="Q30" s="277"/>
      <c r="R30" s="277"/>
      <c r="S30" s="277"/>
      <c r="T30" s="277"/>
      <c r="U30" s="278"/>
      <c r="V30" s="103"/>
      <c r="W30" s="84">
        <f>Y30+1</f>
        <v>157</v>
      </c>
      <c r="X30" s="84"/>
      <c r="Y30" s="78">
        <f>SUM(E17:E30)</f>
        <v>156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8">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2"/>
      <c r="M31" s="277"/>
      <c r="N31" s="277"/>
      <c r="O31" s="277"/>
      <c r="P31" s="277"/>
      <c r="Q31" s="277"/>
      <c r="R31" s="277"/>
      <c r="S31" s="277"/>
      <c r="T31" s="277"/>
      <c r="U31" s="278"/>
      <c r="V31" s="103"/>
      <c r="W31" s="84">
        <f>Y31+1</f>
        <v>157</v>
      </c>
      <c r="X31" s="84"/>
      <c r="Y31" s="78">
        <f>SUM(E17:E31)</f>
        <v>156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8">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2"/>
      <c r="M32" s="277"/>
      <c r="N32" s="277"/>
      <c r="O32" s="277"/>
      <c r="P32" s="277"/>
      <c r="Q32" s="277"/>
      <c r="R32" s="277"/>
      <c r="S32" s="277"/>
      <c r="T32" s="277"/>
      <c r="U32" s="278"/>
      <c r="V32" s="103"/>
      <c r="W32" s="84">
        <f t="shared" ref="W32:W40" si="16">Y32+1</f>
        <v>157</v>
      </c>
      <c r="X32" s="84"/>
      <c r="Y32" s="78">
        <f>SUM(E17:E32)</f>
        <v>156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8">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2"/>
      <c r="M33" s="277"/>
      <c r="N33" s="277"/>
      <c r="O33" s="277"/>
      <c r="P33" s="277"/>
      <c r="Q33" s="277"/>
      <c r="R33" s="277"/>
      <c r="S33" s="277"/>
      <c r="T33" s="277"/>
      <c r="U33" s="278"/>
      <c r="V33" s="103"/>
      <c r="W33" s="84">
        <f t="shared" si="16"/>
        <v>157</v>
      </c>
      <c r="X33" s="84"/>
      <c r="Y33" s="78">
        <f>SUM(E17:E33)</f>
        <v>156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8">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2"/>
      <c r="M34" s="277"/>
      <c r="N34" s="277"/>
      <c r="O34" s="277"/>
      <c r="P34" s="277"/>
      <c r="Q34" s="277"/>
      <c r="R34" s="277"/>
      <c r="S34" s="277"/>
      <c r="T34" s="277"/>
      <c r="U34" s="278"/>
      <c r="V34" s="103"/>
      <c r="W34" s="84">
        <f t="shared" si="16"/>
        <v>157</v>
      </c>
      <c r="X34" s="84"/>
      <c r="Y34" s="78">
        <f>SUM(E17:E34)</f>
        <v>156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8">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2"/>
      <c r="M35" s="277"/>
      <c r="N35" s="277"/>
      <c r="O35" s="277"/>
      <c r="P35" s="277"/>
      <c r="Q35" s="277"/>
      <c r="R35" s="277"/>
      <c r="S35" s="277"/>
      <c r="T35" s="277"/>
      <c r="U35" s="278"/>
      <c r="V35" s="103"/>
      <c r="W35" s="84">
        <f t="shared" si="16"/>
        <v>157</v>
      </c>
      <c r="X35" s="84"/>
      <c r="Y35" s="78">
        <f>SUM(E17:E35)</f>
        <v>156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8">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2"/>
      <c r="M36" s="277"/>
      <c r="N36" s="277"/>
      <c r="O36" s="277"/>
      <c r="P36" s="277"/>
      <c r="Q36" s="277"/>
      <c r="R36" s="277"/>
      <c r="S36" s="277"/>
      <c r="T36" s="277"/>
      <c r="U36" s="278"/>
      <c r="V36" s="103"/>
      <c r="W36" s="84">
        <f t="shared" si="16"/>
        <v>157</v>
      </c>
      <c r="X36" s="84"/>
      <c r="Y36" s="78">
        <f>SUM(E17:E36)</f>
        <v>156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8">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2"/>
      <c r="M37" s="277"/>
      <c r="N37" s="277"/>
      <c r="O37" s="277"/>
      <c r="P37" s="277"/>
      <c r="Q37" s="277"/>
      <c r="R37" s="277"/>
      <c r="S37" s="277"/>
      <c r="T37" s="277"/>
      <c r="U37" s="278"/>
      <c r="V37" s="103"/>
      <c r="W37" s="84">
        <f t="shared" si="16"/>
        <v>157</v>
      </c>
      <c r="X37" s="84"/>
      <c r="Y37" s="78">
        <f>SUM(E17:E37)</f>
        <v>156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8">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2"/>
      <c r="M38" s="277"/>
      <c r="N38" s="277"/>
      <c r="O38" s="277"/>
      <c r="P38" s="277"/>
      <c r="Q38" s="277"/>
      <c r="R38" s="277"/>
      <c r="S38" s="277"/>
      <c r="T38" s="277"/>
      <c r="U38" s="278"/>
      <c r="V38" s="103"/>
      <c r="W38" s="84">
        <f t="shared" si="16"/>
        <v>157</v>
      </c>
      <c r="X38" s="84"/>
      <c r="Y38" s="78">
        <f>SUM(E17:E38)</f>
        <v>156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8">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2"/>
      <c r="M39" s="277"/>
      <c r="N39" s="277"/>
      <c r="O39" s="277"/>
      <c r="P39" s="277"/>
      <c r="Q39" s="277"/>
      <c r="R39" s="277"/>
      <c r="S39" s="277"/>
      <c r="T39" s="277"/>
      <c r="U39" s="278"/>
      <c r="V39" s="103"/>
      <c r="W39" s="84">
        <f t="shared" si="16"/>
        <v>157</v>
      </c>
      <c r="X39" s="84"/>
      <c r="Y39" s="78">
        <f>SUM(E17:E39)</f>
        <v>156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8">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2"/>
      <c r="M40" s="277"/>
      <c r="N40" s="277"/>
      <c r="O40" s="277"/>
      <c r="P40" s="277"/>
      <c r="Q40" s="277"/>
      <c r="R40" s="277"/>
      <c r="S40" s="277"/>
      <c r="T40" s="277"/>
      <c r="U40" s="278"/>
      <c r="V40" s="103"/>
      <c r="W40" s="84">
        <f t="shared" si="16"/>
        <v>157</v>
      </c>
      <c r="X40" s="84"/>
      <c r="Y40" s="78">
        <f>SUM(E17:E40)</f>
        <v>156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8">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3"/>
      <c r="M41" s="277"/>
      <c r="N41" s="277"/>
      <c r="O41" s="277"/>
      <c r="P41" s="277"/>
      <c r="Q41" s="277"/>
      <c r="R41" s="277"/>
      <c r="S41" s="277"/>
      <c r="T41" s="277"/>
      <c r="U41" s="278"/>
      <c r="V41" s="103"/>
      <c r="W41" s="72"/>
      <c r="X41" s="72"/>
      <c r="Y41" s="78">
        <f>SUM(E17:E41)</f>
        <v>156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7"/>
    </row>
    <row r="42" spans="1:53" ht="16.5" thickBot="1" x14ac:dyDescent="0.3">
      <c r="A42" s="88"/>
      <c r="B42" s="318" t="s">
        <v>303</v>
      </c>
      <c r="C42" s="319"/>
      <c r="D42" s="79"/>
      <c r="E42" s="80"/>
      <c r="F42" s="80"/>
      <c r="G42" s="81"/>
      <c r="H42" s="191"/>
      <c r="I42" s="191"/>
      <c r="J42" s="191"/>
      <c r="K42" s="82"/>
      <c r="L42" s="197" t="s">
        <v>254</v>
      </c>
      <c r="M42" s="197"/>
      <c r="N42" s="197"/>
      <c r="O42" s="197"/>
      <c r="P42" s="197"/>
      <c r="Q42" s="197"/>
      <c r="R42" s="197"/>
      <c r="S42" s="197"/>
      <c r="T42" s="197"/>
      <c r="U42" s="197"/>
      <c r="V42" s="105"/>
      <c r="W42" s="72"/>
      <c r="X42" s="72"/>
      <c r="Y42" s="72"/>
      <c r="Z42" s="72"/>
      <c r="AA42" s="72" t="str">
        <f t="shared" si="15"/>
        <v/>
      </c>
      <c r="AB42" s="72"/>
      <c r="AC42" s="72">
        <f>SUM(AC17:AC41)</f>
        <v>25</v>
      </c>
      <c r="AD42" s="72">
        <f>SUM(AD17:AD41)</f>
        <v>16</v>
      </c>
      <c r="AM42" s="109">
        <f>SUM(AM17:AM41)</f>
        <v>1</v>
      </c>
      <c r="AN42" s="109">
        <f>SUM(AN17:AN41)</f>
        <v>1</v>
      </c>
      <c r="AO42" s="109">
        <f>((COUNTIF(AO17:AO41,"Y")/3)*2)</f>
        <v>0</v>
      </c>
      <c r="AP42" s="109">
        <f>(COUNTIF(AO17:AO41,"Y")/3)</f>
        <v>0</v>
      </c>
      <c r="AQ42" s="109">
        <f>(COUNTIF(AQ17:AQ41,"Y")/2)</f>
        <v>0</v>
      </c>
      <c r="AR42" s="109">
        <f>(COUNTIF(AQ17:AQ41,"Y")/2)</f>
        <v>0</v>
      </c>
      <c r="BA42" s="227"/>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5"/>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5" t="s">
        <v>210</v>
      </c>
      <c r="N46" s="195" t="s">
        <v>211</v>
      </c>
      <c r="O46" s="195" t="s">
        <v>212</v>
      </c>
      <c r="P46" s="195" t="s">
        <v>213</v>
      </c>
      <c r="Q46" s="195" t="s">
        <v>214</v>
      </c>
      <c r="R46" s="195" t="s">
        <v>215</v>
      </c>
      <c r="S46" s="195" t="s">
        <v>216</v>
      </c>
      <c r="T46" s="195" t="s">
        <v>217</v>
      </c>
      <c r="U46" s="195" t="s">
        <v>218</v>
      </c>
      <c r="V46" s="195" t="s">
        <v>219</v>
      </c>
      <c r="W46" s="113" t="s">
        <v>220</v>
      </c>
      <c r="X46" s="195" t="s">
        <v>221</v>
      </c>
      <c r="Y46" s="25"/>
      <c r="Z46" s="25"/>
      <c r="AA46" s="25"/>
      <c r="AB46" s="25"/>
      <c r="AC46" s="25"/>
      <c r="AD46" s="25"/>
      <c r="BA46" s="225"/>
    </row>
    <row r="47" spans="1:53" ht="16.5" thickTop="1" thickBot="1" x14ac:dyDescent="0.3">
      <c r="A47" s="88"/>
      <c r="B47" s="311" t="s">
        <v>222</v>
      </c>
      <c r="C47" s="312"/>
      <c r="D47" s="313" t="s">
        <v>223</v>
      </c>
      <c r="E47" s="304"/>
      <c r="F47" s="88"/>
      <c r="G47" s="314" t="s">
        <v>224</v>
      </c>
      <c r="H47" s="315"/>
      <c r="I47" s="28">
        <f>SUM(E58:E82)</f>
        <v>24</v>
      </c>
      <c r="J47" s="316" t="s">
        <v>225</v>
      </c>
      <c r="K47" s="317"/>
      <c r="L47" s="304"/>
      <c r="M47" s="195">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5"/>
    </row>
    <row r="48" spans="1:53" ht="16.5" customHeight="1" thickTop="1" thickBot="1" x14ac:dyDescent="0.3">
      <c r="A48" s="88"/>
      <c r="B48" s="29" t="s">
        <v>228</v>
      </c>
      <c r="C48" s="30">
        <v>0</v>
      </c>
      <c r="D48" s="31" t="s">
        <v>229</v>
      </c>
      <c r="E48" s="66" t="str">
        <f>TEXT(IF('Cable Calculator'!I7="","",'Cable Calculator'!I7),)</f>
        <v>EUC</v>
      </c>
      <c r="F48" s="88"/>
      <c r="G48" s="303" t="s">
        <v>230</v>
      </c>
      <c r="H48" s="304"/>
      <c r="I48" s="33">
        <f>E49-I47</f>
        <v>0</v>
      </c>
      <c r="J48" s="288" t="s">
        <v>231</v>
      </c>
      <c r="K48" s="289"/>
      <c r="L48" s="34">
        <f>I52</f>
        <v>817</v>
      </c>
      <c r="M48" s="195">
        <v>4</v>
      </c>
      <c r="N48" s="35">
        <f>SUM(AI48,AI59)</f>
        <v>0</v>
      </c>
      <c r="O48" s="35">
        <v>0</v>
      </c>
      <c r="P48" s="35">
        <f>SUM(AJ48,AJ59)</f>
        <v>0</v>
      </c>
      <c r="Q48" s="35">
        <v>0</v>
      </c>
      <c r="R48" s="35">
        <f>COUNTIFS($E58:$E82,"4",$F58:$F82,"Pole",$C58:$C82,"FST")</f>
        <v>0</v>
      </c>
      <c r="S48" s="35">
        <f>SUM(AL48,AK59)</f>
        <v>0</v>
      </c>
      <c r="T48" s="35">
        <v>0</v>
      </c>
      <c r="U48" s="35">
        <f>SUM(AK48,AL59)</f>
        <v>4</v>
      </c>
      <c r="V48" s="35">
        <v>0</v>
      </c>
      <c r="W48" s="34">
        <f>COUNTIFS($E58:$E82,"4",$F58:$F82,"HH",$C58:$C82,"FST")</f>
        <v>4</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f>IF($E48="EUC",COUNTIFS($C58:$C82,"FST",$E58:$E82,"4"),"0")</f>
        <v>4</v>
      </c>
      <c r="AL48" s="109" t="str">
        <f>IF($E48="RPX-T",COUNTIFS($C58:$C82,"FST",$E58:$E82,"4"),"0")</f>
        <v>0</v>
      </c>
      <c r="AS48" s="109" t="str">
        <f>IF(AND(E53="Y",E49=24,E50=0),"Y","N")</f>
        <v>Y</v>
      </c>
      <c r="AT48" s="110" t="s">
        <v>234</v>
      </c>
      <c r="AU48" s="109">
        <f>COUNTIFS($E48,"SS",$AS48,"Y")</f>
        <v>0</v>
      </c>
      <c r="AV48" s="111">
        <f>COUNTIFS($E48,"RPX",$AS48,"Y")</f>
        <v>0</v>
      </c>
      <c r="AW48" s="111">
        <f>COUNTIFS($E48,"EUC",$AS48,"Y")</f>
        <v>1</v>
      </c>
      <c r="AX48" s="109">
        <f>COUNTIFS($E48,"RPX-T",$AS48,"Y")</f>
        <v>0</v>
      </c>
      <c r="BA48" s="226"/>
    </row>
    <row r="49" spans="1:53" ht="16.5" thickTop="1" thickBot="1" x14ac:dyDescent="0.3">
      <c r="A49" s="88"/>
      <c r="B49" s="36" t="s">
        <v>235</v>
      </c>
      <c r="C49" s="37">
        <v>0</v>
      </c>
      <c r="D49" s="38" t="s">
        <v>236</v>
      </c>
      <c r="E49" s="32">
        <v>24</v>
      </c>
      <c r="F49" s="88"/>
      <c r="G49" s="290" t="s">
        <v>237</v>
      </c>
      <c r="H49" s="291"/>
      <c r="I49" s="35">
        <f>IF(E49=0,0,12-(MOD(I47,12)))</f>
        <v>12</v>
      </c>
      <c r="J49" s="288" t="s">
        <v>238</v>
      </c>
      <c r="K49" s="289"/>
      <c r="L49" s="39">
        <f>I53-I47</f>
        <v>816</v>
      </c>
      <c r="M49" s="195">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6"/>
    </row>
    <row r="50" spans="1:53" ht="16.5" customHeight="1" thickTop="1" thickBot="1" x14ac:dyDescent="0.3">
      <c r="A50" s="88"/>
      <c r="B50" s="40" t="s">
        <v>240</v>
      </c>
      <c r="C50" s="30">
        <v>0</v>
      </c>
      <c r="D50" s="41" t="s">
        <v>241</v>
      </c>
      <c r="E50" s="42">
        <v>0</v>
      </c>
      <c r="F50" s="88"/>
      <c r="G50" s="320" t="s">
        <v>242</v>
      </c>
      <c r="H50" s="43" t="s">
        <v>243</v>
      </c>
      <c r="I50" s="35">
        <f>IF(E50&lt;&gt;0,1,0)</f>
        <v>0</v>
      </c>
      <c r="J50" s="290" t="s">
        <v>244</v>
      </c>
      <c r="K50" s="291"/>
      <c r="L50" s="44">
        <f>'Cable Calculator'!I3</f>
        <v>1014</v>
      </c>
      <c r="M50" s="195">
        <v>8</v>
      </c>
      <c r="N50" s="35">
        <f>SUM(AI50,AI61)</f>
        <v>0</v>
      </c>
      <c r="O50" s="35">
        <v>0</v>
      </c>
      <c r="P50" s="35">
        <f>SUM(AJ50,AJ61)</f>
        <v>0</v>
      </c>
      <c r="Q50" s="35">
        <v>0</v>
      </c>
      <c r="R50" s="35">
        <f>COUNTIFS($E58:$E82,"8",$F58:$F82,"Pole",$C58:$C82,"FST")</f>
        <v>0</v>
      </c>
      <c r="S50" s="35">
        <f>SUM(AL50,AK61)</f>
        <v>0</v>
      </c>
      <c r="T50" s="35">
        <v>0</v>
      </c>
      <c r="U50" s="35">
        <f>SUM(AK50,AL61)</f>
        <v>1</v>
      </c>
      <c r="V50" s="35">
        <v>0</v>
      </c>
      <c r="W50" s="34">
        <f>COUNTIFS($E58:$E82,"8",$F58:$F82,"HH",$C58:$C82,"FST")</f>
        <v>1</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6"/>
    </row>
    <row r="51" spans="1:53" ht="16.5" thickTop="1" thickBot="1" x14ac:dyDescent="0.3">
      <c r="A51" s="88"/>
      <c r="B51" s="29" t="s">
        <v>246</v>
      </c>
      <c r="C51" s="37">
        <v>0</v>
      </c>
      <c r="D51" s="41" t="s">
        <v>247</v>
      </c>
      <c r="E51" s="42">
        <v>817</v>
      </c>
      <c r="F51" s="88"/>
      <c r="G51" s="321"/>
      <c r="H51" s="47" t="s">
        <v>248</v>
      </c>
      <c r="I51" s="35">
        <f>IF(E50&lt;&gt;0,E50,0)</f>
        <v>0</v>
      </c>
      <c r="J51" s="193"/>
      <c r="K51" s="194"/>
      <c r="L51" s="48"/>
      <c r="M51" s="195">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6"/>
    </row>
    <row r="52" spans="1:53" ht="16.5" customHeight="1" thickTop="1" thickBot="1" x14ac:dyDescent="0.3">
      <c r="A52" s="88"/>
      <c r="B52" s="36" t="s">
        <v>249</v>
      </c>
      <c r="C52" s="30">
        <v>0</v>
      </c>
      <c r="D52" s="49" t="s">
        <v>250</v>
      </c>
      <c r="E52" s="50">
        <f>E49/12</f>
        <v>2</v>
      </c>
      <c r="F52" s="88"/>
      <c r="G52" s="320" t="s">
        <v>251</v>
      </c>
      <c r="H52" s="51" t="s">
        <v>252</v>
      </c>
      <c r="I52" s="112">
        <f>E51</f>
        <v>817</v>
      </c>
      <c r="J52" s="322" t="s">
        <v>253</v>
      </c>
      <c r="K52" s="323"/>
      <c r="L52" s="324"/>
      <c r="M52" s="52" t="s">
        <v>254</v>
      </c>
      <c r="N52" s="106"/>
      <c r="O52" s="106"/>
      <c r="P52" s="191"/>
      <c r="Q52" s="191"/>
      <c r="R52" s="191"/>
      <c r="S52" s="191"/>
      <c r="T52" s="191"/>
      <c r="U52" s="191"/>
      <c r="V52" s="191"/>
      <c r="W52" s="53">
        <f>SUM(P52:U52)</f>
        <v>0</v>
      </c>
      <c r="X52" s="54"/>
      <c r="Y52" s="25"/>
      <c r="Z52" s="45">
        <v>3</v>
      </c>
      <c r="AA52" s="46">
        <v>25</v>
      </c>
      <c r="AB52" s="46">
        <v>36</v>
      </c>
      <c r="AC52" s="25"/>
      <c r="AD52" s="25"/>
      <c r="BA52" s="226"/>
    </row>
    <row r="53" spans="1:53" ht="16.5" thickTop="1" thickBot="1" x14ac:dyDescent="0.3">
      <c r="A53" s="88"/>
      <c r="B53" s="36" t="s">
        <v>255</v>
      </c>
      <c r="C53" s="30">
        <v>0</v>
      </c>
      <c r="D53" s="31" t="s">
        <v>256</v>
      </c>
      <c r="E53" s="101" t="str">
        <f>IF('Cable Calculator'!I5="","",'Cable Calculator'!I5)</f>
        <v>Y</v>
      </c>
      <c r="F53" s="88"/>
      <c r="G53" s="321"/>
      <c r="H53" s="47" t="s">
        <v>257</v>
      </c>
      <c r="I53" s="35">
        <f>IF(E51="","0",IF(AND(E48="EUC",E49=432), I52+(203-E50),IF(E51=0,0,(E51+(E49-E50)-1))))</f>
        <v>840</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6"/>
    </row>
    <row r="54" spans="1:53" ht="16.5" thickTop="1" thickBot="1" x14ac:dyDescent="0.3">
      <c r="A54" s="88"/>
      <c r="B54" s="55" t="s">
        <v>258</v>
      </c>
      <c r="C54" s="56">
        <f>SUM(C48:C53)+I47</f>
        <v>24</v>
      </c>
      <c r="D54" s="31" t="s">
        <v>259</v>
      </c>
      <c r="E54" s="101" t="str">
        <f>IF(AS48="Y","DBL",IF(AS49="Y","TRPL",IF(AS50="Y","QUAD","")))</f>
        <v>DBL</v>
      </c>
      <c r="F54" s="88"/>
      <c r="G54" s="191"/>
      <c r="H54" s="57"/>
      <c r="I54" s="191"/>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6"/>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5"/>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7"/>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7"/>
    </row>
    <row r="58" spans="1:53" ht="15.75" thickBot="1" x14ac:dyDescent="0.3">
      <c r="A58" s="88"/>
      <c r="B58" s="66" t="s">
        <v>276</v>
      </c>
      <c r="C58" s="67" t="s">
        <v>484</v>
      </c>
      <c r="D58" s="102" t="s">
        <v>742</v>
      </c>
      <c r="E58" s="32">
        <v>4</v>
      </c>
      <c r="F58" s="32" t="s">
        <v>488</v>
      </c>
      <c r="G58" s="68" t="s">
        <v>277</v>
      </c>
      <c r="H58" s="69">
        <f>IF(I58=0,0,I58-(E58-1))</f>
        <v>837</v>
      </c>
      <c r="I58" s="70">
        <f>IF(E58=0,0,I53)</f>
        <v>840</v>
      </c>
      <c r="J58" s="71" t="s">
        <v>278</v>
      </c>
      <c r="K58" s="32"/>
      <c r="L58" s="232"/>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8">
        <f>MOD(E58,12)</f>
        <v>4</v>
      </c>
    </row>
    <row r="59" spans="1:53" ht="15.75" thickBot="1" x14ac:dyDescent="0.3">
      <c r="A59" s="88"/>
      <c r="B59" s="66" t="s">
        <v>279</v>
      </c>
      <c r="C59" s="67" t="s">
        <v>484</v>
      </c>
      <c r="D59" s="102" t="s">
        <v>788</v>
      </c>
      <c r="E59" s="32">
        <v>4</v>
      </c>
      <c r="F59" s="32" t="s">
        <v>488</v>
      </c>
      <c r="G59" s="68" t="s">
        <v>277</v>
      </c>
      <c r="H59" s="69">
        <f t="shared" ref="H59:H82" si="26">IF(E59=0,0,I59-(E59-1))</f>
        <v>833</v>
      </c>
      <c r="I59" s="70">
        <f t="shared" ref="I59:I82" si="27">IF(E59=0,0,H58-1)</f>
        <v>836</v>
      </c>
      <c r="J59" s="73" t="str">
        <f>IF(C59="","--",IF(AND(C59&lt;&gt;"FST",C59&lt;&gt;"TCF",BA58&lt;&gt;0),BA58,"--"))</f>
        <v>--</v>
      </c>
      <c r="K59" s="32"/>
      <c r="L59" s="232"/>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833-836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8">
        <f>MOD(SUM(E58:E59),12)</f>
        <v>8</v>
      </c>
    </row>
    <row r="60" spans="1:53" ht="15.75" thickBot="1" x14ac:dyDescent="0.3">
      <c r="A60" s="88"/>
      <c r="B60" s="74" t="s">
        <v>280</v>
      </c>
      <c r="C60" s="67" t="s">
        <v>484</v>
      </c>
      <c r="D60" s="102" t="s">
        <v>789</v>
      </c>
      <c r="E60" s="32">
        <v>8</v>
      </c>
      <c r="F60" s="32" t="s">
        <v>488</v>
      </c>
      <c r="G60" s="75" t="s">
        <v>277</v>
      </c>
      <c r="H60" s="69">
        <f t="shared" si="26"/>
        <v>825</v>
      </c>
      <c r="I60" s="70">
        <f t="shared" si="27"/>
        <v>832</v>
      </c>
      <c r="J60" s="73" t="str">
        <f t="shared" ref="J60:J82" si="28">IF(C60="","--",IF(AND(C60&lt;&gt;"FST",C60&lt;&gt;"TCF",BA59&lt;&gt;0),BA59,"--"))</f>
        <v>--</v>
      </c>
      <c r="K60" s="32"/>
      <c r="L60" s="232"/>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825-832</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8">
        <f>MOD(SUM(E58:E61),12)</f>
        <v>8</v>
      </c>
    </row>
    <row r="61" spans="1:53" ht="15.75" thickBot="1" x14ac:dyDescent="0.3">
      <c r="A61" s="88"/>
      <c r="B61" s="66" t="s">
        <v>281</v>
      </c>
      <c r="C61" s="67" t="s">
        <v>484</v>
      </c>
      <c r="D61" s="102" t="s">
        <v>790</v>
      </c>
      <c r="E61" s="32">
        <v>4</v>
      </c>
      <c r="F61" s="32" t="s">
        <v>488</v>
      </c>
      <c r="G61" s="68" t="s">
        <v>277</v>
      </c>
      <c r="H61" s="69">
        <f t="shared" si="26"/>
        <v>821</v>
      </c>
      <c r="I61" s="70">
        <f t="shared" si="27"/>
        <v>824</v>
      </c>
      <c r="J61" s="73" t="str">
        <f t="shared" si="28"/>
        <v>--</v>
      </c>
      <c r="K61" s="32"/>
      <c r="L61" s="232"/>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821-824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8">
        <f>MOD(SUM(E58:E62),12)</f>
        <v>0</v>
      </c>
    </row>
    <row r="62" spans="1:53" ht="15.75" thickBot="1" x14ac:dyDescent="0.3">
      <c r="A62" s="88"/>
      <c r="B62" s="66" t="s">
        <v>282</v>
      </c>
      <c r="C62" s="67" t="s">
        <v>484</v>
      </c>
      <c r="D62" s="102" t="s">
        <v>766</v>
      </c>
      <c r="E62" s="32">
        <v>4</v>
      </c>
      <c r="F62" s="32" t="s">
        <v>488</v>
      </c>
      <c r="G62" s="68" t="s">
        <v>277</v>
      </c>
      <c r="H62" s="69">
        <f t="shared" si="26"/>
        <v>817</v>
      </c>
      <c r="I62" s="70">
        <f t="shared" si="27"/>
        <v>820</v>
      </c>
      <c r="J62" s="73" t="str">
        <f t="shared" si="28"/>
        <v>--</v>
      </c>
      <c r="K62" s="32"/>
      <c r="L62" s="232"/>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0</v>
      </c>
      <c r="AE62" s="109" t="str">
        <f t="shared" si="19"/>
        <v>817-820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8">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2"/>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8">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2"/>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8">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2"/>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8">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2"/>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8">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2"/>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8">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2"/>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8">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2"/>
      <c r="M69" s="277"/>
      <c r="N69" s="277"/>
      <c r="O69" s="277"/>
      <c r="P69" s="277"/>
      <c r="Q69" s="277"/>
      <c r="R69" s="277"/>
      <c r="S69" s="277"/>
      <c r="T69" s="277"/>
      <c r="U69" s="278"/>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8">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2"/>
      <c r="M70" s="277"/>
      <c r="N70" s="277"/>
      <c r="O70" s="277"/>
      <c r="P70" s="277"/>
      <c r="Q70" s="277"/>
      <c r="R70" s="277"/>
      <c r="S70" s="277"/>
      <c r="T70" s="277"/>
      <c r="U70" s="278"/>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8">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2"/>
      <c r="M71" s="277"/>
      <c r="N71" s="277"/>
      <c r="O71" s="277"/>
      <c r="P71" s="277"/>
      <c r="Q71" s="277"/>
      <c r="R71" s="277"/>
      <c r="S71" s="277"/>
      <c r="T71" s="277"/>
      <c r="U71" s="278"/>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8">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2"/>
      <c r="M72" s="277"/>
      <c r="N72" s="277"/>
      <c r="O72" s="277"/>
      <c r="P72" s="277"/>
      <c r="Q72" s="277"/>
      <c r="R72" s="277"/>
      <c r="S72" s="277"/>
      <c r="T72" s="277"/>
      <c r="U72" s="278"/>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8">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2"/>
      <c r="M73" s="277"/>
      <c r="N73" s="277"/>
      <c r="O73" s="277"/>
      <c r="P73" s="277"/>
      <c r="Q73" s="277"/>
      <c r="R73" s="277"/>
      <c r="S73" s="277"/>
      <c r="T73" s="277"/>
      <c r="U73" s="278"/>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8">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2"/>
      <c r="M74" s="277"/>
      <c r="N74" s="277"/>
      <c r="O74" s="277"/>
      <c r="P74" s="277"/>
      <c r="Q74" s="277"/>
      <c r="R74" s="277"/>
      <c r="S74" s="277"/>
      <c r="T74" s="277"/>
      <c r="U74" s="278"/>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8">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2"/>
      <c r="M75" s="277"/>
      <c r="N75" s="277"/>
      <c r="O75" s="277"/>
      <c r="P75" s="277"/>
      <c r="Q75" s="277"/>
      <c r="R75" s="277"/>
      <c r="S75" s="277"/>
      <c r="T75" s="277"/>
      <c r="U75" s="278"/>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8">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2"/>
      <c r="M76" s="277"/>
      <c r="N76" s="277"/>
      <c r="O76" s="277"/>
      <c r="P76" s="277"/>
      <c r="Q76" s="277"/>
      <c r="R76" s="277"/>
      <c r="S76" s="277"/>
      <c r="T76" s="277"/>
      <c r="U76" s="278"/>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8">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2"/>
      <c r="M77" s="277"/>
      <c r="N77" s="277"/>
      <c r="O77" s="277"/>
      <c r="P77" s="277"/>
      <c r="Q77" s="277"/>
      <c r="R77" s="277"/>
      <c r="S77" s="277"/>
      <c r="T77" s="277"/>
      <c r="U77" s="278"/>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8">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2"/>
      <c r="M78" s="277"/>
      <c r="N78" s="277"/>
      <c r="O78" s="277"/>
      <c r="P78" s="277"/>
      <c r="Q78" s="277"/>
      <c r="R78" s="277"/>
      <c r="S78" s="277"/>
      <c r="T78" s="277"/>
      <c r="U78" s="278"/>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8">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2"/>
      <c r="M79" s="277"/>
      <c r="N79" s="277"/>
      <c r="O79" s="277"/>
      <c r="P79" s="277"/>
      <c r="Q79" s="277"/>
      <c r="R79" s="277"/>
      <c r="S79" s="277"/>
      <c r="T79" s="277"/>
      <c r="U79" s="278"/>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8">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2"/>
      <c r="M80" s="277"/>
      <c r="N80" s="277"/>
      <c r="O80" s="277"/>
      <c r="P80" s="277"/>
      <c r="Q80" s="277"/>
      <c r="R80" s="277"/>
      <c r="S80" s="277"/>
      <c r="T80" s="277"/>
      <c r="U80" s="278"/>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8">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2"/>
      <c r="M81" s="277"/>
      <c r="N81" s="277"/>
      <c r="O81" s="277"/>
      <c r="P81" s="277"/>
      <c r="Q81" s="277"/>
      <c r="R81" s="277"/>
      <c r="S81" s="277"/>
      <c r="T81" s="277"/>
      <c r="U81" s="278"/>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8">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3"/>
      <c r="M82" s="277"/>
      <c r="N82" s="277"/>
      <c r="O82" s="277"/>
      <c r="P82" s="277"/>
      <c r="Q82" s="277"/>
      <c r="R82" s="277"/>
      <c r="S82" s="277"/>
      <c r="T82" s="277"/>
      <c r="U82" s="278"/>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7"/>
    </row>
    <row r="83" spans="1:53" ht="16.5" thickBot="1" x14ac:dyDescent="0.3">
      <c r="A83" s="88"/>
      <c r="B83" s="318" t="s">
        <v>305</v>
      </c>
      <c r="C83" s="319"/>
      <c r="D83" s="79"/>
      <c r="E83" s="80"/>
      <c r="F83" s="80"/>
      <c r="G83" s="81"/>
      <c r="H83" s="191"/>
      <c r="I83" s="191"/>
      <c r="J83" s="191"/>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7"/>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5"/>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5" t="s">
        <v>210</v>
      </c>
      <c r="N87" s="195" t="s">
        <v>211</v>
      </c>
      <c r="O87" s="195" t="s">
        <v>212</v>
      </c>
      <c r="P87" s="195" t="s">
        <v>213</v>
      </c>
      <c r="Q87" s="195" t="s">
        <v>214</v>
      </c>
      <c r="R87" s="195" t="s">
        <v>215</v>
      </c>
      <c r="S87" s="195" t="s">
        <v>216</v>
      </c>
      <c r="T87" s="195" t="s">
        <v>217</v>
      </c>
      <c r="U87" s="195" t="s">
        <v>218</v>
      </c>
      <c r="V87" s="195" t="s">
        <v>219</v>
      </c>
      <c r="W87" s="113" t="s">
        <v>220</v>
      </c>
      <c r="X87" s="195" t="s">
        <v>221</v>
      </c>
      <c r="Y87" s="25"/>
      <c r="Z87" s="25"/>
      <c r="AA87" s="25"/>
      <c r="AB87" s="25"/>
      <c r="AC87" s="25"/>
      <c r="AD87" s="25"/>
      <c r="BA87" s="225"/>
    </row>
    <row r="88" spans="1:53" ht="16.5" thickTop="1" thickBot="1" x14ac:dyDescent="0.3">
      <c r="A88" s="88"/>
      <c r="B88" s="311" t="s">
        <v>222</v>
      </c>
      <c r="C88" s="312"/>
      <c r="D88" s="313" t="s">
        <v>223</v>
      </c>
      <c r="E88" s="304"/>
      <c r="F88" s="88"/>
      <c r="G88" s="314" t="s">
        <v>224</v>
      </c>
      <c r="H88" s="315"/>
      <c r="I88" s="28">
        <f>SUM(E99:E123)</f>
        <v>24</v>
      </c>
      <c r="J88" s="316" t="s">
        <v>225</v>
      </c>
      <c r="K88" s="317"/>
      <c r="L88" s="304"/>
      <c r="M88" s="195">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5"/>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0</v>
      </c>
      <c r="J89" s="288" t="s">
        <v>231</v>
      </c>
      <c r="K89" s="289"/>
      <c r="L89" s="34">
        <f>I93</f>
        <v>781</v>
      </c>
      <c r="M89" s="195">
        <v>4</v>
      </c>
      <c r="N89" s="35">
        <f>SUM(AI89,AI100)</f>
        <v>0</v>
      </c>
      <c r="O89" s="35">
        <v>0</v>
      </c>
      <c r="P89" s="35">
        <f>SUM(AJ89,AJ100)</f>
        <v>0</v>
      </c>
      <c r="Q89" s="35">
        <v>0</v>
      </c>
      <c r="R89" s="35">
        <f>COUNTIFS($E99:$E123,"4",$F99:$F123,"Pole",$C99:$C123,"FST")</f>
        <v>0</v>
      </c>
      <c r="S89" s="35">
        <f>SUM(AL89,AK100)</f>
        <v>0</v>
      </c>
      <c r="T89" s="35">
        <v>0</v>
      </c>
      <c r="U89" s="35">
        <f>SUM(AK89,AL100)</f>
        <v>6</v>
      </c>
      <c r="V89" s="35">
        <v>0</v>
      </c>
      <c r="W89" s="34">
        <f>COUNTIFS($E99:$E123,"4",$F99:$F123,"HH",$C99:$C123,"FST")</f>
        <v>6</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6</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6"/>
    </row>
    <row r="90" spans="1:53" ht="16.5" thickTop="1" thickBot="1" x14ac:dyDescent="0.3">
      <c r="A90" s="88"/>
      <c r="B90" s="36" t="s">
        <v>235</v>
      </c>
      <c r="C90" s="37">
        <v>0</v>
      </c>
      <c r="D90" s="38" t="s">
        <v>236</v>
      </c>
      <c r="E90" s="32">
        <v>24</v>
      </c>
      <c r="F90" s="88"/>
      <c r="G90" s="290" t="s">
        <v>237</v>
      </c>
      <c r="H90" s="291"/>
      <c r="I90" s="35">
        <f>IF(E90=0,0,12-(MOD(I88,12)))</f>
        <v>12</v>
      </c>
      <c r="J90" s="288" t="s">
        <v>238</v>
      </c>
      <c r="K90" s="289"/>
      <c r="L90" s="39">
        <f>I94-I88</f>
        <v>780</v>
      </c>
      <c r="M90" s="195">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6"/>
    </row>
    <row r="91" spans="1:53" ht="16.5" customHeight="1" thickTop="1" thickBot="1" x14ac:dyDescent="0.3">
      <c r="A91" s="88"/>
      <c r="B91" s="40" t="s">
        <v>240</v>
      </c>
      <c r="C91" s="30">
        <v>0</v>
      </c>
      <c r="D91" s="41" t="s">
        <v>241</v>
      </c>
      <c r="E91" s="42">
        <v>0</v>
      </c>
      <c r="F91" s="88"/>
      <c r="G91" s="320" t="s">
        <v>242</v>
      </c>
      <c r="H91" s="43" t="s">
        <v>243</v>
      </c>
      <c r="I91" s="35">
        <f>IF(E91&lt;&gt;0,1,0)</f>
        <v>0</v>
      </c>
      <c r="J91" s="290" t="s">
        <v>244</v>
      </c>
      <c r="K91" s="291"/>
      <c r="L91" s="44">
        <f>'Cable Calculator'!N3</f>
        <v>1500</v>
      </c>
      <c r="M91" s="195">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6"/>
    </row>
    <row r="92" spans="1:53" ht="16.5" thickTop="1" thickBot="1" x14ac:dyDescent="0.3">
      <c r="A92" s="88"/>
      <c r="B92" s="29" t="s">
        <v>246</v>
      </c>
      <c r="C92" s="37">
        <v>0</v>
      </c>
      <c r="D92" s="41" t="s">
        <v>247</v>
      </c>
      <c r="E92" s="42">
        <v>781</v>
      </c>
      <c r="F92" s="88"/>
      <c r="G92" s="321"/>
      <c r="H92" s="47" t="s">
        <v>248</v>
      </c>
      <c r="I92" s="35">
        <f>IF(E91&lt;&gt;0,E91,0)</f>
        <v>0</v>
      </c>
      <c r="J92" s="193"/>
      <c r="K92" s="194"/>
      <c r="L92" s="48"/>
      <c r="M92" s="195">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6"/>
    </row>
    <row r="93" spans="1:53" ht="16.5" customHeight="1" thickTop="1" thickBot="1" x14ac:dyDescent="0.3">
      <c r="A93" s="88"/>
      <c r="B93" s="36" t="s">
        <v>249</v>
      </c>
      <c r="C93" s="30">
        <v>0</v>
      </c>
      <c r="D93" s="49" t="s">
        <v>250</v>
      </c>
      <c r="E93" s="50">
        <f>E90/12</f>
        <v>2</v>
      </c>
      <c r="F93" s="88"/>
      <c r="G93" s="320" t="s">
        <v>251</v>
      </c>
      <c r="H93" s="51" t="s">
        <v>252</v>
      </c>
      <c r="I93" s="112">
        <f>E92</f>
        <v>781</v>
      </c>
      <c r="J93" s="322" t="s">
        <v>253</v>
      </c>
      <c r="K93" s="323"/>
      <c r="L93" s="324"/>
      <c r="M93" s="52" t="s">
        <v>254</v>
      </c>
      <c r="N93" s="106"/>
      <c r="O93" s="106"/>
      <c r="P93" s="191"/>
      <c r="Q93" s="191"/>
      <c r="R93" s="191"/>
      <c r="S93" s="191"/>
      <c r="T93" s="191"/>
      <c r="U93" s="191"/>
      <c r="V93" s="191"/>
      <c r="W93" s="53">
        <f>SUM(P93:U93)</f>
        <v>0</v>
      </c>
      <c r="X93" s="54"/>
      <c r="Y93" s="25"/>
      <c r="Z93" s="45">
        <v>3</v>
      </c>
      <c r="AA93" s="46">
        <v>25</v>
      </c>
      <c r="AB93" s="46">
        <v>36</v>
      </c>
      <c r="AC93" s="25"/>
      <c r="AD93" s="25"/>
      <c r="BA93" s="226"/>
    </row>
    <row r="94" spans="1:53" ht="16.5" thickTop="1" thickBot="1" x14ac:dyDescent="0.3">
      <c r="A94" s="88"/>
      <c r="B94" s="36" t="s">
        <v>255</v>
      </c>
      <c r="C94" s="30">
        <v>0</v>
      </c>
      <c r="D94" s="31" t="s">
        <v>256</v>
      </c>
      <c r="E94" s="101" t="str">
        <f>IF('Cable Calculator'!N5="","",'Cable Calculator'!N5)</f>
        <v>N</v>
      </c>
      <c r="F94" s="88"/>
      <c r="G94" s="321"/>
      <c r="H94" s="47" t="s">
        <v>257</v>
      </c>
      <c r="I94" s="35">
        <f>IF(E92="","0",IF(AND(E89="EUC",E90=432), I93+(203-E91),IF(E92=0,0,(E92+(E90-E91)-1))))</f>
        <v>804</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6"/>
    </row>
    <row r="95" spans="1:53" ht="16.5" thickTop="1" thickBot="1" x14ac:dyDescent="0.3">
      <c r="A95" s="88"/>
      <c r="B95" s="55" t="s">
        <v>258</v>
      </c>
      <c r="C95" s="56">
        <f>SUM(C89:C94)+I88</f>
        <v>24</v>
      </c>
      <c r="D95" s="31" t="s">
        <v>259</v>
      </c>
      <c r="E95" s="101" t="str">
        <f>IF(AS89="Y","DBL",IF(AS90="Y","TRPL",IF(AS91="Y","QUAD","")))</f>
        <v/>
      </c>
      <c r="F95" s="88"/>
      <c r="G95" s="191"/>
      <c r="H95" s="57"/>
      <c r="I95" s="191"/>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6"/>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5"/>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7"/>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7"/>
    </row>
    <row r="99" spans="1:53" ht="15.75" thickBot="1" x14ac:dyDescent="0.3">
      <c r="A99" s="88"/>
      <c r="B99" s="66" t="s">
        <v>276</v>
      </c>
      <c r="C99" s="67" t="s">
        <v>484</v>
      </c>
      <c r="D99" s="102" t="s">
        <v>767</v>
      </c>
      <c r="E99" s="32">
        <v>4</v>
      </c>
      <c r="F99" s="32" t="s">
        <v>488</v>
      </c>
      <c r="G99" s="68" t="s">
        <v>277</v>
      </c>
      <c r="H99" s="69">
        <f>IF(I99=0,0,I99-(E99-1))</f>
        <v>801</v>
      </c>
      <c r="I99" s="70">
        <f>IF(E99=0,0,I94)</f>
        <v>804</v>
      </c>
      <c r="J99" s="71" t="s">
        <v>278</v>
      </c>
      <c r="K99" s="32"/>
      <c r="L99" s="232"/>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8">
        <f>MOD(E99,12)</f>
        <v>4</v>
      </c>
    </row>
    <row r="100" spans="1:53" ht="15.75" thickBot="1" x14ac:dyDescent="0.3">
      <c r="A100" s="88"/>
      <c r="B100" s="66" t="s">
        <v>279</v>
      </c>
      <c r="C100" s="67" t="s">
        <v>484</v>
      </c>
      <c r="D100" s="102" t="s">
        <v>791</v>
      </c>
      <c r="E100" s="32">
        <v>4</v>
      </c>
      <c r="F100" s="32" t="s">
        <v>488</v>
      </c>
      <c r="G100" s="68" t="s">
        <v>277</v>
      </c>
      <c r="H100" s="69">
        <f t="shared" ref="H100:H123" si="43">IF(E100=0,0,I100-(E100-1))</f>
        <v>797</v>
      </c>
      <c r="I100" s="70">
        <f t="shared" ref="I100:I123" si="44">IF(E100=0,0,H99-1)</f>
        <v>800</v>
      </c>
      <c r="J100" s="73" t="str">
        <f>IF(C100="","--",IF(AND(C100&lt;&gt;"FST",C100&lt;&gt;"TCF",BA99&lt;&gt;0),BA99,"--"))</f>
        <v>--</v>
      </c>
      <c r="K100" s="32"/>
      <c r="L100" s="232"/>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797-800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8">
        <f>MOD(SUM(E99:E100),12)</f>
        <v>8</v>
      </c>
    </row>
    <row r="101" spans="1:53" ht="15.75" thickBot="1" x14ac:dyDescent="0.3">
      <c r="A101" s="88"/>
      <c r="B101" s="74" t="s">
        <v>280</v>
      </c>
      <c r="C101" s="67" t="s">
        <v>484</v>
      </c>
      <c r="D101" s="102" t="s">
        <v>792</v>
      </c>
      <c r="E101" s="32">
        <v>4</v>
      </c>
      <c r="F101" s="32" t="s">
        <v>488</v>
      </c>
      <c r="G101" s="75" t="s">
        <v>277</v>
      </c>
      <c r="H101" s="69">
        <f t="shared" si="43"/>
        <v>793</v>
      </c>
      <c r="I101" s="70">
        <f t="shared" si="44"/>
        <v>796</v>
      </c>
      <c r="J101" s="73" t="str">
        <f t="shared" ref="J101:J123" si="45">IF(C101="","--",IF(AND(C101&lt;&gt;"FST",C101&lt;&gt;"TCF",BA100&lt;&gt;0),BA100,"--"))</f>
        <v>--</v>
      </c>
      <c r="K101" s="32"/>
      <c r="L101" s="232"/>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793-796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8">
        <f>MOD(SUM(E99:E102),12)</f>
        <v>4</v>
      </c>
    </row>
    <row r="102" spans="1:53" ht="15.75" thickBot="1" x14ac:dyDescent="0.3">
      <c r="A102" s="88"/>
      <c r="B102" s="66" t="s">
        <v>281</v>
      </c>
      <c r="C102" s="67" t="s">
        <v>484</v>
      </c>
      <c r="D102" s="102" t="s">
        <v>793</v>
      </c>
      <c r="E102" s="32">
        <v>4</v>
      </c>
      <c r="F102" s="32" t="s">
        <v>488</v>
      </c>
      <c r="G102" s="68" t="s">
        <v>277</v>
      </c>
      <c r="H102" s="69">
        <f t="shared" si="43"/>
        <v>789</v>
      </c>
      <c r="I102" s="70">
        <f t="shared" si="44"/>
        <v>792</v>
      </c>
      <c r="J102" s="73" t="str">
        <f t="shared" si="45"/>
        <v>--</v>
      </c>
      <c r="K102" s="32"/>
      <c r="L102" s="232"/>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789-792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8">
        <f>MOD(SUM(E99:E103),12)</f>
        <v>8</v>
      </c>
    </row>
    <row r="103" spans="1:53" ht="15.75" thickBot="1" x14ac:dyDescent="0.3">
      <c r="A103" s="88"/>
      <c r="B103" s="66" t="s">
        <v>282</v>
      </c>
      <c r="C103" s="67" t="s">
        <v>484</v>
      </c>
      <c r="D103" s="102" t="s">
        <v>794</v>
      </c>
      <c r="E103" s="32">
        <v>4</v>
      </c>
      <c r="F103" s="32" t="s">
        <v>488</v>
      </c>
      <c r="G103" s="68" t="s">
        <v>277</v>
      </c>
      <c r="H103" s="69">
        <f t="shared" si="43"/>
        <v>785</v>
      </c>
      <c r="I103" s="70">
        <f t="shared" si="44"/>
        <v>788</v>
      </c>
      <c r="J103" s="73" t="str">
        <f t="shared" si="45"/>
        <v>--</v>
      </c>
      <c r="K103" s="32"/>
      <c r="L103" s="232"/>
      <c r="M103" s="277"/>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785-788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8">
        <f>MOD(SUM(E99:E104),12)</f>
        <v>0</v>
      </c>
    </row>
    <row r="104" spans="1:53" ht="15.75" thickBot="1" x14ac:dyDescent="0.3">
      <c r="A104" s="88"/>
      <c r="B104" s="66" t="s">
        <v>283</v>
      </c>
      <c r="C104" s="67" t="s">
        <v>484</v>
      </c>
      <c r="D104" s="102" t="s">
        <v>795</v>
      </c>
      <c r="E104" s="32">
        <v>4</v>
      </c>
      <c r="F104" s="32" t="s">
        <v>488</v>
      </c>
      <c r="G104" s="68" t="s">
        <v>277</v>
      </c>
      <c r="H104" s="69">
        <f t="shared" si="43"/>
        <v>781</v>
      </c>
      <c r="I104" s="70">
        <f t="shared" si="44"/>
        <v>784</v>
      </c>
      <c r="J104" s="73" t="str">
        <f t="shared" si="45"/>
        <v>--</v>
      </c>
      <c r="K104" s="32"/>
      <c r="L104" s="232"/>
      <c r="M104" s="277"/>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0</v>
      </c>
      <c r="AE104" s="109" t="str">
        <f t="shared" si="36"/>
        <v>781-784</v>
      </c>
      <c r="AF104" s="109" t="str">
        <f t="shared" si="37"/>
        <v>Y</v>
      </c>
      <c r="AG104" s="109" t="str">
        <f t="shared" si="38"/>
        <v>B</v>
      </c>
      <c r="AM104" s="109">
        <f t="shared" si="39"/>
        <v>0</v>
      </c>
      <c r="AN104" s="109">
        <f t="shared" si="40"/>
        <v>0</v>
      </c>
      <c r="AO104" s="109" t="str">
        <f t="shared" si="41"/>
        <v/>
      </c>
      <c r="AQ104" s="109" t="str">
        <f t="shared" si="42"/>
        <v/>
      </c>
      <c r="BA104" s="228">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2"/>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8">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2"/>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8">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2"/>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8">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2"/>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8">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2"/>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8">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2"/>
      <c r="M110" s="277"/>
      <c r="N110" s="277"/>
      <c r="O110" s="277"/>
      <c r="P110" s="277"/>
      <c r="Q110" s="277"/>
      <c r="R110" s="277"/>
      <c r="S110" s="277"/>
      <c r="T110" s="277"/>
      <c r="U110" s="278"/>
      <c r="V110" s="103"/>
      <c r="W110" s="84">
        <f>Y110+1</f>
        <v>25</v>
      </c>
      <c r="X110" s="84"/>
      <c r="Y110" s="78">
        <f>SUM(E99:E110)</f>
        <v>24</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8">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2"/>
      <c r="M111" s="277"/>
      <c r="N111" s="277"/>
      <c r="O111" s="277"/>
      <c r="P111" s="277"/>
      <c r="Q111" s="277"/>
      <c r="R111" s="277"/>
      <c r="S111" s="277"/>
      <c r="T111" s="277"/>
      <c r="U111" s="278"/>
      <c r="V111" s="103"/>
      <c r="W111" s="84">
        <f>Y111+1</f>
        <v>25</v>
      </c>
      <c r="X111" s="84"/>
      <c r="Y111" s="78">
        <f>SUM(E99:E111)</f>
        <v>24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8">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2"/>
      <c r="M112" s="277"/>
      <c r="N112" s="277"/>
      <c r="O112" s="277"/>
      <c r="P112" s="277"/>
      <c r="Q112" s="277"/>
      <c r="R112" s="277"/>
      <c r="S112" s="277"/>
      <c r="T112" s="277"/>
      <c r="U112" s="278"/>
      <c r="V112" s="103"/>
      <c r="W112" s="84">
        <f>Y112+1</f>
        <v>25</v>
      </c>
      <c r="X112" s="84"/>
      <c r="Y112" s="78">
        <f>SUM(E99:E112)</f>
        <v>24</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8">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2"/>
      <c r="M113" s="277"/>
      <c r="N113" s="277"/>
      <c r="O113" s="277"/>
      <c r="P113" s="277"/>
      <c r="Q113" s="277"/>
      <c r="R113" s="277"/>
      <c r="S113" s="277"/>
      <c r="T113" s="277"/>
      <c r="U113" s="278"/>
      <c r="V113" s="103"/>
      <c r="W113" s="84">
        <f>Y113+1</f>
        <v>25</v>
      </c>
      <c r="X113" s="84"/>
      <c r="Y113" s="78">
        <f>SUM(E99:E113)</f>
        <v>24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8">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2"/>
      <c r="M114" s="277"/>
      <c r="N114" s="277"/>
      <c r="O114" s="277"/>
      <c r="P114" s="277"/>
      <c r="Q114" s="277"/>
      <c r="R114" s="277"/>
      <c r="S114" s="277"/>
      <c r="T114" s="277"/>
      <c r="U114" s="278"/>
      <c r="V114" s="103"/>
      <c r="W114" s="84">
        <f t="shared" ref="W114:W122" si="50">Y114+1</f>
        <v>25</v>
      </c>
      <c r="X114" s="84"/>
      <c r="Y114" s="78">
        <f>SUM(E99:E114)</f>
        <v>24</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8">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2"/>
      <c r="M115" s="277"/>
      <c r="N115" s="277"/>
      <c r="O115" s="277"/>
      <c r="P115" s="277"/>
      <c r="Q115" s="277"/>
      <c r="R115" s="277"/>
      <c r="S115" s="277"/>
      <c r="T115" s="277"/>
      <c r="U115" s="278"/>
      <c r="V115" s="103"/>
      <c r="W115" s="84">
        <f t="shared" si="50"/>
        <v>25</v>
      </c>
      <c r="X115" s="84"/>
      <c r="Y115" s="78">
        <f>SUM(E99:E115)</f>
        <v>24</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8">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2"/>
      <c r="M116" s="277"/>
      <c r="N116" s="277"/>
      <c r="O116" s="277"/>
      <c r="P116" s="277"/>
      <c r="Q116" s="277"/>
      <c r="R116" s="277"/>
      <c r="S116" s="277"/>
      <c r="T116" s="277"/>
      <c r="U116" s="278"/>
      <c r="V116" s="103"/>
      <c r="W116" s="84">
        <f t="shared" si="50"/>
        <v>25</v>
      </c>
      <c r="X116" s="84"/>
      <c r="Y116" s="78">
        <f>SUM(E99:E116)</f>
        <v>24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8">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2"/>
      <c r="M117" s="277"/>
      <c r="N117" s="277"/>
      <c r="O117" s="277"/>
      <c r="P117" s="277"/>
      <c r="Q117" s="277"/>
      <c r="R117" s="277"/>
      <c r="S117" s="277"/>
      <c r="T117" s="277"/>
      <c r="U117" s="278"/>
      <c r="V117" s="103"/>
      <c r="W117" s="84">
        <f t="shared" si="50"/>
        <v>25</v>
      </c>
      <c r="X117" s="84"/>
      <c r="Y117" s="78">
        <f>SUM(E99:E117)</f>
        <v>24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8">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2"/>
      <c r="M118" s="277"/>
      <c r="N118" s="277"/>
      <c r="O118" s="277"/>
      <c r="P118" s="277"/>
      <c r="Q118" s="277"/>
      <c r="R118" s="277"/>
      <c r="S118" s="277"/>
      <c r="T118" s="277"/>
      <c r="U118" s="278"/>
      <c r="V118" s="103"/>
      <c r="W118" s="84">
        <f t="shared" si="50"/>
        <v>25</v>
      </c>
      <c r="X118" s="84"/>
      <c r="Y118" s="78">
        <f>SUM(E99:E118)</f>
        <v>24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8">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2"/>
      <c r="M119" s="277"/>
      <c r="N119" s="277"/>
      <c r="O119" s="277"/>
      <c r="P119" s="277"/>
      <c r="Q119" s="277"/>
      <c r="R119" s="277"/>
      <c r="S119" s="277"/>
      <c r="T119" s="277"/>
      <c r="U119" s="278"/>
      <c r="V119" s="103"/>
      <c r="W119" s="84">
        <f t="shared" si="50"/>
        <v>25</v>
      </c>
      <c r="X119" s="84"/>
      <c r="Y119" s="78">
        <f>SUM(E99:E119)</f>
        <v>24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8">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2"/>
      <c r="M120" s="277"/>
      <c r="N120" s="277"/>
      <c r="O120" s="277"/>
      <c r="P120" s="277"/>
      <c r="Q120" s="277"/>
      <c r="R120" s="277"/>
      <c r="S120" s="277"/>
      <c r="T120" s="277"/>
      <c r="U120" s="278"/>
      <c r="V120" s="103"/>
      <c r="W120" s="84">
        <f t="shared" si="50"/>
        <v>25</v>
      </c>
      <c r="X120" s="84"/>
      <c r="Y120" s="78">
        <f>SUM(E99:E120)</f>
        <v>24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8">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2"/>
      <c r="M121" s="277"/>
      <c r="N121" s="277"/>
      <c r="O121" s="277"/>
      <c r="P121" s="277"/>
      <c r="Q121" s="277"/>
      <c r="R121" s="277"/>
      <c r="S121" s="277"/>
      <c r="T121" s="277"/>
      <c r="U121" s="278"/>
      <c r="V121" s="103"/>
      <c r="W121" s="84">
        <f t="shared" si="50"/>
        <v>25</v>
      </c>
      <c r="X121" s="84"/>
      <c r="Y121" s="78">
        <f>SUM(E99:E121)</f>
        <v>24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8">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2"/>
      <c r="M122" s="277"/>
      <c r="N122" s="277"/>
      <c r="O122" s="277"/>
      <c r="P122" s="277"/>
      <c r="Q122" s="277"/>
      <c r="R122" s="277"/>
      <c r="S122" s="277"/>
      <c r="T122" s="277"/>
      <c r="U122" s="278"/>
      <c r="V122" s="103"/>
      <c r="W122" s="84">
        <f t="shared" si="50"/>
        <v>25</v>
      </c>
      <c r="X122" s="84"/>
      <c r="Y122" s="78">
        <f>SUM(E99:E122)</f>
        <v>24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8">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3"/>
      <c r="M123" s="277"/>
      <c r="N123" s="277"/>
      <c r="O123" s="277"/>
      <c r="P123" s="277"/>
      <c r="Q123" s="277"/>
      <c r="R123" s="277"/>
      <c r="S123" s="277"/>
      <c r="T123" s="277"/>
      <c r="U123" s="278"/>
      <c r="V123" s="103"/>
      <c r="W123" s="72"/>
      <c r="X123" s="72"/>
      <c r="Y123" s="78">
        <f>SUM(E99:E123)</f>
        <v>24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7"/>
    </row>
    <row r="124" spans="1:53" ht="16.5" thickBot="1" x14ac:dyDescent="0.3">
      <c r="A124" s="88"/>
      <c r="B124" s="318" t="s">
        <v>309</v>
      </c>
      <c r="C124" s="319"/>
      <c r="D124" s="79"/>
      <c r="E124" s="80"/>
      <c r="F124" s="80"/>
      <c r="G124" s="81"/>
      <c r="H124" s="191"/>
      <c r="I124" s="191"/>
      <c r="J124" s="191"/>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19</v>
      </c>
      <c r="AM124" s="109">
        <f>SUM(AM99:AM123)</f>
        <v>0</v>
      </c>
      <c r="AN124" s="109">
        <f>SUM(AN99:AN123)</f>
        <v>0</v>
      </c>
      <c r="AO124" s="109">
        <f>((COUNTIF(AO99:AO123,"Y")/3)*2)</f>
        <v>0</v>
      </c>
      <c r="AP124" s="109">
        <f>(COUNTIF(AO99:AO123,"Y")/3)</f>
        <v>0</v>
      </c>
      <c r="AQ124" s="109">
        <f>(COUNTIF(AQ99:AQ123,"Y")/2)</f>
        <v>0</v>
      </c>
      <c r="AR124" s="109">
        <f>(COUNTIF(AQ99:AQ123,"Y")/2)</f>
        <v>0</v>
      </c>
      <c r="BA124" s="227"/>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5"/>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5" t="s">
        <v>210</v>
      </c>
      <c r="N128" s="195" t="s">
        <v>211</v>
      </c>
      <c r="O128" s="195" t="s">
        <v>212</v>
      </c>
      <c r="P128" s="195" t="s">
        <v>213</v>
      </c>
      <c r="Q128" s="195" t="s">
        <v>214</v>
      </c>
      <c r="R128" s="195" t="s">
        <v>215</v>
      </c>
      <c r="S128" s="195" t="s">
        <v>216</v>
      </c>
      <c r="T128" s="195" t="s">
        <v>217</v>
      </c>
      <c r="U128" s="195" t="s">
        <v>218</v>
      </c>
      <c r="V128" s="195" t="s">
        <v>219</v>
      </c>
      <c r="W128" s="113" t="s">
        <v>220</v>
      </c>
      <c r="X128" s="195" t="s">
        <v>221</v>
      </c>
      <c r="Y128" s="25"/>
      <c r="Z128" s="25"/>
      <c r="AA128" s="25"/>
      <c r="AB128" s="25"/>
      <c r="AC128" s="25"/>
      <c r="AD128" s="25"/>
      <c r="BA128" s="225"/>
    </row>
    <row r="129" spans="1:53" ht="16.5" thickTop="1" thickBot="1" x14ac:dyDescent="0.3">
      <c r="A129" s="88"/>
      <c r="B129" s="311" t="s">
        <v>222</v>
      </c>
      <c r="C129" s="312"/>
      <c r="D129" s="313" t="s">
        <v>223</v>
      </c>
      <c r="E129" s="304"/>
      <c r="F129" s="88"/>
      <c r="G129" s="314" t="s">
        <v>224</v>
      </c>
      <c r="H129" s="315"/>
      <c r="I129" s="28">
        <f>SUM(E140:E164)</f>
        <v>72</v>
      </c>
      <c r="J129" s="316" t="s">
        <v>225</v>
      </c>
      <c r="K129" s="317"/>
      <c r="L129" s="304"/>
      <c r="M129" s="195">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5"/>
    </row>
    <row r="130" spans="1:53" ht="16.5" customHeight="1" thickTop="1" thickBot="1" x14ac:dyDescent="0.3">
      <c r="A130" s="88"/>
      <c r="B130" s="29" t="s">
        <v>228</v>
      </c>
      <c r="C130" s="30">
        <v>0</v>
      </c>
      <c r="D130" s="31" t="s">
        <v>229</v>
      </c>
      <c r="E130" s="66" t="str">
        <f>TEXT(IF('Cable Calculator'!S7="","",'Cable Calculator'!S7),)</f>
        <v>EUC</v>
      </c>
      <c r="F130" s="88"/>
      <c r="G130" s="303" t="s">
        <v>230</v>
      </c>
      <c r="H130" s="304"/>
      <c r="I130" s="33">
        <f>E131-I129</f>
        <v>0</v>
      </c>
      <c r="J130" s="288" t="s">
        <v>231</v>
      </c>
      <c r="K130" s="289"/>
      <c r="L130" s="34">
        <f>I134</f>
        <v>709</v>
      </c>
      <c r="M130" s="195">
        <v>4</v>
      </c>
      <c r="N130" s="35">
        <f>SUM(AI130,AI141)</f>
        <v>0</v>
      </c>
      <c r="O130" s="35">
        <v>0</v>
      </c>
      <c r="P130" s="35">
        <f>SUM(AJ130,AJ141)</f>
        <v>0</v>
      </c>
      <c r="Q130" s="35">
        <v>0</v>
      </c>
      <c r="R130" s="35">
        <f>COUNTIFS($E140:$E164,"4",$F140:$F164,"Pole",$C140:$C164,"FST")</f>
        <v>0</v>
      </c>
      <c r="S130" s="35">
        <f>SUM(AL130,AK141)</f>
        <v>0</v>
      </c>
      <c r="T130" s="35">
        <v>0</v>
      </c>
      <c r="U130" s="35">
        <f>SUM(AK130,AL141)</f>
        <v>4</v>
      </c>
      <c r="V130" s="35">
        <v>0</v>
      </c>
      <c r="W130" s="34">
        <f>COUNTIFS($E140:$E164,"4",$F140:$F164,"HH",$C140:$C164,"FST")</f>
        <v>4</v>
      </c>
      <c r="X130" s="35">
        <f>COUNTIFS($E140:$E164,"4",$F140:$F164,"Ped",$C140:$C164,"FST")</f>
        <v>0</v>
      </c>
      <c r="Y130" s="25"/>
      <c r="Z130" s="297" t="s">
        <v>232</v>
      </c>
      <c r="AA130" s="299" t="s">
        <v>233</v>
      </c>
      <c r="AB130" s="300"/>
      <c r="AC130" s="25"/>
      <c r="AD130" s="25"/>
      <c r="AH130" s="109">
        <v>4</v>
      </c>
      <c r="AI130" s="109" t="str">
        <f>IF($E130="SS",COUNTIFS($C140:$C164,"FST",$E140:$E164,"4"),"0")</f>
        <v>0</v>
      </c>
      <c r="AJ130" s="109" t="str">
        <f>IF($E130="RPX",COUNTIFS($C140:$C164,"FST",$E140:$E164,"4"),"0")</f>
        <v>0</v>
      </c>
      <c r="AK130" s="109">
        <f>IF($E130="EUC",COUNTIFS($C140:$C164,"FST",$E140:$E164,"4"),"0")</f>
        <v>4</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6"/>
    </row>
    <row r="131" spans="1:53" ht="16.5" thickTop="1" thickBot="1" x14ac:dyDescent="0.3">
      <c r="A131" s="88"/>
      <c r="B131" s="36" t="s">
        <v>235</v>
      </c>
      <c r="C131" s="37">
        <v>0</v>
      </c>
      <c r="D131" s="38" t="s">
        <v>236</v>
      </c>
      <c r="E131" s="32">
        <v>72</v>
      </c>
      <c r="F131" s="88"/>
      <c r="G131" s="290" t="s">
        <v>237</v>
      </c>
      <c r="H131" s="291"/>
      <c r="I131" s="35">
        <f>IF(E131=0,0,12-(MOD(I129,12)))</f>
        <v>12</v>
      </c>
      <c r="J131" s="288" t="s">
        <v>238</v>
      </c>
      <c r="K131" s="289"/>
      <c r="L131" s="39">
        <f>I135-I129</f>
        <v>708</v>
      </c>
      <c r="M131" s="195">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6"/>
    </row>
    <row r="132" spans="1:53" ht="16.5" customHeight="1" thickTop="1" thickBot="1" x14ac:dyDescent="0.3">
      <c r="A132" s="88"/>
      <c r="B132" s="40" t="s">
        <v>240</v>
      </c>
      <c r="C132" s="30">
        <v>0</v>
      </c>
      <c r="D132" s="41" t="s">
        <v>241</v>
      </c>
      <c r="E132" s="42">
        <v>0</v>
      </c>
      <c r="F132" s="88"/>
      <c r="G132" s="320" t="s">
        <v>242</v>
      </c>
      <c r="H132" s="43" t="s">
        <v>243</v>
      </c>
      <c r="I132" s="35">
        <f>IF(E132&lt;&gt;0,1,0)</f>
        <v>0</v>
      </c>
      <c r="J132" s="290" t="s">
        <v>244</v>
      </c>
      <c r="K132" s="291"/>
      <c r="L132" s="44">
        <f>'Cable Calculator'!S3</f>
        <v>981</v>
      </c>
      <c r="M132" s="195">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6"/>
    </row>
    <row r="133" spans="1:53" ht="16.5" thickTop="1" thickBot="1" x14ac:dyDescent="0.3">
      <c r="A133" s="88"/>
      <c r="B133" s="29" t="s">
        <v>246</v>
      </c>
      <c r="C133" s="37">
        <v>0</v>
      </c>
      <c r="D133" s="41" t="s">
        <v>247</v>
      </c>
      <c r="E133" s="42">
        <v>709</v>
      </c>
      <c r="F133" s="88"/>
      <c r="G133" s="321"/>
      <c r="H133" s="47" t="s">
        <v>248</v>
      </c>
      <c r="I133" s="35">
        <f>IF(E132&lt;&gt;0,E132,0)</f>
        <v>0</v>
      </c>
      <c r="J133" s="193"/>
      <c r="K133" s="194"/>
      <c r="L133" s="48"/>
      <c r="M133" s="195">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3</v>
      </c>
      <c r="V133" s="35">
        <f>IF($E130="EUC",SUM($AN165,AP165,AR165),"0")</f>
        <v>1</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6"/>
    </row>
    <row r="134" spans="1:53" ht="16.5" customHeight="1" thickTop="1" thickBot="1" x14ac:dyDescent="0.3">
      <c r="A134" s="88"/>
      <c r="B134" s="36" t="s">
        <v>249</v>
      </c>
      <c r="C134" s="30">
        <v>0</v>
      </c>
      <c r="D134" s="49" t="s">
        <v>250</v>
      </c>
      <c r="E134" s="50">
        <f>E131/12</f>
        <v>6</v>
      </c>
      <c r="F134" s="88"/>
      <c r="G134" s="320" t="s">
        <v>251</v>
      </c>
      <c r="H134" s="51" t="s">
        <v>252</v>
      </c>
      <c r="I134" s="112">
        <f>E133</f>
        <v>709</v>
      </c>
      <c r="J134" s="322" t="s">
        <v>253</v>
      </c>
      <c r="K134" s="323"/>
      <c r="L134" s="324"/>
      <c r="M134" s="52" t="s">
        <v>254</v>
      </c>
      <c r="N134" s="106"/>
      <c r="O134" s="106"/>
      <c r="P134" s="191"/>
      <c r="Q134" s="191"/>
      <c r="R134" s="191"/>
      <c r="S134" s="191"/>
      <c r="T134" s="191"/>
      <c r="U134" s="191"/>
      <c r="V134" s="191"/>
      <c r="W134" s="53">
        <f>SUM(P134:U134)</f>
        <v>0</v>
      </c>
      <c r="X134" s="54"/>
      <c r="Y134" s="25"/>
      <c r="Z134" s="45">
        <v>3</v>
      </c>
      <c r="AA134" s="46">
        <v>25</v>
      </c>
      <c r="AB134" s="46">
        <v>36</v>
      </c>
      <c r="AC134" s="25"/>
      <c r="AD134" s="25"/>
      <c r="BA134" s="226"/>
    </row>
    <row r="135" spans="1:53" ht="16.5" thickTop="1" thickBot="1" x14ac:dyDescent="0.3">
      <c r="A135" s="88"/>
      <c r="B135" s="36" t="s">
        <v>255</v>
      </c>
      <c r="C135" s="30">
        <v>0</v>
      </c>
      <c r="D135" s="31" t="s">
        <v>256</v>
      </c>
      <c r="E135" s="101" t="str">
        <f>IF('Cable Calculator'!S5="","",'Cable Calculator'!S5)</f>
        <v>N</v>
      </c>
      <c r="F135" s="88"/>
      <c r="G135" s="321"/>
      <c r="H135" s="47" t="s">
        <v>257</v>
      </c>
      <c r="I135" s="35">
        <f>IF(E133="","0",IF(AND(E130="EUC",E131=432), I134+(203-E132),IF(E133=0,0,(E133+(E131-E132)-1))))</f>
        <v>780</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6"/>
    </row>
    <row r="136" spans="1:53" ht="16.5" thickTop="1" thickBot="1" x14ac:dyDescent="0.3">
      <c r="A136" s="88"/>
      <c r="B136" s="55" t="s">
        <v>258</v>
      </c>
      <c r="C136" s="56">
        <f>SUM(C130:C135)+I129</f>
        <v>72</v>
      </c>
      <c r="D136" s="31" t="s">
        <v>259</v>
      </c>
      <c r="E136" s="101" t="str">
        <f>IF(AS130="Y","DBL",IF(AS131="Y","TRPL",IF(AS132="Y","QUAD","")))</f>
        <v/>
      </c>
      <c r="F136" s="88"/>
      <c r="G136" s="191"/>
      <c r="H136" s="57"/>
      <c r="I136" s="191"/>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6"/>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5"/>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7"/>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7"/>
    </row>
    <row r="140" spans="1:53" ht="15.75" thickBot="1" x14ac:dyDescent="0.3">
      <c r="A140" s="88"/>
      <c r="B140" s="66" t="s">
        <v>276</v>
      </c>
      <c r="C140" s="67" t="s">
        <v>484</v>
      </c>
      <c r="D140" s="102" t="s">
        <v>743</v>
      </c>
      <c r="E140" s="32">
        <v>4</v>
      </c>
      <c r="F140" s="32" t="s">
        <v>488</v>
      </c>
      <c r="G140" s="68" t="s">
        <v>277</v>
      </c>
      <c r="H140" s="69">
        <f>IF(I140=0,0,I140-(E140-1))</f>
        <v>777</v>
      </c>
      <c r="I140" s="70">
        <f>IF(E140=0,0,I135)</f>
        <v>780</v>
      </c>
      <c r="J140" s="71" t="s">
        <v>278</v>
      </c>
      <c r="K140" s="32"/>
      <c r="L140" s="232"/>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777-780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8">
        <f>MOD(E140,12)</f>
        <v>4</v>
      </c>
    </row>
    <row r="141" spans="1:53" ht="15.75" thickBot="1" x14ac:dyDescent="0.3">
      <c r="A141" s="88"/>
      <c r="B141" s="66" t="s">
        <v>279</v>
      </c>
      <c r="C141" s="67" t="s">
        <v>484</v>
      </c>
      <c r="D141" s="102" t="s">
        <v>744</v>
      </c>
      <c r="E141" s="32">
        <v>8</v>
      </c>
      <c r="F141" s="32" t="s">
        <v>488</v>
      </c>
      <c r="G141" s="68" t="s">
        <v>277</v>
      </c>
      <c r="H141" s="69">
        <f t="shared" ref="H141:H164" si="60">IF(E141=0,0,I141-(E141-1))</f>
        <v>769</v>
      </c>
      <c r="I141" s="70">
        <f t="shared" ref="I141:I164" si="61">IF(E141=0,0,H140-1)</f>
        <v>776</v>
      </c>
      <c r="J141" s="73" t="str">
        <f>IF(C141="","--",IF(AND(C141&lt;&gt;"FST",C141&lt;&gt;"TCF",BA140&lt;&gt;0),BA140,"--"))</f>
        <v>--</v>
      </c>
      <c r="K141" s="32"/>
      <c r="L141" s="232"/>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769-776</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8">
        <f>MOD(SUM(E140:E141),12)</f>
        <v>0</v>
      </c>
    </row>
    <row r="142" spans="1:53" ht="15.75" thickBot="1" x14ac:dyDescent="0.3">
      <c r="A142" s="88"/>
      <c r="B142" s="74" t="s">
        <v>280</v>
      </c>
      <c r="C142" s="67" t="s">
        <v>494</v>
      </c>
      <c r="D142" s="102"/>
      <c r="E142" s="32">
        <v>12</v>
      </c>
      <c r="F142" s="32"/>
      <c r="G142" s="75" t="s">
        <v>277</v>
      </c>
      <c r="H142" s="69">
        <f t="shared" si="60"/>
        <v>757</v>
      </c>
      <c r="I142" s="70">
        <f t="shared" si="61"/>
        <v>768</v>
      </c>
      <c r="J142" s="73" t="str">
        <f t="shared" ref="J142:J164" si="62">IF(C142="","--",IF(AND(C142&lt;&gt;"FST",C142&lt;&gt;"TCF",BA141&lt;&gt;0),BA141,"--"))</f>
        <v>--</v>
      </c>
      <c r="K142" s="32"/>
      <c r="L142" s="232"/>
      <c r="M142" s="277" t="s">
        <v>407</v>
      </c>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757-768</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1</v>
      </c>
      <c r="AN142" s="109">
        <f t="shared" si="57"/>
        <v>0</v>
      </c>
      <c r="AO142" s="109" t="str">
        <f t="shared" si="58"/>
        <v/>
      </c>
      <c r="AQ142" s="109" t="str">
        <f t="shared" si="59"/>
        <v/>
      </c>
      <c r="BA142" s="228">
        <f>MOD(SUM(E140:E143),12)</f>
        <v>4</v>
      </c>
    </row>
    <row r="143" spans="1:53" ht="15.75" thickBot="1" x14ac:dyDescent="0.3">
      <c r="A143" s="88"/>
      <c r="B143" s="66" t="s">
        <v>281</v>
      </c>
      <c r="C143" s="67" t="s">
        <v>484</v>
      </c>
      <c r="D143" s="102" t="s">
        <v>745</v>
      </c>
      <c r="E143" s="32">
        <v>4</v>
      </c>
      <c r="F143" s="32" t="s">
        <v>488</v>
      </c>
      <c r="G143" s="68" t="s">
        <v>277</v>
      </c>
      <c r="H143" s="69">
        <f t="shared" si="60"/>
        <v>753</v>
      </c>
      <c r="I143" s="70">
        <f t="shared" si="61"/>
        <v>756</v>
      </c>
      <c r="J143" s="73" t="str">
        <f t="shared" si="62"/>
        <v>--</v>
      </c>
      <c r="K143" s="32"/>
      <c r="L143" s="232"/>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0</v>
      </c>
      <c r="AE143" s="109" t="str">
        <f t="shared" si="53"/>
        <v>753-756</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8">
        <f>MOD(SUM(E140:E144),12)</f>
        <v>8</v>
      </c>
    </row>
    <row r="144" spans="1:53" ht="15.75" thickBot="1" x14ac:dyDescent="0.3">
      <c r="A144" s="88"/>
      <c r="B144" s="66" t="s">
        <v>282</v>
      </c>
      <c r="C144" s="67" t="s">
        <v>484</v>
      </c>
      <c r="D144" s="102" t="s">
        <v>796</v>
      </c>
      <c r="E144" s="32">
        <v>4</v>
      </c>
      <c r="F144" s="32" t="s">
        <v>488</v>
      </c>
      <c r="G144" s="68" t="s">
        <v>277</v>
      </c>
      <c r="H144" s="69">
        <f t="shared" si="60"/>
        <v>749</v>
      </c>
      <c r="I144" s="70">
        <f t="shared" si="61"/>
        <v>752</v>
      </c>
      <c r="J144" s="73" t="str">
        <f t="shared" si="62"/>
        <v>--</v>
      </c>
      <c r="K144" s="32"/>
      <c r="L144" s="232"/>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749-752</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8">
        <f>MOD(SUM(E140:E145),12)</f>
        <v>0</v>
      </c>
    </row>
    <row r="145" spans="1:53" ht="15.75" thickBot="1" x14ac:dyDescent="0.3">
      <c r="A145" s="88"/>
      <c r="B145" s="66" t="s">
        <v>283</v>
      </c>
      <c r="C145" s="67" t="s">
        <v>484</v>
      </c>
      <c r="D145" s="102" t="s">
        <v>797</v>
      </c>
      <c r="E145" s="32">
        <v>4</v>
      </c>
      <c r="F145" s="32" t="s">
        <v>488</v>
      </c>
      <c r="G145" s="68" t="s">
        <v>277</v>
      </c>
      <c r="H145" s="69">
        <f t="shared" si="60"/>
        <v>745</v>
      </c>
      <c r="I145" s="70">
        <f t="shared" si="61"/>
        <v>748</v>
      </c>
      <c r="J145" s="73" t="str">
        <f t="shared" si="62"/>
        <v>--</v>
      </c>
      <c r="K145" s="32"/>
      <c r="L145" s="232"/>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0</v>
      </c>
      <c r="AE145" s="109" t="str">
        <f t="shared" si="53"/>
        <v>745-748</v>
      </c>
      <c r="AF145" s="109" t="str">
        <f t="shared" si="54"/>
        <v>Y</v>
      </c>
      <c r="AG145" s="109" t="str">
        <f t="shared" si="55"/>
        <v>B</v>
      </c>
      <c r="AM145" s="109">
        <f t="shared" si="56"/>
        <v>0</v>
      </c>
      <c r="AN145" s="109">
        <f t="shared" si="57"/>
        <v>0</v>
      </c>
      <c r="AO145" s="109" t="str">
        <f t="shared" si="58"/>
        <v/>
      </c>
      <c r="AQ145" s="109" t="str">
        <f t="shared" si="59"/>
        <v/>
      </c>
      <c r="BA145" s="228">
        <f>MOD(SUM(E140:E146),12)</f>
        <v>0</v>
      </c>
    </row>
    <row r="146" spans="1:53" ht="15.75" thickBot="1" x14ac:dyDescent="0.3">
      <c r="A146" s="88"/>
      <c r="B146" s="66" t="s">
        <v>284</v>
      </c>
      <c r="C146" s="67" t="s">
        <v>500</v>
      </c>
      <c r="D146" s="102"/>
      <c r="E146" s="32">
        <v>12</v>
      </c>
      <c r="F146" s="32"/>
      <c r="G146" s="68" t="s">
        <v>277</v>
      </c>
      <c r="H146" s="69">
        <f t="shared" si="60"/>
        <v>733</v>
      </c>
      <c r="I146" s="70">
        <f t="shared" si="61"/>
        <v>744</v>
      </c>
      <c r="J146" s="73" t="str">
        <f t="shared" si="62"/>
        <v>--</v>
      </c>
      <c r="K146" s="32"/>
      <c r="L146" s="232"/>
      <c r="M146" s="277" t="s">
        <v>417</v>
      </c>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733-744</v>
      </c>
      <c r="AF146" s="109" t="str">
        <f t="shared" si="54"/>
        <v>Y</v>
      </c>
      <c r="AG146" s="109" t="str">
        <f t="shared" si="55"/>
        <v>B</v>
      </c>
      <c r="AM146" s="109">
        <f t="shared" si="56"/>
        <v>0</v>
      </c>
      <c r="AN146" s="109">
        <f t="shared" si="57"/>
        <v>0</v>
      </c>
      <c r="AO146" s="109" t="str">
        <f t="shared" si="58"/>
        <v>Y</v>
      </c>
      <c r="AQ146" s="109" t="str">
        <f t="shared" si="59"/>
        <v/>
      </c>
      <c r="BA146" s="228">
        <f>MOD(SUM(E140:E147),12)</f>
        <v>0</v>
      </c>
    </row>
    <row r="147" spans="1:53" ht="15.75" thickBot="1" x14ac:dyDescent="0.3">
      <c r="A147" s="88"/>
      <c r="B147" s="66" t="s">
        <v>285</v>
      </c>
      <c r="C147" s="67" t="s">
        <v>500</v>
      </c>
      <c r="D147" s="102"/>
      <c r="E147" s="32">
        <v>12</v>
      </c>
      <c r="F147" s="32"/>
      <c r="G147" s="68" t="s">
        <v>277</v>
      </c>
      <c r="H147" s="69">
        <f t="shared" si="60"/>
        <v>721</v>
      </c>
      <c r="I147" s="70">
        <f t="shared" si="61"/>
        <v>732</v>
      </c>
      <c r="J147" s="73" t="str">
        <f t="shared" si="62"/>
        <v>--</v>
      </c>
      <c r="K147" s="32"/>
      <c r="L147" s="232"/>
      <c r="M147" s="277" t="s">
        <v>417</v>
      </c>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721-732</v>
      </c>
      <c r="AF147" s="109" t="str">
        <f t="shared" si="54"/>
        <v>Y</v>
      </c>
      <c r="AG147" s="109" t="str">
        <f t="shared" si="55"/>
        <v>B</v>
      </c>
      <c r="AM147" s="109">
        <f t="shared" si="56"/>
        <v>0</v>
      </c>
      <c r="AN147" s="109">
        <f t="shared" si="57"/>
        <v>0</v>
      </c>
      <c r="AO147" s="109" t="str">
        <f t="shared" si="58"/>
        <v>Y</v>
      </c>
      <c r="AQ147" s="109" t="str">
        <f t="shared" si="59"/>
        <v/>
      </c>
      <c r="BA147" s="228">
        <f>MOD(SUM(E140:E148),12)</f>
        <v>0</v>
      </c>
    </row>
    <row r="148" spans="1:53" ht="15.75" thickBot="1" x14ac:dyDescent="0.3">
      <c r="A148" s="88"/>
      <c r="B148" s="66" t="s">
        <v>286</v>
      </c>
      <c r="C148" s="67" t="s">
        <v>500</v>
      </c>
      <c r="D148" s="102"/>
      <c r="E148" s="32">
        <v>12</v>
      </c>
      <c r="F148" s="32"/>
      <c r="G148" s="68" t="s">
        <v>277</v>
      </c>
      <c r="H148" s="69">
        <f t="shared" si="60"/>
        <v>709</v>
      </c>
      <c r="I148" s="70">
        <f t="shared" si="61"/>
        <v>720</v>
      </c>
      <c r="J148" s="73" t="str">
        <f t="shared" si="62"/>
        <v>--</v>
      </c>
      <c r="K148" s="32"/>
      <c r="L148" s="232"/>
      <c r="M148" s="277" t="s">
        <v>417</v>
      </c>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709-720</v>
      </c>
      <c r="AF148" s="109" t="str">
        <f t="shared" si="54"/>
        <v>Y</v>
      </c>
      <c r="AG148" s="109" t="str">
        <f t="shared" si="55"/>
        <v>B</v>
      </c>
      <c r="AM148" s="109">
        <f t="shared" si="56"/>
        <v>0</v>
      </c>
      <c r="AN148" s="109">
        <f t="shared" si="57"/>
        <v>0</v>
      </c>
      <c r="AO148" s="109" t="str">
        <f t="shared" si="58"/>
        <v>Y</v>
      </c>
      <c r="AQ148" s="109" t="str">
        <f t="shared" si="59"/>
        <v/>
      </c>
      <c r="BA148" s="228">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2"/>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8">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2"/>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8">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2"/>
      <c r="M151" s="277"/>
      <c r="N151" s="277"/>
      <c r="O151" s="277"/>
      <c r="P151" s="277"/>
      <c r="Q151" s="277"/>
      <c r="R151" s="277"/>
      <c r="S151" s="277"/>
      <c r="T151" s="277"/>
      <c r="U151" s="278"/>
      <c r="V151" s="103"/>
      <c r="W151" s="84">
        <f>Y151+1</f>
        <v>73</v>
      </c>
      <c r="X151" s="84"/>
      <c r="Y151" s="78">
        <f>SUM(E140:E151)</f>
        <v>72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8">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2"/>
      <c r="M152" s="277"/>
      <c r="N152" s="277"/>
      <c r="O152" s="277"/>
      <c r="P152" s="277"/>
      <c r="Q152" s="277"/>
      <c r="R152" s="277"/>
      <c r="S152" s="277"/>
      <c r="T152" s="277"/>
      <c r="U152" s="278"/>
      <c r="V152" s="103"/>
      <c r="W152" s="84">
        <f>Y152+1</f>
        <v>73</v>
      </c>
      <c r="X152" s="84"/>
      <c r="Y152" s="78">
        <f>SUM(E140:E152)</f>
        <v>72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8">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2"/>
      <c r="M153" s="277"/>
      <c r="N153" s="277"/>
      <c r="O153" s="277"/>
      <c r="P153" s="277"/>
      <c r="Q153" s="277"/>
      <c r="R153" s="277"/>
      <c r="S153" s="277"/>
      <c r="T153" s="277"/>
      <c r="U153" s="278"/>
      <c r="V153" s="103"/>
      <c r="W153" s="84">
        <f>Y153+1</f>
        <v>73</v>
      </c>
      <c r="X153" s="84"/>
      <c r="Y153" s="78">
        <f>SUM(E140:E153)</f>
        <v>72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8">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2"/>
      <c r="M154" s="277"/>
      <c r="N154" s="277"/>
      <c r="O154" s="277"/>
      <c r="P154" s="277"/>
      <c r="Q154" s="277"/>
      <c r="R154" s="277"/>
      <c r="S154" s="277"/>
      <c r="T154" s="277"/>
      <c r="U154" s="278"/>
      <c r="V154" s="103"/>
      <c r="W154" s="84">
        <f>Y154+1</f>
        <v>73</v>
      </c>
      <c r="X154" s="84"/>
      <c r="Y154" s="78">
        <f>SUM(E140:E154)</f>
        <v>72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8">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2"/>
      <c r="M155" s="277"/>
      <c r="N155" s="277"/>
      <c r="O155" s="277"/>
      <c r="P155" s="277"/>
      <c r="Q155" s="277"/>
      <c r="R155" s="277"/>
      <c r="S155" s="277"/>
      <c r="T155" s="277"/>
      <c r="U155" s="278"/>
      <c r="V155" s="103"/>
      <c r="W155" s="84">
        <f t="shared" ref="W155:W163" si="67">Y155+1</f>
        <v>73</v>
      </c>
      <c r="X155" s="84"/>
      <c r="Y155" s="78">
        <f>SUM(E140:E155)</f>
        <v>72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8">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2"/>
      <c r="M156" s="277"/>
      <c r="N156" s="277"/>
      <c r="O156" s="277"/>
      <c r="P156" s="277"/>
      <c r="Q156" s="277"/>
      <c r="R156" s="277"/>
      <c r="S156" s="277"/>
      <c r="T156" s="277"/>
      <c r="U156" s="278"/>
      <c r="V156" s="103"/>
      <c r="W156" s="84">
        <f t="shared" si="67"/>
        <v>73</v>
      </c>
      <c r="X156" s="84"/>
      <c r="Y156" s="78">
        <f>SUM(E140:E156)</f>
        <v>72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8">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2"/>
      <c r="M157" s="277"/>
      <c r="N157" s="277"/>
      <c r="O157" s="277"/>
      <c r="P157" s="277"/>
      <c r="Q157" s="277"/>
      <c r="R157" s="277"/>
      <c r="S157" s="277"/>
      <c r="T157" s="277"/>
      <c r="U157" s="278"/>
      <c r="V157" s="103"/>
      <c r="W157" s="84">
        <f t="shared" si="67"/>
        <v>73</v>
      </c>
      <c r="X157" s="84"/>
      <c r="Y157" s="78">
        <f>SUM(E140:E157)</f>
        <v>72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8">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2"/>
      <c r="M158" s="277"/>
      <c r="N158" s="277"/>
      <c r="O158" s="277"/>
      <c r="P158" s="277"/>
      <c r="Q158" s="277"/>
      <c r="R158" s="277"/>
      <c r="S158" s="277"/>
      <c r="T158" s="277"/>
      <c r="U158" s="278"/>
      <c r="V158" s="103"/>
      <c r="W158" s="84">
        <f t="shared" si="67"/>
        <v>73</v>
      </c>
      <c r="X158" s="84"/>
      <c r="Y158" s="78">
        <f>SUM(E140:E158)</f>
        <v>72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8">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2"/>
      <c r="M159" s="277"/>
      <c r="N159" s="277"/>
      <c r="O159" s="277"/>
      <c r="P159" s="277"/>
      <c r="Q159" s="277"/>
      <c r="R159" s="277"/>
      <c r="S159" s="277"/>
      <c r="T159" s="277"/>
      <c r="U159" s="278"/>
      <c r="V159" s="103"/>
      <c r="W159" s="84">
        <f t="shared" si="67"/>
        <v>73</v>
      </c>
      <c r="X159" s="84"/>
      <c r="Y159" s="78">
        <f>SUM(E140:E159)</f>
        <v>72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8">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2"/>
      <c r="M160" s="277"/>
      <c r="N160" s="277"/>
      <c r="O160" s="277"/>
      <c r="P160" s="277"/>
      <c r="Q160" s="277"/>
      <c r="R160" s="277"/>
      <c r="S160" s="277"/>
      <c r="T160" s="277"/>
      <c r="U160" s="278"/>
      <c r="V160" s="103"/>
      <c r="W160" s="84">
        <f t="shared" si="67"/>
        <v>73</v>
      </c>
      <c r="X160" s="84"/>
      <c r="Y160" s="78">
        <f>SUM(E140:E160)</f>
        <v>72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8">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2"/>
      <c r="M161" s="277"/>
      <c r="N161" s="277"/>
      <c r="O161" s="277"/>
      <c r="P161" s="277"/>
      <c r="Q161" s="277"/>
      <c r="R161" s="277"/>
      <c r="S161" s="277"/>
      <c r="T161" s="277"/>
      <c r="U161" s="278"/>
      <c r="V161" s="103"/>
      <c r="W161" s="84">
        <f t="shared" si="67"/>
        <v>73</v>
      </c>
      <c r="X161" s="84"/>
      <c r="Y161" s="78">
        <f>SUM(E140:E161)</f>
        <v>72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8">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2"/>
      <c r="M162" s="277"/>
      <c r="N162" s="277"/>
      <c r="O162" s="277"/>
      <c r="P162" s="277"/>
      <c r="Q162" s="277"/>
      <c r="R162" s="277"/>
      <c r="S162" s="277"/>
      <c r="T162" s="277"/>
      <c r="U162" s="278"/>
      <c r="V162" s="103"/>
      <c r="W162" s="84">
        <f t="shared" si="67"/>
        <v>73</v>
      </c>
      <c r="X162" s="84"/>
      <c r="Y162" s="78">
        <f>SUM(E140:E162)</f>
        <v>72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8">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2"/>
      <c r="M163" s="277"/>
      <c r="N163" s="277"/>
      <c r="O163" s="277"/>
      <c r="P163" s="277"/>
      <c r="Q163" s="277"/>
      <c r="R163" s="277"/>
      <c r="S163" s="277"/>
      <c r="T163" s="277"/>
      <c r="U163" s="278"/>
      <c r="V163" s="103"/>
      <c r="W163" s="84">
        <f t="shared" si="67"/>
        <v>73</v>
      </c>
      <c r="X163" s="84"/>
      <c r="Y163" s="78">
        <f>SUM(E140:E163)</f>
        <v>72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8">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3"/>
      <c r="M164" s="277"/>
      <c r="N164" s="277"/>
      <c r="O164" s="277"/>
      <c r="P164" s="277"/>
      <c r="Q164" s="277"/>
      <c r="R164" s="277"/>
      <c r="S164" s="277"/>
      <c r="T164" s="277"/>
      <c r="U164" s="278"/>
      <c r="V164" s="103"/>
      <c r="W164" s="72"/>
      <c r="X164" s="72"/>
      <c r="Y164" s="78">
        <f>SUM(E140:E164)</f>
        <v>72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7"/>
    </row>
    <row r="165" spans="1:53" ht="16.5" thickBot="1" x14ac:dyDescent="0.3">
      <c r="A165" s="88"/>
      <c r="B165" s="318" t="s">
        <v>311</v>
      </c>
      <c r="C165" s="319"/>
      <c r="D165" s="79"/>
      <c r="E165" s="80"/>
      <c r="F165" s="80"/>
      <c r="G165" s="81"/>
      <c r="H165" s="191"/>
      <c r="I165" s="191"/>
      <c r="J165" s="191"/>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20</v>
      </c>
      <c r="AM165" s="109">
        <f>SUM(AM140:AM164)</f>
        <v>1</v>
      </c>
      <c r="AN165" s="109">
        <f>SUM(AN140:AN164)</f>
        <v>0</v>
      </c>
      <c r="AO165" s="109">
        <f>((COUNTIF(AO140:AO164,"Y")/3)*2)</f>
        <v>2</v>
      </c>
      <c r="AP165" s="109">
        <f>(COUNTIF(AO140:AO164,"Y")/3)</f>
        <v>1</v>
      </c>
      <c r="AQ165" s="109">
        <f>(COUNTIF(AQ140:AQ164,"Y")/2)</f>
        <v>0</v>
      </c>
      <c r="AR165" s="109">
        <f>(COUNTIF(AQ140:AQ164,"Y")/2)</f>
        <v>0</v>
      </c>
      <c r="BA165" s="227"/>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5"/>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5" t="s">
        <v>210</v>
      </c>
      <c r="N169" s="195" t="s">
        <v>211</v>
      </c>
      <c r="O169" s="195" t="s">
        <v>212</v>
      </c>
      <c r="P169" s="195" t="s">
        <v>213</v>
      </c>
      <c r="Q169" s="195" t="s">
        <v>214</v>
      </c>
      <c r="R169" s="195" t="s">
        <v>215</v>
      </c>
      <c r="S169" s="195" t="s">
        <v>216</v>
      </c>
      <c r="T169" s="195" t="s">
        <v>217</v>
      </c>
      <c r="U169" s="195" t="s">
        <v>218</v>
      </c>
      <c r="V169" s="195" t="s">
        <v>219</v>
      </c>
      <c r="W169" s="113" t="s">
        <v>220</v>
      </c>
      <c r="X169" s="195" t="s">
        <v>221</v>
      </c>
      <c r="Y169" s="25"/>
      <c r="Z169" s="25"/>
      <c r="AA169" s="25"/>
      <c r="AB169" s="25"/>
      <c r="AC169" s="25"/>
      <c r="AD169" s="25"/>
      <c r="BA169" s="225"/>
    </row>
    <row r="170" spans="1:53" ht="16.5" thickTop="1" thickBot="1" x14ac:dyDescent="0.3">
      <c r="A170" s="88"/>
      <c r="B170" s="311" t="s">
        <v>222</v>
      </c>
      <c r="C170" s="312"/>
      <c r="D170" s="313" t="s">
        <v>223</v>
      </c>
      <c r="E170" s="304"/>
      <c r="F170" s="88"/>
      <c r="G170" s="314" t="s">
        <v>224</v>
      </c>
      <c r="H170" s="315"/>
      <c r="I170" s="28">
        <f>SUM(E181:E205)</f>
        <v>12</v>
      </c>
      <c r="J170" s="316" t="s">
        <v>225</v>
      </c>
      <c r="K170" s="317"/>
      <c r="L170" s="304"/>
      <c r="M170" s="195">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4" t="s">
        <v>226</v>
      </c>
      <c r="AA170" s="295"/>
      <c r="AB170" s="296"/>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1</v>
      </c>
      <c r="AX170" s="109">
        <f>IF(OR($AS171="Y",$AS172="Y",$AS173="Y"),"",COUNTIFS($E171,"RPX-T",$E176,"Y"))</f>
        <v>0</v>
      </c>
      <c r="BA170" s="225"/>
    </row>
    <row r="171" spans="1:53" ht="16.5" customHeight="1" thickTop="1" thickBot="1" x14ac:dyDescent="0.3">
      <c r="A171" s="88"/>
      <c r="B171" s="29" t="s">
        <v>228</v>
      </c>
      <c r="C171" s="30">
        <v>0</v>
      </c>
      <c r="D171" s="31" t="s">
        <v>229</v>
      </c>
      <c r="E171" s="66" t="str">
        <f>TEXT(IF('Cable Calculator'!X7="","",'Cable Calculator'!X7),)</f>
        <v>EUC</v>
      </c>
      <c r="F171" s="88"/>
      <c r="G171" s="303" t="s">
        <v>230</v>
      </c>
      <c r="H171" s="304"/>
      <c r="I171" s="33">
        <f>E172-I170</f>
        <v>12</v>
      </c>
      <c r="J171" s="288" t="s">
        <v>231</v>
      </c>
      <c r="K171" s="289"/>
      <c r="L171" s="34">
        <f>I175</f>
        <v>757</v>
      </c>
      <c r="M171" s="195">
        <v>4</v>
      </c>
      <c r="N171" s="35">
        <f>SUM(AI171,AI182)</f>
        <v>0</v>
      </c>
      <c r="O171" s="35">
        <v>0</v>
      </c>
      <c r="P171" s="35">
        <f>SUM(AJ171,AJ182)</f>
        <v>0</v>
      </c>
      <c r="Q171" s="35">
        <v>0</v>
      </c>
      <c r="R171" s="35">
        <f>COUNTIFS($E181:$E205,"4",$F181:$F205,"Pole",$C181:$C205,"FST")</f>
        <v>0</v>
      </c>
      <c r="S171" s="35">
        <f>SUM(AL171,AK182)</f>
        <v>0</v>
      </c>
      <c r="T171" s="35">
        <v>0</v>
      </c>
      <c r="U171" s="35">
        <f>SUM(AK171,AL182)</f>
        <v>3</v>
      </c>
      <c r="V171" s="35">
        <v>0</v>
      </c>
      <c r="W171" s="34">
        <f>COUNTIFS($E181:$E205,"4",$F181:$F205,"HH",$C181:$C205,"FST")</f>
        <v>3</v>
      </c>
      <c r="X171" s="35">
        <f>COUNTIFS($E181:$E205,"4",$F181:$F205,"Ped",$C181:$C205,"FST")</f>
        <v>0</v>
      </c>
      <c r="Y171" s="25"/>
      <c r="Z171" s="297" t="s">
        <v>232</v>
      </c>
      <c r="AA171" s="299" t="s">
        <v>233</v>
      </c>
      <c r="AB171" s="300"/>
      <c r="AC171" s="25"/>
      <c r="AD171" s="25"/>
      <c r="AH171" s="109">
        <v>4</v>
      </c>
      <c r="AI171" s="109" t="str">
        <f>IF($E171="SS",COUNTIFS($C181:$C205,"FST",$E181:$E205,"4"),"0")</f>
        <v>0</v>
      </c>
      <c r="AJ171" s="109" t="str">
        <f>IF($E171="RPX",COUNTIFS($C181:$C205,"FST",$E181:$E205,"4"),"0")</f>
        <v>0</v>
      </c>
      <c r="AK171" s="109">
        <f>IF($E171="EUC",COUNTIFS($C181:$C205,"FST",$E181:$E205,"4"),"0")</f>
        <v>3</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6"/>
    </row>
    <row r="172" spans="1:53" ht="16.5" thickTop="1" thickBot="1" x14ac:dyDescent="0.3">
      <c r="A172" s="88"/>
      <c r="B172" s="36" t="s">
        <v>235</v>
      </c>
      <c r="C172" s="37">
        <v>0</v>
      </c>
      <c r="D172" s="38" t="s">
        <v>236</v>
      </c>
      <c r="E172" s="32">
        <v>24</v>
      </c>
      <c r="F172" s="88"/>
      <c r="G172" s="290" t="s">
        <v>237</v>
      </c>
      <c r="H172" s="291"/>
      <c r="I172" s="35">
        <f>IF(E172=0,0,12-(MOD(I170,12)))</f>
        <v>12</v>
      </c>
      <c r="J172" s="288" t="s">
        <v>238</v>
      </c>
      <c r="K172" s="289"/>
      <c r="L172" s="39">
        <f>I176-I170</f>
        <v>756</v>
      </c>
      <c r="M172" s="195">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6"/>
    </row>
    <row r="173" spans="1:53" ht="16.5" customHeight="1" thickTop="1" thickBot="1" x14ac:dyDescent="0.3">
      <c r="A173" s="88"/>
      <c r="B173" s="40" t="s">
        <v>240</v>
      </c>
      <c r="C173" s="30">
        <v>0</v>
      </c>
      <c r="D173" s="41" t="s">
        <v>241</v>
      </c>
      <c r="E173" s="42">
        <v>12</v>
      </c>
      <c r="F173" s="88"/>
      <c r="G173" s="320" t="s">
        <v>242</v>
      </c>
      <c r="H173" s="43" t="s">
        <v>243</v>
      </c>
      <c r="I173" s="35">
        <f>IF(E173&lt;&gt;0,1,0)</f>
        <v>1</v>
      </c>
      <c r="J173" s="290" t="s">
        <v>244</v>
      </c>
      <c r="K173" s="291"/>
      <c r="L173" s="44">
        <f>'Cable Calculator'!X3</f>
        <v>447</v>
      </c>
      <c r="M173" s="195">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6"/>
    </row>
    <row r="174" spans="1:53" ht="16.5" thickTop="1" thickBot="1" x14ac:dyDescent="0.3">
      <c r="A174" s="88"/>
      <c r="B174" s="29" t="s">
        <v>246</v>
      </c>
      <c r="C174" s="37">
        <v>0</v>
      </c>
      <c r="D174" s="41" t="s">
        <v>247</v>
      </c>
      <c r="E174" s="42">
        <v>757</v>
      </c>
      <c r="F174" s="88"/>
      <c r="G174" s="321"/>
      <c r="H174" s="47" t="s">
        <v>248</v>
      </c>
      <c r="I174" s="35">
        <f>IF(E173&lt;&gt;0,E173,0)</f>
        <v>12</v>
      </c>
      <c r="J174" s="193"/>
      <c r="K174" s="194"/>
      <c r="L174" s="48"/>
      <c r="M174" s="195">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6"/>
    </row>
    <row r="175" spans="1:53" ht="16.5" customHeight="1" thickTop="1" thickBot="1" x14ac:dyDescent="0.3">
      <c r="A175" s="88"/>
      <c r="B175" s="36" t="s">
        <v>249</v>
      </c>
      <c r="C175" s="30">
        <v>0</v>
      </c>
      <c r="D175" s="49" t="s">
        <v>250</v>
      </c>
      <c r="E175" s="50">
        <f>E172/12</f>
        <v>2</v>
      </c>
      <c r="F175" s="88"/>
      <c r="G175" s="320" t="s">
        <v>251</v>
      </c>
      <c r="H175" s="51" t="s">
        <v>252</v>
      </c>
      <c r="I175" s="112">
        <f>E174</f>
        <v>757</v>
      </c>
      <c r="J175" s="322" t="s">
        <v>253</v>
      </c>
      <c r="K175" s="323"/>
      <c r="L175" s="324"/>
      <c r="M175" s="52" t="s">
        <v>254</v>
      </c>
      <c r="N175" s="106"/>
      <c r="O175" s="106"/>
      <c r="P175" s="191"/>
      <c r="Q175" s="191"/>
      <c r="R175" s="191"/>
      <c r="S175" s="191"/>
      <c r="T175" s="191"/>
      <c r="U175" s="191"/>
      <c r="V175" s="191"/>
      <c r="W175" s="53">
        <f>SUM(P175:U175)</f>
        <v>0</v>
      </c>
      <c r="X175" s="54"/>
      <c r="Y175" s="25"/>
      <c r="Z175" s="45">
        <v>3</v>
      </c>
      <c r="AA175" s="46">
        <v>25</v>
      </c>
      <c r="AB175" s="46">
        <v>36</v>
      </c>
      <c r="AC175" s="25"/>
      <c r="AD175" s="25"/>
      <c r="BA175" s="226"/>
    </row>
    <row r="176" spans="1:53" ht="16.5" thickTop="1" thickBot="1" x14ac:dyDescent="0.3">
      <c r="A176" s="88"/>
      <c r="B176" s="36" t="s">
        <v>255</v>
      </c>
      <c r="C176" s="30">
        <v>0</v>
      </c>
      <c r="D176" s="31" t="s">
        <v>256</v>
      </c>
      <c r="E176" s="101" t="str">
        <f>IF('Cable Calculator'!X5="","",'Cable Calculator'!X5)</f>
        <v>Y</v>
      </c>
      <c r="F176" s="88"/>
      <c r="G176" s="321"/>
      <c r="H176" s="47" t="s">
        <v>257</v>
      </c>
      <c r="I176" s="35">
        <f>IF(E174="","0",IF(AND(E171="EUC",E172=432), I175+(203-E173),IF(E174=0,0,(E174+(E172-E173)-1))))</f>
        <v>768</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6"/>
    </row>
    <row r="177" spans="1:53" ht="16.5" thickTop="1" thickBot="1" x14ac:dyDescent="0.3">
      <c r="A177" s="88"/>
      <c r="B177" s="55" t="s">
        <v>258</v>
      </c>
      <c r="C177" s="56">
        <f>SUM(C171:C176)+I170</f>
        <v>12</v>
      </c>
      <c r="D177" s="31" t="s">
        <v>259</v>
      </c>
      <c r="E177" s="101" t="str">
        <f>IF(AS171="Y","DBL",IF(AS172="Y","TRPL",IF(AS173="Y","QUAD","")))</f>
        <v/>
      </c>
      <c r="F177" s="88"/>
      <c r="G177" s="191"/>
      <c r="H177" s="57"/>
      <c r="I177" s="191"/>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6"/>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5"/>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7"/>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7"/>
    </row>
    <row r="181" spans="1:53" ht="15.75" thickBot="1" x14ac:dyDescent="0.3">
      <c r="A181" s="88"/>
      <c r="B181" s="66" t="s">
        <v>276</v>
      </c>
      <c r="C181" s="67" t="s">
        <v>484</v>
      </c>
      <c r="D181" s="102" t="s">
        <v>798</v>
      </c>
      <c r="E181" s="32">
        <v>4</v>
      </c>
      <c r="F181" s="32" t="s">
        <v>488</v>
      </c>
      <c r="G181" s="68" t="s">
        <v>277</v>
      </c>
      <c r="H181" s="69">
        <f>IF(I181=0,0,I181-(E181-1))</f>
        <v>765</v>
      </c>
      <c r="I181" s="70">
        <f>IF(E181=0,0,I176)</f>
        <v>768</v>
      </c>
      <c r="J181" s="71" t="s">
        <v>278</v>
      </c>
      <c r="K181" s="32"/>
      <c r="L181" s="232"/>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765-768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8">
        <f>MOD(E181,12)</f>
        <v>4</v>
      </c>
    </row>
    <row r="182" spans="1:53" ht="15.75" thickBot="1" x14ac:dyDescent="0.3">
      <c r="A182" s="88"/>
      <c r="B182" s="66" t="s">
        <v>279</v>
      </c>
      <c r="C182" s="67" t="s">
        <v>484</v>
      </c>
      <c r="D182" s="102" t="s">
        <v>771</v>
      </c>
      <c r="E182" s="32">
        <v>4</v>
      </c>
      <c r="F182" s="32" t="s">
        <v>488</v>
      </c>
      <c r="G182" s="68" t="s">
        <v>277</v>
      </c>
      <c r="H182" s="69">
        <f t="shared" ref="H182:H205" si="77">IF(E182=0,0,I182-(E182-1))</f>
        <v>761</v>
      </c>
      <c r="I182" s="70">
        <f t="shared" ref="I182:I205" si="78">IF(E182=0,0,H181-1)</f>
        <v>764</v>
      </c>
      <c r="J182" s="73" t="str">
        <f>IF(C182="","--",IF(AND(C182&lt;&gt;"FST",C182&lt;&gt;"TCF",BA181&lt;&gt;0),BA181,"--"))</f>
        <v>--</v>
      </c>
      <c r="K182" s="32"/>
      <c r="L182" s="232"/>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761-764</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8">
        <f>MOD(SUM(E181:E182),12)</f>
        <v>8</v>
      </c>
    </row>
    <row r="183" spans="1:53" ht="15.75" thickBot="1" x14ac:dyDescent="0.3">
      <c r="A183" s="88"/>
      <c r="B183" s="74" t="s">
        <v>280</v>
      </c>
      <c r="C183" s="67" t="s">
        <v>484</v>
      </c>
      <c r="D183" s="102" t="s">
        <v>799</v>
      </c>
      <c r="E183" s="32">
        <v>4</v>
      </c>
      <c r="F183" s="32" t="s">
        <v>488</v>
      </c>
      <c r="G183" s="75" t="s">
        <v>277</v>
      </c>
      <c r="H183" s="69">
        <f t="shared" si="77"/>
        <v>757</v>
      </c>
      <c r="I183" s="70">
        <f t="shared" si="78"/>
        <v>760</v>
      </c>
      <c r="J183" s="73" t="str">
        <f t="shared" ref="J183:J205" si="79">IF(C183="","--",IF(AND(C183&lt;&gt;"FST",C183&lt;&gt;"TCF",BA182&lt;&gt;0),BA182,"--"))</f>
        <v>--</v>
      </c>
      <c r="K183" s="32"/>
      <c r="L183" s="232"/>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757-760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8">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2"/>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8">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2"/>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8">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2"/>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8">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2"/>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8">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2"/>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8">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2"/>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8">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2"/>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8">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2"/>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8">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2"/>
      <c r="M192" s="277"/>
      <c r="N192" s="277"/>
      <c r="O192" s="277"/>
      <c r="P192" s="277"/>
      <c r="Q192" s="277"/>
      <c r="R192" s="277"/>
      <c r="S192" s="277"/>
      <c r="T192" s="277"/>
      <c r="U192" s="278"/>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8">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2"/>
      <c r="M193" s="277"/>
      <c r="N193" s="277"/>
      <c r="O193" s="277"/>
      <c r="P193" s="277"/>
      <c r="Q193" s="277"/>
      <c r="R193" s="277"/>
      <c r="S193" s="277"/>
      <c r="T193" s="277"/>
      <c r="U193" s="278"/>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8">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2"/>
      <c r="M194" s="277"/>
      <c r="N194" s="277"/>
      <c r="O194" s="277"/>
      <c r="P194" s="277"/>
      <c r="Q194" s="277"/>
      <c r="R194" s="277"/>
      <c r="S194" s="277"/>
      <c r="T194" s="277"/>
      <c r="U194" s="278"/>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8">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2"/>
      <c r="M195" s="277"/>
      <c r="N195" s="277"/>
      <c r="O195" s="277"/>
      <c r="P195" s="277"/>
      <c r="Q195" s="277"/>
      <c r="R195" s="277"/>
      <c r="S195" s="277"/>
      <c r="T195" s="277"/>
      <c r="U195" s="278"/>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8">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2"/>
      <c r="M196" s="277"/>
      <c r="N196" s="277"/>
      <c r="O196" s="277"/>
      <c r="P196" s="277"/>
      <c r="Q196" s="277"/>
      <c r="R196" s="277"/>
      <c r="S196" s="277"/>
      <c r="T196" s="277"/>
      <c r="U196" s="278"/>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8">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2"/>
      <c r="M197" s="277"/>
      <c r="N197" s="277"/>
      <c r="O197" s="277"/>
      <c r="P197" s="277"/>
      <c r="Q197" s="277"/>
      <c r="R197" s="277"/>
      <c r="S197" s="277"/>
      <c r="T197" s="277"/>
      <c r="U197" s="278"/>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8">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2"/>
      <c r="M198" s="277"/>
      <c r="N198" s="277"/>
      <c r="O198" s="277"/>
      <c r="P198" s="277"/>
      <c r="Q198" s="277"/>
      <c r="R198" s="277"/>
      <c r="S198" s="277"/>
      <c r="T198" s="277"/>
      <c r="U198" s="278"/>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8">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2"/>
      <c r="M199" s="277"/>
      <c r="N199" s="277"/>
      <c r="O199" s="277"/>
      <c r="P199" s="277"/>
      <c r="Q199" s="277"/>
      <c r="R199" s="277"/>
      <c r="S199" s="277"/>
      <c r="T199" s="277"/>
      <c r="U199" s="278"/>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8">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2"/>
      <c r="M200" s="277"/>
      <c r="N200" s="277"/>
      <c r="O200" s="277"/>
      <c r="P200" s="277"/>
      <c r="Q200" s="277"/>
      <c r="R200" s="277"/>
      <c r="S200" s="277"/>
      <c r="T200" s="277"/>
      <c r="U200" s="278"/>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8">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2"/>
      <c r="M201" s="277"/>
      <c r="N201" s="277"/>
      <c r="O201" s="277"/>
      <c r="P201" s="277"/>
      <c r="Q201" s="277"/>
      <c r="R201" s="277"/>
      <c r="S201" s="277"/>
      <c r="T201" s="277"/>
      <c r="U201" s="278"/>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8">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2"/>
      <c r="M202" s="277"/>
      <c r="N202" s="277"/>
      <c r="O202" s="277"/>
      <c r="P202" s="277"/>
      <c r="Q202" s="277"/>
      <c r="R202" s="277"/>
      <c r="S202" s="277"/>
      <c r="T202" s="277"/>
      <c r="U202" s="278"/>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8">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2"/>
      <c r="M203" s="277"/>
      <c r="N203" s="277"/>
      <c r="O203" s="277"/>
      <c r="P203" s="277"/>
      <c r="Q203" s="277"/>
      <c r="R203" s="277"/>
      <c r="S203" s="277"/>
      <c r="T203" s="277"/>
      <c r="U203" s="278"/>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8">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2"/>
      <c r="M204" s="277"/>
      <c r="N204" s="277"/>
      <c r="O204" s="277"/>
      <c r="P204" s="277"/>
      <c r="Q204" s="277"/>
      <c r="R204" s="277"/>
      <c r="S204" s="277"/>
      <c r="T204" s="277"/>
      <c r="U204" s="278"/>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8">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3"/>
      <c r="M205" s="277"/>
      <c r="N205" s="277"/>
      <c r="O205" s="277"/>
      <c r="P205" s="277"/>
      <c r="Q205" s="277"/>
      <c r="R205" s="277"/>
      <c r="S205" s="277"/>
      <c r="T205" s="277"/>
      <c r="U205" s="278"/>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7"/>
    </row>
    <row r="206" spans="1:53" ht="16.5" thickBot="1" x14ac:dyDescent="0.3">
      <c r="A206" s="88"/>
      <c r="B206" s="318" t="s">
        <v>313</v>
      </c>
      <c r="C206" s="319"/>
      <c r="D206" s="79"/>
      <c r="E206" s="80"/>
      <c r="F206" s="80"/>
      <c r="G206" s="81"/>
      <c r="H206" s="191"/>
      <c r="I206" s="191"/>
      <c r="J206" s="191"/>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7"/>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5"/>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5" t="s">
        <v>210</v>
      </c>
      <c r="N210" s="195" t="s">
        <v>211</v>
      </c>
      <c r="O210" s="195" t="s">
        <v>212</v>
      </c>
      <c r="P210" s="195" t="s">
        <v>213</v>
      </c>
      <c r="Q210" s="195" t="s">
        <v>214</v>
      </c>
      <c r="R210" s="195" t="s">
        <v>215</v>
      </c>
      <c r="S210" s="195" t="s">
        <v>216</v>
      </c>
      <c r="T210" s="195" t="s">
        <v>217</v>
      </c>
      <c r="U210" s="195" t="s">
        <v>218</v>
      </c>
      <c r="V210" s="195" t="s">
        <v>219</v>
      </c>
      <c r="W210" s="113" t="s">
        <v>220</v>
      </c>
      <c r="X210" s="195" t="s">
        <v>221</v>
      </c>
      <c r="Y210" s="25"/>
      <c r="Z210" s="25"/>
      <c r="AA210" s="25"/>
      <c r="AB210" s="25"/>
      <c r="AC210" s="25"/>
      <c r="AD210" s="25"/>
      <c r="BA210" s="225"/>
    </row>
    <row r="211" spans="1:53" ht="16.5" thickTop="1" thickBot="1" x14ac:dyDescent="0.3">
      <c r="A211" s="88"/>
      <c r="B211" s="311" t="s">
        <v>222</v>
      </c>
      <c r="C211" s="312"/>
      <c r="D211" s="313" t="s">
        <v>223</v>
      </c>
      <c r="E211" s="304"/>
      <c r="F211" s="88"/>
      <c r="G211" s="314" t="s">
        <v>224</v>
      </c>
      <c r="H211" s="315"/>
      <c r="I211" s="28">
        <f>SUM(E222:E246)</f>
        <v>276</v>
      </c>
      <c r="J211" s="316" t="s">
        <v>225</v>
      </c>
      <c r="K211" s="317"/>
      <c r="L211" s="304"/>
      <c r="M211" s="195">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5"/>
    </row>
    <row r="212" spans="1:53" ht="16.5" customHeight="1" thickTop="1" thickBot="1" x14ac:dyDescent="0.3">
      <c r="A212" s="88"/>
      <c r="B212" s="29" t="s">
        <v>228</v>
      </c>
      <c r="C212" s="30">
        <v>0</v>
      </c>
      <c r="D212" s="31" t="s">
        <v>229</v>
      </c>
      <c r="E212" s="66" t="str">
        <f>TEXT(IF('Cable Calculator'!AC7="","",'Cable Calculator'!AC7),)</f>
        <v/>
      </c>
      <c r="F212" s="88"/>
      <c r="G212" s="303" t="s">
        <v>230</v>
      </c>
      <c r="H212" s="304"/>
      <c r="I212" s="33">
        <f>E213-I211</f>
        <v>12</v>
      </c>
      <c r="J212" s="288" t="s">
        <v>231</v>
      </c>
      <c r="K212" s="289"/>
      <c r="L212" s="34">
        <f>I216</f>
        <v>433</v>
      </c>
      <c r="M212" s="195">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6"/>
    </row>
    <row r="213" spans="1:53" ht="16.5" thickTop="1" thickBot="1" x14ac:dyDescent="0.3">
      <c r="A213" s="88"/>
      <c r="B213" s="36" t="s">
        <v>235</v>
      </c>
      <c r="C213" s="37">
        <v>0</v>
      </c>
      <c r="D213" s="38" t="s">
        <v>236</v>
      </c>
      <c r="E213" s="32">
        <v>288</v>
      </c>
      <c r="F213" s="88"/>
      <c r="G213" s="290" t="s">
        <v>237</v>
      </c>
      <c r="H213" s="291"/>
      <c r="I213" s="35">
        <f>IF(E213=0,0,12-(MOD(I211,12)))</f>
        <v>12</v>
      </c>
      <c r="J213" s="288" t="s">
        <v>238</v>
      </c>
      <c r="K213" s="289"/>
      <c r="L213" s="39">
        <f>I217-I211</f>
        <v>432</v>
      </c>
      <c r="M213" s="195">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6"/>
    </row>
    <row r="214" spans="1:53" ht="16.5" customHeight="1" thickTop="1" thickBot="1" x14ac:dyDescent="0.3">
      <c r="A214" s="88"/>
      <c r="B214" s="40" t="s">
        <v>240</v>
      </c>
      <c r="C214" s="30">
        <v>0</v>
      </c>
      <c r="D214" s="41" t="s">
        <v>241</v>
      </c>
      <c r="E214" s="42">
        <v>12</v>
      </c>
      <c r="F214" s="88"/>
      <c r="G214" s="320" t="s">
        <v>242</v>
      </c>
      <c r="H214" s="43" t="s">
        <v>243</v>
      </c>
      <c r="I214" s="35">
        <f>IF(E214&lt;&gt;0,1,0)</f>
        <v>1</v>
      </c>
      <c r="J214" s="290" t="s">
        <v>244</v>
      </c>
      <c r="K214" s="291"/>
      <c r="L214" s="44">
        <f>'Cable Calculator'!AC3</f>
        <v>405</v>
      </c>
      <c r="M214" s="195">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6"/>
    </row>
    <row r="215" spans="1:53" ht="16.5" thickTop="1" thickBot="1" x14ac:dyDescent="0.3">
      <c r="A215" s="88"/>
      <c r="B215" s="29" t="s">
        <v>246</v>
      </c>
      <c r="C215" s="37">
        <v>0</v>
      </c>
      <c r="D215" s="41" t="s">
        <v>247</v>
      </c>
      <c r="E215" s="42">
        <v>433</v>
      </c>
      <c r="F215" s="88"/>
      <c r="G215" s="321"/>
      <c r="H215" s="47" t="s">
        <v>248</v>
      </c>
      <c r="I215" s="35">
        <f>IF(E214&lt;&gt;0,E214,0)</f>
        <v>12</v>
      </c>
      <c r="J215" s="193"/>
      <c r="K215" s="194"/>
      <c r="L215" s="48"/>
      <c r="M215" s="195">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6"/>
    </row>
    <row r="216" spans="1:53" ht="16.5" customHeight="1" thickTop="1" thickBot="1" x14ac:dyDescent="0.3">
      <c r="A216" s="88"/>
      <c r="B216" s="36" t="s">
        <v>249</v>
      </c>
      <c r="C216" s="30">
        <v>0</v>
      </c>
      <c r="D216" s="49" t="s">
        <v>250</v>
      </c>
      <c r="E216" s="50">
        <f>E213/12</f>
        <v>24</v>
      </c>
      <c r="F216" s="88"/>
      <c r="G216" s="320" t="s">
        <v>251</v>
      </c>
      <c r="H216" s="51" t="s">
        <v>252</v>
      </c>
      <c r="I216" s="112">
        <f>E215</f>
        <v>433</v>
      </c>
      <c r="J216" s="322" t="s">
        <v>253</v>
      </c>
      <c r="K216" s="323"/>
      <c r="L216" s="324"/>
      <c r="M216" s="52" t="s">
        <v>254</v>
      </c>
      <c r="N216" s="106"/>
      <c r="O216" s="106"/>
      <c r="P216" s="191"/>
      <c r="Q216" s="191"/>
      <c r="R216" s="191"/>
      <c r="S216" s="191"/>
      <c r="T216" s="191"/>
      <c r="U216" s="191"/>
      <c r="V216" s="191"/>
      <c r="W216" s="53">
        <f>SUM(P216:U216)</f>
        <v>0</v>
      </c>
      <c r="X216" s="54"/>
      <c r="Y216" s="25"/>
      <c r="Z216" s="45">
        <v>3</v>
      </c>
      <c r="AA216" s="46">
        <v>25</v>
      </c>
      <c r="AB216" s="46">
        <v>36</v>
      </c>
      <c r="AC216" s="25"/>
      <c r="AD216" s="25"/>
      <c r="BA216" s="226"/>
    </row>
    <row r="217" spans="1:53" ht="16.5" thickTop="1" thickBot="1" x14ac:dyDescent="0.3">
      <c r="A217" s="88"/>
      <c r="B217" s="36" t="s">
        <v>255</v>
      </c>
      <c r="C217" s="30">
        <v>0</v>
      </c>
      <c r="D217" s="31" t="s">
        <v>256</v>
      </c>
      <c r="E217" s="101" t="str">
        <f>IF('Cable Calculator'!AC5="","",'Cable Calculator'!AC5)</f>
        <v>N</v>
      </c>
      <c r="F217" s="88"/>
      <c r="G217" s="321"/>
      <c r="H217" s="47" t="s">
        <v>257</v>
      </c>
      <c r="I217" s="35">
        <f>IF(E215="","0",IF(AND(E212="EUC",E213=432), I216+(203-E214),IF(E215=0,0,(E215+(E213-E214)-1))))</f>
        <v>708</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6"/>
    </row>
    <row r="218" spans="1:53" ht="16.5" thickTop="1" thickBot="1" x14ac:dyDescent="0.3">
      <c r="A218" s="88"/>
      <c r="B218" s="55" t="s">
        <v>258</v>
      </c>
      <c r="C218" s="56">
        <f>SUM(C212:C217)+I211</f>
        <v>276</v>
      </c>
      <c r="D218" s="31" t="s">
        <v>259</v>
      </c>
      <c r="E218" s="101" t="str">
        <f>IF(AS212="Y","DBL",IF(AS213="Y","TRPL",IF(AS214="Y","QUAD","")))</f>
        <v/>
      </c>
      <c r="F218" s="88"/>
      <c r="G218" s="191"/>
      <c r="H218" s="57"/>
      <c r="I218" s="191"/>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6"/>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5"/>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7"/>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7"/>
    </row>
    <row r="222" spans="1:53" ht="15.75" thickBot="1" x14ac:dyDescent="0.3">
      <c r="A222" s="88"/>
      <c r="B222" s="66" t="s">
        <v>276</v>
      </c>
      <c r="C222" s="67" t="s">
        <v>502</v>
      </c>
      <c r="D222" s="102"/>
      <c r="E222" s="32">
        <v>132</v>
      </c>
      <c r="F222" s="32"/>
      <c r="G222" s="68" t="s">
        <v>277</v>
      </c>
      <c r="H222" s="69">
        <f>IF(I222=0,0,I222-(E222-1))</f>
        <v>577</v>
      </c>
      <c r="I222" s="70">
        <f>IF(E222=0,0,I217)</f>
        <v>708</v>
      </c>
      <c r="J222" s="71" t="s">
        <v>278</v>
      </c>
      <c r="K222" s="32"/>
      <c r="L222" s="232"/>
      <c r="M222" s="277" t="s">
        <v>409</v>
      </c>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577-708</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8">
        <f>MOD(E222,12)</f>
        <v>0</v>
      </c>
    </row>
    <row r="223" spans="1:53" ht="15.75" thickBot="1" x14ac:dyDescent="0.3">
      <c r="A223" s="88"/>
      <c r="B223" s="66" t="s">
        <v>279</v>
      </c>
      <c r="C223" s="67" t="s">
        <v>502</v>
      </c>
      <c r="D223" s="102"/>
      <c r="E223" s="32">
        <v>144</v>
      </c>
      <c r="F223" s="32"/>
      <c r="G223" s="68" t="s">
        <v>277</v>
      </c>
      <c r="H223" s="69">
        <f t="shared" ref="H223:H246" si="94">IF(E223=0,0,I223-(E223-1))</f>
        <v>433</v>
      </c>
      <c r="I223" s="70">
        <f t="shared" ref="I223:I246" si="95">IF(E223=0,0,H222-1)</f>
        <v>576</v>
      </c>
      <c r="J223" s="73" t="str">
        <f>IF(C223="","--",IF(AND(C223&lt;&gt;"FST",C223&lt;&gt;"TCF",BA222&lt;&gt;0),BA222,"--"))</f>
        <v>--</v>
      </c>
      <c r="K223" s="32"/>
      <c r="L223" s="232"/>
      <c r="M223" s="277" t="s">
        <v>410</v>
      </c>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433-576</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8">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2"/>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8">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2"/>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8">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2"/>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8">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2"/>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8">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2"/>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8">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2"/>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8">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2"/>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8">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2"/>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8">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2"/>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8">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2"/>
      <c r="M233" s="277"/>
      <c r="N233" s="277"/>
      <c r="O233" s="277"/>
      <c r="P233" s="277"/>
      <c r="Q233" s="277"/>
      <c r="R233" s="277"/>
      <c r="S233" s="277"/>
      <c r="T233" s="277"/>
      <c r="U233" s="278"/>
      <c r="V233" s="103"/>
      <c r="W233" s="84">
        <f>Y233+1</f>
        <v>277</v>
      </c>
      <c r="X233" s="84"/>
      <c r="Y233" s="78">
        <f>SUM(E222:E233)</f>
        <v>276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8">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2"/>
      <c r="M234" s="277"/>
      <c r="N234" s="277"/>
      <c r="O234" s="277"/>
      <c r="P234" s="277"/>
      <c r="Q234" s="277"/>
      <c r="R234" s="277"/>
      <c r="S234" s="277"/>
      <c r="T234" s="277"/>
      <c r="U234" s="278"/>
      <c r="V234" s="103"/>
      <c r="W234" s="84">
        <f>Y234+1</f>
        <v>277</v>
      </c>
      <c r="X234" s="84"/>
      <c r="Y234" s="78">
        <f>SUM(E222:E234)</f>
        <v>276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8">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2"/>
      <c r="M235" s="277"/>
      <c r="N235" s="277"/>
      <c r="O235" s="277"/>
      <c r="P235" s="277"/>
      <c r="Q235" s="277"/>
      <c r="R235" s="277"/>
      <c r="S235" s="277"/>
      <c r="T235" s="277"/>
      <c r="U235" s="278"/>
      <c r="V235" s="103"/>
      <c r="W235" s="84">
        <f>Y235+1</f>
        <v>277</v>
      </c>
      <c r="X235" s="84"/>
      <c r="Y235" s="78">
        <f>SUM(E222:E235)</f>
        <v>276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8">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2"/>
      <c r="M236" s="277"/>
      <c r="N236" s="277"/>
      <c r="O236" s="277"/>
      <c r="P236" s="277"/>
      <c r="Q236" s="277"/>
      <c r="R236" s="277"/>
      <c r="S236" s="277"/>
      <c r="T236" s="277"/>
      <c r="U236" s="278"/>
      <c r="V236" s="103"/>
      <c r="W236" s="84">
        <f>Y236+1</f>
        <v>277</v>
      </c>
      <c r="X236" s="84"/>
      <c r="Y236" s="78">
        <f>SUM(E222:E236)</f>
        <v>276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8">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2"/>
      <c r="M237" s="277"/>
      <c r="N237" s="277"/>
      <c r="O237" s="277"/>
      <c r="P237" s="277"/>
      <c r="Q237" s="277"/>
      <c r="R237" s="277"/>
      <c r="S237" s="277"/>
      <c r="T237" s="277"/>
      <c r="U237" s="278"/>
      <c r="V237" s="103"/>
      <c r="W237" s="84">
        <f t="shared" ref="W237:W245" si="101">Y237+1</f>
        <v>277</v>
      </c>
      <c r="X237" s="84"/>
      <c r="Y237" s="78">
        <f>SUM(E222:E237)</f>
        <v>276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8">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2"/>
      <c r="M238" s="277"/>
      <c r="N238" s="277"/>
      <c r="O238" s="277"/>
      <c r="P238" s="277"/>
      <c r="Q238" s="277"/>
      <c r="R238" s="277"/>
      <c r="S238" s="277"/>
      <c r="T238" s="277"/>
      <c r="U238" s="278"/>
      <c r="V238" s="103"/>
      <c r="W238" s="84">
        <f t="shared" si="101"/>
        <v>277</v>
      </c>
      <c r="X238" s="84"/>
      <c r="Y238" s="78">
        <f>SUM(E222:E238)</f>
        <v>276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8">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2"/>
      <c r="M239" s="277"/>
      <c r="N239" s="277"/>
      <c r="O239" s="277"/>
      <c r="P239" s="277"/>
      <c r="Q239" s="277"/>
      <c r="R239" s="277"/>
      <c r="S239" s="277"/>
      <c r="T239" s="277"/>
      <c r="U239" s="278"/>
      <c r="V239" s="103"/>
      <c r="W239" s="84">
        <f t="shared" si="101"/>
        <v>277</v>
      </c>
      <c r="X239" s="84"/>
      <c r="Y239" s="78">
        <f>SUM(E222:E239)</f>
        <v>276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8">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2"/>
      <c r="M240" s="277"/>
      <c r="N240" s="277"/>
      <c r="O240" s="277"/>
      <c r="P240" s="277"/>
      <c r="Q240" s="277"/>
      <c r="R240" s="277"/>
      <c r="S240" s="277"/>
      <c r="T240" s="277"/>
      <c r="U240" s="278"/>
      <c r="V240" s="103"/>
      <c r="W240" s="84">
        <f t="shared" si="101"/>
        <v>277</v>
      </c>
      <c r="X240" s="84"/>
      <c r="Y240" s="78">
        <f>SUM(E222:E240)</f>
        <v>276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8">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2"/>
      <c r="M241" s="277"/>
      <c r="N241" s="277"/>
      <c r="O241" s="277"/>
      <c r="P241" s="277"/>
      <c r="Q241" s="277"/>
      <c r="R241" s="277"/>
      <c r="S241" s="277"/>
      <c r="T241" s="277"/>
      <c r="U241" s="278"/>
      <c r="V241" s="103"/>
      <c r="W241" s="84">
        <f t="shared" si="101"/>
        <v>277</v>
      </c>
      <c r="X241" s="84"/>
      <c r="Y241" s="78">
        <f>SUM(E222:E241)</f>
        <v>276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8">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2"/>
      <c r="M242" s="277"/>
      <c r="N242" s="277"/>
      <c r="O242" s="277"/>
      <c r="P242" s="277"/>
      <c r="Q242" s="277"/>
      <c r="R242" s="277"/>
      <c r="S242" s="277"/>
      <c r="T242" s="277"/>
      <c r="U242" s="278"/>
      <c r="V242" s="103"/>
      <c r="W242" s="84">
        <f t="shared" si="101"/>
        <v>277</v>
      </c>
      <c r="X242" s="84"/>
      <c r="Y242" s="78">
        <f>SUM(E222:E242)</f>
        <v>276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8">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2"/>
      <c r="M243" s="277"/>
      <c r="N243" s="277"/>
      <c r="O243" s="277"/>
      <c r="P243" s="277"/>
      <c r="Q243" s="277"/>
      <c r="R243" s="277"/>
      <c r="S243" s="277"/>
      <c r="T243" s="277"/>
      <c r="U243" s="278"/>
      <c r="V243" s="103"/>
      <c r="W243" s="84">
        <f t="shared" si="101"/>
        <v>277</v>
      </c>
      <c r="X243" s="84"/>
      <c r="Y243" s="78">
        <f>SUM(E222:E243)</f>
        <v>276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8">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2"/>
      <c r="M244" s="277"/>
      <c r="N244" s="277"/>
      <c r="O244" s="277"/>
      <c r="P244" s="277"/>
      <c r="Q244" s="277"/>
      <c r="R244" s="277"/>
      <c r="S244" s="277"/>
      <c r="T244" s="277"/>
      <c r="U244" s="278"/>
      <c r="V244" s="103"/>
      <c r="W244" s="84">
        <f t="shared" si="101"/>
        <v>277</v>
      </c>
      <c r="X244" s="84"/>
      <c r="Y244" s="78">
        <f>SUM(E222:E244)</f>
        <v>276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8">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2"/>
      <c r="M245" s="277"/>
      <c r="N245" s="277"/>
      <c r="O245" s="277"/>
      <c r="P245" s="277"/>
      <c r="Q245" s="277"/>
      <c r="R245" s="277"/>
      <c r="S245" s="277"/>
      <c r="T245" s="277"/>
      <c r="U245" s="278"/>
      <c r="V245" s="103"/>
      <c r="W245" s="84">
        <f t="shared" si="101"/>
        <v>277</v>
      </c>
      <c r="X245" s="84"/>
      <c r="Y245" s="78">
        <f>SUM(E222:E245)</f>
        <v>276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8">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3"/>
      <c r="M246" s="277"/>
      <c r="N246" s="277"/>
      <c r="O246" s="277"/>
      <c r="P246" s="277"/>
      <c r="Q246" s="277"/>
      <c r="R246" s="277"/>
      <c r="S246" s="277"/>
      <c r="T246" s="277"/>
      <c r="U246" s="278"/>
      <c r="V246" s="103"/>
      <c r="W246" s="72"/>
      <c r="X246" s="72"/>
      <c r="Y246" s="78">
        <f>SUM(E222:E246)</f>
        <v>276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7"/>
    </row>
    <row r="247" spans="1:53" ht="16.5" thickBot="1" x14ac:dyDescent="0.3">
      <c r="A247" s="88"/>
      <c r="B247" s="318" t="s">
        <v>315</v>
      </c>
      <c r="C247" s="319"/>
      <c r="D247" s="79"/>
      <c r="E247" s="80"/>
      <c r="F247" s="80"/>
      <c r="G247" s="81"/>
      <c r="H247" s="191"/>
      <c r="I247" s="191"/>
      <c r="J247" s="191"/>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7"/>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5"/>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5" t="s">
        <v>210</v>
      </c>
      <c r="N251" s="195" t="s">
        <v>211</v>
      </c>
      <c r="O251" s="195" t="s">
        <v>212</v>
      </c>
      <c r="P251" s="195" t="s">
        <v>213</v>
      </c>
      <c r="Q251" s="195" t="s">
        <v>214</v>
      </c>
      <c r="R251" s="195" t="s">
        <v>215</v>
      </c>
      <c r="S251" s="195" t="s">
        <v>216</v>
      </c>
      <c r="T251" s="195" t="s">
        <v>217</v>
      </c>
      <c r="U251" s="195" t="s">
        <v>218</v>
      </c>
      <c r="V251" s="195" t="s">
        <v>219</v>
      </c>
      <c r="W251" s="113" t="s">
        <v>220</v>
      </c>
      <c r="X251" s="195" t="s">
        <v>221</v>
      </c>
      <c r="Y251" s="25"/>
      <c r="Z251" s="25"/>
      <c r="AA251" s="25"/>
      <c r="AB251" s="25"/>
      <c r="AC251" s="25"/>
      <c r="AD251" s="25"/>
      <c r="BA251" s="225"/>
    </row>
    <row r="252" spans="1:53" ht="16.5" thickTop="1" thickBot="1" x14ac:dyDescent="0.3">
      <c r="A252" s="88"/>
      <c r="B252" s="311" t="s">
        <v>222</v>
      </c>
      <c r="C252" s="312"/>
      <c r="D252" s="313" t="s">
        <v>223</v>
      </c>
      <c r="E252" s="304"/>
      <c r="F252" s="88"/>
      <c r="G252" s="314" t="s">
        <v>224</v>
      </c>
      <c r="H252" s="315"/>
      <c r="I252" s="28">
        <f>SUM(E263:E287)</f>
        <v>132</v>
      </c>
      <c r="J252" s="316" t="s">
        <v>225</v>
      </c>
      <c r="K252" s="317"/>
      <c r="L252" s="304"/>
      <c r="M252" s="195">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5"/>
    </row>
    <row r="253" spans="1:53" ht="16.5" customHeight="1" thickTop="1" thickBot="1" x14ac:dyDescent="0.3">
      <c r="A253" s="88"/>
      <c r="B253" s="29" t="s">
        <v>228</v>
      </c>
      <c r="C253" s="30">
        <v>0</v>
      </c>
      <c r="D253" s="31" t="s">
        <v>229</v>
      </c>
      <c r="E253" s="66" t="str">
        <f>TEXT(IF('Cable Calculator'!AH7="","",'Cable Calculator'!AH7),)</f>
        <v>EUC</v>
      </c>
      <c r="F253" s="88"/>
      <c r="G253" s="303" t="s">
        <v>230</v>
      </c>
      <c r="H253" s="304"/>
      <c r="I253" s="33">
        <f>E254-I252</f>
        <v>12</v>
      </c>
      <c r="J253" s="288" t="s">
        <v>231</v>
      </c>
      <c r="K253" s="289"/>
      <c r="L253" s="34">
        <f>I257</f>
        <v>577</v>
      </c>
      <c r="M253" s="195">
        <v>4</v>
      </c>
      <c r="N253" s="35">
        <f>SUM(AI253,AI264)</f>
        <v>0</v>
      </c>
      <c r="O253" s="35">
        <v>0</v>
      </c>
      <c r="P253" s="35">
        <f>SUM(AJ253,AJ264)</f>
        <v>0</v>
      </c>
      <c r="Q253" s="35">
        <v>0</v>
      </c>
      <c r="R253" s="35">
        <f>COUNTIFS($E263:$E287,"4",$F263:$F287,"Pole",$C263:$C287,"FST")</f>
        <v>0</v>
      </c>
      <c r="S253" s="35">
        <f>SUM(AL253,AK264)</f>
        <v>0</v>
      </c>
      <c r="T253" s="35">
        <v>0</v>
      </c>
      <c r="U253" s="35">
        <f>SUM(AK253,AL264)</f>
        <v>1</v>
      </c>
      <c r="V253" s="35">
        <v>0</v>
      </c>
      <c r="W253" s="34">
        <f>COUNTIFS($E263:$E287,"4",$F263:$F287,"HH",$C263:$C287,"FST")</f>
        <v>1</v>
      </c>
      <c r="X253" s="35">
        <f>COUNTIFS($E263:$E287,"4",$F263:$F287,"Ped",$C263:$C287,"FST")</f>
        <v>0</v>
      </c>
      <c r="Y253" s="25"/>
      <c r="Z253" s="297" t="s">
        <v>232</v>
      </c>
      <c r="AA253" s="299" t="s">
        <v>233</v>
      </c>
      <c r="AB253" s="300"/>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6"/>
    </row>
    <row r="254" spans="1:53" ht="16.5" thickTop="1" thickBot="1" x14ac:dyDescent="0.3">
      <c r="A254" s="88"/>
      <c r="B254" s="36" t="s">
        <v>235</v>
      </c>
      <c r="C254" s="37">
        <v>0</v>
      </c>
      <c r="D254" s="38" t="s">
        <v>236</v>
      </c>
      <c r="E254" s="32">
        <v>144</v>
      </c>
      <c r="F254" s="88"/>
      <c r="G254" s="290" t="s">
        <v>237</v>
      </c>
      <c r="H254" s="291"/>
      <c r="I254" s="35">
        <f>IF(E254=0,0,12-(MOD(I252,12)))</f>
        <v>12</v>
      </c>
      <c r="J254" s="288" t="s">
        <v>238</v>
      </c>
      <c r="K254" s="289"/>
      <c r="L254" s="39">
        <f>I258-I252</f>
        <v>576</v>
      </c>
      <c r="M254" s="195">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6"/>
    </row>
    <row r="255" spans="1:53" ht="16.5" customHeight="1" thickTop="1" thickBot="1" x14ac:dyDescent="0.3">
      <c r="A255" s="88"/>
      <c r="B255" s="40" t="s">
        <v>240</v>
      </c>
      <c r="C255" s="30">
        <v>0</v>
      </c>
      <c r="D255" s="41" t="s">
        <v>241</v>
      </c>
      <c r="E255" s="42">
        <v>12</v>
      </c>
      <c r="F255" s="88"/>
      <c r="G255" s="320" t="s">
        <v>242</v>
      </c>
      <c r="H255" s="43" t="s">
        <v>243</v>
      </c>
      <c r="I255" s="35">
        <f>IF(E255&lt;&gt;0,1,0)</f>
        <v>1</v>
      </c>
      <c r="J255" s="290" t="s">
        <v>244</v>
      </c>
      <c r="K255" s="291"/>
      <c r="L255" s="44">
        <f>'Cable Calculator'!AH3</f>
        <v>427</v>
      </c>
      <c r="M255" s="195">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1</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6"/>
    </row>
    <row r="256" spans="1:53" ht="16.5" thickTop="1" thickBot="1" x14ac:dyDescent="0.3">
      <c r="A256" s="88"/>
      <c r="B256" s="29" t="s">
        <v>246</v>
      </c>
      <c r="C256" s="37">
        <v>0</v>
      </c>
      <c r="D256" s="41" t="s">
        <v>247</v>
      </c>
      <c r="E256" s="42">
        <v>577</v>
      </c>
      <c r="F256" s="88"/>
      <c r="G256" s="321"/>
      <c r="H256" s="47" t="s">
        <v>248</v>
      </c>
      <c r="I256" s="35">
        <f>IF(E255&lt;&gt;0,E255,0)</f>
        <v>12</v>
      </c>
      <c r="J256" s="193"/>
      <c r="K256" s="194"/>
      <c r="L256" s="48"/>
      <c r="M256" s="195">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6"/>
    </row>
    <row r="257" spans="1:53" ht="16.5" customHeight="1" thickTop="1" thickBot="1" x14ac:dyDescent="0.3">
      <c r="A257" s="88"/>
      <c r="B257" s="36" t="s">
        <v>249</v>
      </c>
      <c r="C257" s="30">
        <v>0</v>
      </c>
      <c r="D257" s="49" t="s">
        <v>250</v>
      </c>
      <c r="E257" s="50">
        <f>E254/12</f>
        <v>12</v>
      </c>
      <c r="F257" s="88"/>
      <c r="G257" s="320" t="s">
        <v>251</v>
      </c>
      <c r="H257" s="51" t="s">
        <v>252</v>
      </c>
      <c r="I257" s="112">
        <f>E256</f>
        <v>577</v>
      </c>
      <c r="J257" s="322" t="s">
        <v>253</v>
      </c>
      <c r="K257" s="323"/>
      <c r="L257" s="324"/>
      <c r="M257" s="52" t="s">
        <v>254</v>
      </c>
      <c r="N257" s="106"/>
      <c r="O257" s="106"/>
      <c r="P257" s="191"/>
      <c r="Q257" s="191"/>
      <c r="R257" s="191"/>
      <c r="S257" s="191"/>
      <c r="T257" s="191"/>
      <c r="U257" s="191"/>
      <c r="V257" s="191"/>
      <c r="W257" s="53">
        <f>SUM(P257:U257)</f>
        <v>0</v>
      </c>
      <c r="X257" s="54"/>
      <c r="Y257" s="25"/>
      <c r="Z257" s="45">
        <v>3</v>
      </c>
      <c r="AA257" s="46">
        <v>25</v>
      </c>
      <c r="AB257" s="46">
        <v>36</v>
      </c>
      <c r="AC257" s="25"/>
      <c r="AD257" s="25"/>
      <c r="BA257" s="226"/>
    </row>
    <row r="258" spans="1:53" ht="16.5" thickTop="1" thickBot="1" x14ac:dyDescent="0.3">
      <c r="A258" s="88"/>
      <c r="B258" s="36" t="s">
        <v>255</v>
      </c>
      <c r="C258" s="30">
        <v>0</v>
      </c>
      <c r="D258" s="31" t="s">
        <v>256</v>
      </c>
      <c r="E258" s="101" t="str">
        <f>IF('Cable Calculator'!AH5="","",'Cable Calculator'!AH5)</f>
        <v>N</v>
      </c>
      <c r="F258" s="88"/>
      <c r="G258" s="321"/>
      <c r="H258" s="47" t="s">
        <v>257</v>
      </c>
      <c r="I258" s="35">
        <f>IF(E256="","0",IF(AND(E253="EUC",E254=432), I257+(203-E255),IF(E256=0,0,(E256+(E254-E255)-1))))</f>
        <v>708</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6"/>
    </row>
    <row r="259" spans="1:53" ht="16.5" thickTop="1" thickBot="1" x14ac:dyDescent="0.3">
      <c r="A259" s="88"/>
      <c r="B259" s="55" t="s">
        <v>258</v>
      </c>
      <c r="C259" s="56">
        <f>SUM(C253:C258)+I252</f>
        <v>132</v>
      </c>
      <c r="D259" s="31" t="s">
        <v>259</v>
      </c>
      <c r="E259" s="101" t="str">
        <f>IF(AS253="Y","DBL",IF(AS254="Y","TRPL",IF(AS255="Y","QUAD","")))</f>
        <v/>
      </c>
      <c r="F259" s="88"/>
      <c r="G259" s="191"/>
      <c r="H259" s="57"/>
      <c r="I259" s="191"/>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6"/>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5"/>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7"/>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7"/>
    </row>
    <row r="263" spans="1:53" ht="15.75" thickBot="1" x14ac:dyDescent="0.3">
      <c r="A263" s="88"/>
      <c r="B263" s="66" t="s">
        <v>276</v>
      </c>
      <c r="C263" s="67" t="s">
        <v>484</v>
      </c>
      <c r="D263" s="102" t="s">
        <v>751</v>
      </c>
      <c r="E263" s="32">
        <v>4</v>
      </c>
      <c r="F263" s="32" t="s">
        <v>488</v>
      </c>
      <c r="G263" s="68" t="s">
        <v>277</v>
      </c>
      <c r="H263" s="69">
        <f>IF(I263=0,0,I263-(E263-1))</f>
        <v>705</v>
      </c>
      <c r="I263" s="70">
        <f>IF(E263=0,0,I258)</f>
        <v>708</v>
      </c>
      <c r="J263" s="71" t="s">
        <v>278</v>
      </c>
      <c r="K263" s="32"/>
      <c r="L263" s="232"/>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705-708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8">
        <f>MOD(E263,12)</f>
        <v>4</v>
      </c>
    </row>
    <row r="264" spans="1:53" ht="15.75" thickBot="1" x14ac:dyDescent="0.3">
      <c r="A264" s="88"/>
      <c r="B264" s="66" t="s">
        <v>279</v>
      </c>
      <c r="C264" s="67" t="s">
        <v>484</v>
      </c>
      <c r="D264" s="102" t="s">
        <v>800</v>
      </c>
      <c r="E264" s="32">
        <v>8</v>
      </c>
      <c r="F264" s="32" t="s">
        <v>488</v>
      </c>
      <c r="G264" s="68" t="s">
        <v>277</v>
      </c>
      <c r="H264" s="69">
        <f t="shared" ref="H264:H287" si="111">IF(E264=0,0,I264-(E264-1))</f>
        <v>697</v>
      </c>
      <c r="I264" s="70">
        <f t="shared" ref="I264:I287" si="112">IF(E264=0,0,H263-1)</f>
        <v>704</v>
      </c>
      <c r="J264" s="73" t="str">
        <f>IF(C264="","--",IF(AND(C264&lt;&gt;"FST",C264&lt;&gt;"TCF",BA263&lt;&gt;0),BA263,"--"))</f>
        <v>--</v>
      </c>
      <c r="K264" s="32"/>
      <c r="L264" s="232"/>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697-704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8">
        <f>MOD(SUM(E263:E264),12)</f>
        <v>0</v>
      </c>
    </row>
    <row r="265" spans="1:53" ht="15.75" thickBot="1" x14ac:dyDescent="0.3">
      <c r="A265" s="88"/>
      <c r="B265" s="74" t="s">
        <v>280</v>
      </c>
      <c r="C265" s="67" t="s">
        <v>502</v>
      </c>
      <c r="D265" s="102"/>
      <c r="E265" s="32">
        <v>36</v>
      </c>
      <c r="F265" s="32"/>
      <c r="G265" s="75" t="s">
        <v>277</v>
      </c>
      <c r="H265" s="69">
        <f t="shared" si="111"/>
        <v>661</v>
      </c>
      <c r="I265" s="70">
        <f t="shared" si="112"/>
        <v>696</v>
      </c>
      <c r="J265" s="73" t="str">
        <f t="shared" ref="J265:J287" si="113">IF(C265="","--",IF(AND(C265&lt;&gt;"FST",C265&lt;&gt;"TCF",BA264&lt;&gt;0),BA264,"--"))</f>
        <v>--</v>
      </c>
      <c r="K265" s="32"/>
      <c r="L265" s="232"/>
      <c r="M265" s="277" t="s">
        <v>414</v>
      </c>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1</v>
      </c>
      <c r="AE265" s="109" t="str">
        <f t="shared" si="104"/>
        <v>661-696</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8">
        <f>MOD(SUM(E263:E266),12)</f>
        <v>0</v>
      </c>
    </row>
    <row r="266" spans="1:53" ht="15.75" thickBot="1" x14ac:dyDescent="0.3">
      <c r="A266" s="88"/>
      <c r="B266" s="66" t="s">
        <v>281</v>
      </c>
      <c r="C266" s="67" t="s">
        <v>502</v>
      </c>
      <c r="D266" s="102"/>
      <c r="E266" s="32">
        <v>84</v>
      </c>
      <c r="F266" s="32"/>
      <c r="G266" s="68" t="s">
        <v>277</v>
      </c>
      <c r="H266" s="69">
        <f t="shared" si="111"/>
        <v>577</v>
      </c>
      <c r="I266" s="70">
        <f t="shared" si="112"/>
        <v>660</v>
      </c>
      <c r="J266" s="73" t="str">
        <f t="shared" si="113"/>
        <v>--</v>
      </c>
      <c r="K266" s="32"/>
      <c r="L266" s="232"/>
      <c r="M266" s="277" t="s">
        <v>415</v>
      </c>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577-660</v>
      </c>
      <c r="AF266" s="109" t="str">
        <f t="shared" si="105"/>
        <v>N</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8">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2"/>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8">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2"/>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8">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2"/>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8">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2"/>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8">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2"/>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8">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2"/>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8">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2"/>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8">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2"/>
      <c r="M274" s="277"/>
      <c r="N274" s="277"/>
      <c r="O274" s="277"/>
      <c r="P274" s="277"/>
      <c r="Q274" s="277"/>
      <c r="R274" s="277"/>
      <c r="S274" s="277"/>
      <c r="T274" s="277"/>
      <c r="U274" s="278"/>
      <c r="V274" s="103"/>
      <c r="W274" s="84">
        <f>Y274+1</f>
        <v>133</v>
      </c>
      <c r="X274" s="84"/>
      <c r="Y274" s="78">
        <f>SUM(E263:E274)</f>
        <v>132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8">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2"/>
      <c r="M275" s="277"/>
      <c r="N275" s="277"/>
      <c r="O275" s="277"/>
      <c r="P275" s="277"/>
      <c r="Q275" s="277"/>
      <c r="R275" s="277"/>
      <c r="S275" s="277"/>
      <c r="T275" s="277"/>
      <c r="U275" s="278"/>
      <c r="V275" s="103"/>
      <c r="W275" s="84">
        <f>Y275+1</f>
        <v>133</v>
      </c>
      <c r="X275" s="84"/>
      <c r="Y275" s="78">
        <f>SUM(E263:E275)</f>
        <v>132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8">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2"/>
      <c r="M276" s="277"/>
      <c r="N276" s="277"/>
      <c r="O276" s="277"/>
      <c r="P276" s="277"/>
      <c r="Q276" s="277"/>
      <c r="R276" s="277"/>
      <c r="S276" s="277"/>
      <c r="T276" s="277"/>
      <c r="U276" s="278"/>
      <c r="V276" s="103"/>
      <c r="W276" s="84">
        <f>Y276+1</f>
        <v>133</v>
      </c>
      <c r="X276" s="84"/>
      <c r="Y276" s="78">
        <f>SUM(E263:E276)</f>
        <v>132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8">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2"/>
      <c r="M277" s="277"/>
      <c r="N277" s="277"/>
      <c r="O277" s="277"/>
      <c r="P277" s="277"/>
      <c r="Q277" s="277"/>
      <c r="R277" s="277"/>
      <c r="S277" s="277"/>
      <c r="T277" s="277"/>
      <c r="U277" s="278"/>
      <c r="V277" s="103"/>
      <c r="W277" s="84">
        <f>Y277+1</f>
        <v>133</v>
      </c>
      <c r="X277" s="84"/>
      <c r="Y277" s="78">
        <f>SUM(E263:E277)</f>
        <v>132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8">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2"/>
      <c r="M278" s="277"/>
      <c r="N278" s="277"/>
      <c r="O278" s="277"/>
      <c r="P278" s="277"/>
      <c r="Q278" s="277"/>
      <c r="R278" s="277"/>
      <c r="S278" s="277"/>
      <c r="T278" s="277"/>
      <c r="U278" s="278"/>
      <c r="V278" s="103"/>
      <c r="W278" s="84">
        <f t="shared" ref="W278:W286" si="118">Y278+1</f>
        <v>133</v>
      </c>
      <c r="X278" s="84"/>
      <c r="Y278" s="78">
        <f>SUM(E263:E278)</f>
        <v>132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8">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2"/>
      <c r="M279" s="277"/>
      <c r="N279" s="277"/>
      <c r="O279" s="277"/>
      <c r="P279" s="277"/>
      <c r="Q279" s="277"/>
      <c r="R279" s="277"/>
      <c r="S279" s="277"/>
      <c r="T279" s="277"/>
      <c r="U279" s="278"/>
      <c r="V279" s="103"/>
      <c r="W279" s="84">
        <f t="shared" si="118"/>
        <v>133</v>
      </c>
      <c r="X279" s="84"/>
      <c r="Y279" s="78">
        <f>SUM(E263:E279)</f>
        <v>132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8">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2"/>
      <c r="M280" s="277"/>
      <c r="N280" s="277"/>
      <c r="O280" s="277"/>
      <c r="P280" s="277"/>
      <c r="Q280" s="277"/>
      <c r="R280" s="277"/>
      <c r="S280" s="277"/>
      <c r="T280" s="277"/>
      <c r="U280" s="278"/>
      <c r="V280" s="103"/>
      <c r="W280" s="84">
        <f t="shared" si="118"/>
        <v>133</v>
      </c>
      <c r="X280" s="84"/>
      <c r="Y280" s="78">
        <f>SUM(E263:E280)</f>
        <v>132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8">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2"/>
      <c r="M281" s="277"/>
      <c r="N281" s="277"/>
      <c r="O281" s="277"/>
      <c r="P281" s="277"/>
      <c r="Q281" s="277"/>
      <c r="R281" s="277"/>
      <c r="S281" s="277"/>
      <c r="T281" s="277"/>
      <c r="U281" s="278"/>
      <c r="V281" s="103"/>
      <c r="W281" s="84">
        <f t="shared" si="118"/>
        <v>133</v>
      </c>
      <c r="X281" s="84"/>
      <c r="Y281" s="78">
        <f>SUM(E263:E281)</f>
        <v>132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8">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2"/>
      <c r="M282" s="277"/>
      <c r="N282" s="277"/>
      <c r="O282" s="277"/>
      <c r="P282" s="277"/>
      <c r="Q282" s="277"/>
      <c r="R282" s="277"/>
      <c r="S282" s="277"/>
      <c r="T282" s="277"/>
      <c r="U282" s="278"/>
      <c r="V282" s="103"/>
      <c r="W282" s="84">
        <f t="shared" si="118"/>
        <v>133</v>
      </c>
      <c r="X282" s="84"/>
      <c r="Y282" s="78">
        <f>SUM(E263:E282)</f>
        <v>132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8">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2"/>
      <c r="M283" s="277"/>
      <c r="N283" s="277"/>
      <c r="O283" s="277"/>
      <c r="P283" s="277"/>
      <c r="Q283" s="277"/>
      <c r="R283" s="277"/>
      <c r="S283" s="277"/>
      <c r="T283" s="277"/>
      <c r="U283" s="278"/>
      <c r="V283" s="103"/>
      <c r="W283" s="84">
        <f t="shared" si="118"/>
        <v>133</v>
      </c>
      <c r="X283" s="84"/>
      <c r="Y283" s="78">
        <f>SUM(E263:E283)</f>
        <v>132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8">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2"/>
      <c r="M284" s="277"/>
      <c r="N284" s="277"/>
      <c r="O284" s="277"/>
      <c r="P284" s="277"/>
      <c r="Q284" s="277"/>
      <c r="R284" s="277"/>
      <c r="S284" s="277"/>
      <c r="T284" s="277"/>
      <c r="U284" s="278"/>
      <c r="V284" s="103"/>
      <c r="W284" s="84">
        <f t="shared" si="118"/>
        <v>133</v>
      </c>
      <c r="X284" s="84"/>
      <c r="Y284" s="78">
        <f>SUM(E263:E284)</f>
        <v>132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8">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2"/>
      <c r="M285" s="277"/>
      <c r="N285" s="277"/>
      <c r="O285" s="277"/>
      <c r="P285" s="277"/>
      <c r="Q285" s="277"/>
      <c r="R285" s="277"/>
      <c r="S285" s="277"/>
      <c r="T285" s="277"/>
      <c r="U285" s="278"/>
      <c r="V285" s="103"/>
      <c r="W285" s="84">
        <f t="shared" si="118"/>
        <v>133</v>
      </c>
      <c r="X285" s="84"/>
      <c r="Y285" s="78">
        <f>SUM(E263:E285)</f>
        <v>132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8">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2"/>
      <c r="M286" s="277"/>
      <c r="N286" s="277"/>
      <c r="O286" s="277"/>
      <c r="P286" s="277"/>
      <c r="Q286" s="277"/>
      <c r="R286" s="277"/>
      <c r="S286" s="277"/>
      <c r="T286" s="277"/>
      <c r="U286" s="278"/>
      <c r="V286" s="103"/>
      <c r="W286" s="84">
        <f t="shared" si="118"/>
        <v>133</v>
      </c>
      <c r="X286" s="84"/>
      <c r="Y286" s="78">
        <f>SUM(E263:E286)</f>
        <v>132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8">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3"/>
      <c r="M287" s="277"/>
      <c r="N287" s="277"/>
      <c r="O287" s="277"/>
      <c r="P287" s="277"/>
      <c r="Q287" s="277"/>
      <c r="R287" s="277"/>
      <c r="S287" s="277"/>
      <c r="T287" s="277"/>
      <c r="U287" s="278"/>
      <c r="V287" s="103"/>
      <c r="W287" s="72"/>
      <c r="X287" s="72"/>
      <c r="Y287" s="78">
        <f>SUM(E263:E287)</f>
        <v>132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7"/>
    </row>
    <row r="288" spans="1:53" ht="16.5" thickBot="1" x14ac:dyDescent="0.3">
      <c r="A288" s="88"/>
      <c r="B288" s="318" t="s">
        <v>317</v>
      </c>
      <c r="C288" s="319"/>
      <c r="D288" s="79"/>
      <c r="E288" s="80"/>
      <c r="F288" s="80"/>
      <c r="G288" s="81"/>
      <c r="H288" s="191"/>
      <c r="I288" s="191"/>
      <c r="J288" s="191"/>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23</v>
      </c>
      <c r="AM288" s="109">
        <f>SUM(AM263:AM287)</f>
        <v>0</v>
      </c>
      <c r="AN288" s="109">
        <f>SUM(AN263:AN287)</f>
        <v>0</v>
      </c>
      <c r="AO288" s="109">
        <f>((COUNTIF(AO263:AO287,"Y")/3)*2)</f>
        <v>0</v>
      </c>
      <c r="AP288" s="109">
        <f>(COUNTIF(AO263:AO287,"Y")/3)</f>
        <v>0</v>
      </c>
      <c r="AQ288" s="109">
        <f>(COUNTIF(AQ263:AQ287,"Y")/2)</f>
        <v>0</v>
      </c>
      <c r="AR288" s="109">
        <f>(COUNTIF(AQ263:AQ287,"Y")/2)</f>
        <v>0</v>
      </c>
      <c r="BA288" s="227"/>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5"/>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5" t="s">
        <v>210</v>
      </c>
      <c r="N292" s="195" t="s">
        <v>211</v>
      </c>
      <c r="O292" s="195" t="s">
        <v>212</v>
      </c>
      <c r="P292" s="195" t="s">
        <v>213</v>
      </c>
      <c r="Q292" s="195" t="s">
        <v>214</v>
      </c>
      <c r="R292" s="195" t="s">
        <v>215</v>
      </c>
      <c r="S292" s="195" t="s">
        <v>216</v>
      </c>
      <c r="T292" s="195" t="s">
        <v>217</v>
      </c>
      <c r="U292" s="195" t="s">
        <v>218</v>
      </c>
      <c r="V292" s="195" t="s">
        <v>219</v>
      </c>
      <c r="W292" s="113" t="s">
        <v>220</v>
      </c>
      <c r="X292" s="195" t="s">
        <v>221</v>
      </c>
      <c r="Y292" s="25"/>
      <c r="Z292" s="25"/>
      <c r="AA292" s="25"/>
      <c r="AB292" s="25"/>
      <c r="AC292" s="25"/>
      <c r="AD292" s="25"/>
      <c r="BA292" s="225"/>
    </row>
    <row r="293" spans="1:53" ht="16.5" thickTop="1" thickBot="1" x14ac:dyDescent="0.3">
      <c r="A293" s="88"/>
      <c r="B293" s="311" t="s">
        <v>222</v>
      </c>
      <c r="C293" s="312"/>
      <c r="D293" s="313" t="s">
        <v>223</v>
      </c>
      <c r="E293" s="304"/>
      <c r="F293" s="88"/>
      <c r="G293" s="314" t="s">
        <v>224</v>
      </c>
      <c r="H293" s="315"/>
      <c r="I293" s="28">
        <f>SUM(E304:E328)</f>
        <v>144</v>
      </c>
      <c r="J293" s="316" t="s">
        <v>225</v>
      </c>
      <c r="K293" s="317"/>
      <c r="L293" s="304"/>
      <c r="M293" s="195">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5"/>
    </row>
    <row r="294" spans="1:53" ht="16.5" customHeight="1" thickTop="1" thickBot="1" x14ac:dyDescent="0.3">
      <c r="A294" s="88"/>
      <c r="B294" s="29" t="s">
        <v>228</v>
      </c>
      <c r="C294" s="30">
        <v>0</v>
      </c>
      <c r="D294" s="31" t="s">
        <v>229</v>
      </c>
      <c r="E294" s="66" t="str">
        <f>TEXT(IF('Cable Calculator'!AM7="","",'Cable Calculator'!AM7),)</f>
        <v>EUC</v>
      </c>
      <c r="F294" s="88"/>
      <c r="G294" s="303" t="s">
        <v>230</v>
      </c>
      <c r="H294" s="304"/>
      <c r="I294" s="33">
        <f>E295-I293</f>
        <v>0</v>
      </c>
      <c r="J294" s="288" t="s">
        <v>231</v>
      </c>
      <c r="K294" s="289"/>
      <c r="L294" s="34">
        <f>I298</f>
        <v>433</v>
      </c>
      <c r="M294" s="195">
        <v>4</v>
      </c>
      <c r="N294" s="35">
        <f>SUM(AI294,AI305)</f>
        <v>0</v>
      </c>
      <c r="O294" s="35">
        <v>0</v>
      </c>
      <c r="P294" s="35">
        <f>SUM(AJ294,AJ305)</f>
        <v>0</v>
      </c>
      <c r="Q294" s="35">
        <v>0</v>
      </c>
      <c r="R294" s="35">
        <f>COUNTIFS($E304:$E328,"4",$F304:$F328,"Pole",$C304:$C328,"FST")</f>
        <v>0</v>
      </c>
      <c r="S294" s="35">
        <f>SUM(AL294,AK305)</f>
        <v>0</v>
      </c>
      <c r="T294" s="35">
        <v>0</v>
      </c>
      <c r="U294" s="35">
        <f>SUM(AK294,AL305)</f>
        <v>5</v>
      </c>
      <c r="V294" s="35">
        <v>0</v>
      </c>
      <c r="W294" s="34">
        <f>COUNTIFS($E304:$E328,"4",$F304:$F328,"HH",$C304:$C328,"FST")</f>
        <v>5</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f>IF($E294="EUC",COUNTIFS($C304:$C328,"FST",$E304:$E328,"4"),"0")</f>
        <v>5</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6"/>
    </row>
    <row r="295" spans="1:53" ht="16.5" thickTop="1" thickBot="1" x14ac:dyDescent="0.3">
      <c r="A295" s="88"/>
      <c r="B295" s="36" t="s">
        <v>235</v>
      </c>
      <c r="C295" s="37">
        <v>0</v>
      </c>
      <c r="D295" s="38" t="s">
        <v>236</v>
      </c>
      <c r="E295" s="32">
        <v>144</v>
      </c>
      <c r="F295" s="88"/>
      <c r="G295" s="290" t="s">
        <v>237</v>
      </c>
      <c r="H295" s="291"/>
      <c r="I295" s="35">
        <f>IF(E295=0,0,12-(MOD(I293,12)))</f>
        <v>12</v>
      </c>
      <c r="J295" s="288" t="s">
        <v>238</v>
      </c>
      <c r="K295" s="289"/>
      <c r="L295" s="39">
        <f>I299-I293</f>
        <v>432</v>
      </c>
      <c r="M295" s="195">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6"/>
    </row>
    <row r="296" spans="1:53" ht="16.5" customHeight="1" thickTop="1" thickBot="1" x14ac:dyDescent="0.3">
      <c r="A296" s="88"/>
      <c r="B296" s="40" t="s">
        <v>240</v>
      </c>
      <c r="C296" s="30">
        <v>0</v>
      </c>
      <c r="D296" s="41" t="s">
        <v>241</v>
      </c>
      <c r="E296" s="42">
        <v>0</v>
      </c>
      <c r="F296" s="88"/>
      <c r="G296" s="320" t="s">
        <v>242</v>
      </c>
      <c r="H296" s="43" t="s">
        <v>243</v>
      </c>
      <c r="I296" s="35">
        <f>IF(E296&lt;&gt;0,1,0)</f>
        <v>0</v>
      </c>
      <c r="J296" s="290" t="s">
        <v>244</v>
      </c>
      <c r="K296" s="291"/>
      <c r="L296" s="44">
        <f>'Cable Calculator'!AM3</f>
        <v>1492</v>
      </c>
      <c r="M296" s="195">
        <v>8</v>
      </c>
      <c r="N296" s="35">
        <f>SUM(AI296,AI307)</f>
        <v>0</v>
      </c>
      <c r="O296" s="35">
        <v>0</v>
      </c>
      <c r="P296" s="35">
        <f>SUM(AJ296,AJ307)</f>
        <v>0</v>
      </c>
      <c r="Q296" s="35">
        <v>0</v>
      </c>
      <c r="R296" s="35">
        <f>COUNTIFS($E304:$E328,"8",$F304:$F328,"Pole",$C304:$C328,"FST")</f>
        <v>0</v>
      </c>
      <c r="S296" s="35">
        <f>SUM(AL296,AK307)</f>
        <v>0</v>
      </c>
      <c r="T296" s="35">
        <v>0</v>
      </c>
      <c r="U296" s="35">
        <f>SUM(AK296,AL307)</f>
        <v>2</v>
      </c>
      <c r="V296" s="35">
        <v>0</v>
      </c>
      <c r="W296" s="34">
        <f>COUNTIFS($E304:$E328,"8",$F304:$F328,"HH",$C304:$C328,"FST")</f>
        <v>2</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2</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6"/>
    </row>
    <row r="297" spans="1:53" ht="16.5" thickTop="1" thickBot="1" x14ac:dyDescent="0.3">
      <c r="A297" s="88"/>
      <c r="B297" s="29" t="s">
        <v>246</v>
      </c>
      <c r="C297" s="37">
        <v>0</v>
      </c>
      <c r="D297" s="41" t="s">
        <v>247</v>
      </c>
      <c r="E297" s="42">
        <v>433</v>
      </c>
      <c r="F297" s="88"/>
      <c r="G297" s="321"/>
      <c r="H297" s="47" t="s">
        <v>248</v>
      </c>
      <c r="I297" s="35">
        <f>IF(E296&lt;&gt;0,E296,0)</f>
        <v>0</v>
      </c>
      <c r="J297" s="193"/>
      <c r="K297" s="194"/>
      <c r="L297" s="48"/>
      <c r="M297" s="195">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6"/>
    </row>
    <row r="298" spans="1:53" ht="16.5" customHeight="1" thickTop="1" thickBot="1" x14ac:dyDescent="0.3">
      <c r="A298" s="88"/>
      <c r="B298" s="36" t="s">
        <v>249</v>
      </c>
      <c r="C298" s="30">
        <v>0</v>
      </c>
      <c r="D298" s="49" t="s">
        <v>250</v>
      </c>
      <c r="E298" s="50">
        <f>E295/12</f>
        <v>12</v>
      </c>
      <c r="F298" s="88"/>
      <c r="G298" s="320" t="s">
        <v>251</v>
      </c>
      <c r="H298" s="51" t="s">
        <v>252</v>
      </c>
      <c r="I298" s="112">
        <f>E297</f>
        <v>433</v>
      </c>
      <c r="J298" s="322" t="s">
        <v>253</v>
      </c>
      <c r="K298" s="323"/>
      <c r="L298" s="324"/>
      <c r="M298" s="52" t="s">
        <v>254</v>
      </c>
      <c r="N298" s="106"/>
      <c r="O298" s="106"/>
      <c r="P298" s="191"/>
      <c r="Q298" s="191"/>
      <c r="R298" s="191"/>
      <c r="S298" s="191"/>
      <c r="T298" s="191"/>
      <c r="U298" s="191"/>
      <c r="V298" s="191"/>
      <c r="W298" s="53">
        <f>SUM(P298:U298)</f>
        <v>0</v>
      </c>
      <c r="X298" s="54"/>
      <c r="Y298" s="25"/>
      <c r="Z298" s="45">
        <v>3</v>
      </c>
      <c r="AA298" s="46">
        <v>25</v>
      </c>
      <c r="AB298" s="46">
        <v>36</v>
      </c>
      <c r="AC298" s="25"/>
      <c r="AD298" s="25"/>
      <c r="BA298" s="226"/>
    </row>
    <row r="299" spans="1:53" ht="16.5" thickTop="1" thickBot="1" x14ac:dyDescent="0.3">
      <c r="A299" s="88"/>
      <c r="B299" s="36" t="s">
        <v>255</v>
      </c>
      <c r="C299" s="30">
        <v>0</v>
      </c>
      <c r="D299" s="31" t="s">
        <v>256</v>
      </c>
      <c r="E299" s="101" t="str">
        <f>IF('Cable Calculator'!AM5="","",'Cable Calculator'!AM5)</f>
        <v>N</v>
      </c>
      <c r="F299" s="88"/>
      <c r="G299" s="321"/>
      <c r="H299" s="47" t="s">
        <v>257</v>
      </c>
      <c r="I299" s="35">
        <f>IF(E297="","0",IF(AND(E294="EUC",E295=432), I298+(203-E296),IF(E297=0,0,(E297+(E295-E296)-1))))</f>
        <v>576</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6"/>
    </row>
    <row r="300" spans="1:53" ht="16.5" thickTop="1" thickBot="1" x14ac:dyDescent="0.3">
      <c r="A300" s="88"/>
      <c r="B300" s="55" t="s">
        <v>258</v>
      </c>
      <c r="C300" s="56">
        <f>SUM(C294:C299)+I293</f>
        <v>144</v>
      </c>
      <c r="D300" s="31" t="s">
        <v>259</v>
      </c>
      <c r="E300" s="101" t="str">
        <f>IF(AS294="Y","DBL",IF(AS295="Y","TRPL",IF(AS296="Y","QUAD","")))</f>
        <v/>
      </c>
      <c r="F300" s="88"/>
      <c r="G300" s="191"/>
      <c r="H300" s="57"/>
      <c r="I300" s="191"/>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6"/>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5"/>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7"/>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7"/>
    </row>
    <row r="304" spans="1:53" ht="15.75" thickBot="1" x14ac:dyDescent="0.3">
      <c r="A304" s="88"/>
      <c r="B304" s="66" t="s">
        <v>276</v>
      </c>
      <c r="C304" s="67" t="s">
        <v>484</v>
      </c>
      <c r="D304" s="102" t="s">
        <v>752</v>
      </c>
      <c r="E304" s="32">
        <v>4</v>
      </c>
      <c r="F304" s="32" t="s">
        <v>488</v>
      </c>
      <c r="G304" s="68" t="s">
        <v>277</v>
      </c>
      <c r="H304" s="69">
        <f>IF(I304=0,0,I304-(E304-1))</f>
        <v>573</v>
      </c>
      <c r="I304" s="70">
        <f>IF(E304=0,0,I299)</f>
        <v>576</v>
      </c>
      <c r="J304" s="71" t="s">
        <v>278</v>
      </c>
      <c r="K304" s="32"/>
      <c r="L304" s="232"/>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573-576</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8">
        <f>MOD(E304,12)</f>
        <v>4</v>
      </c>
    </row>
    <row r="305" spans="1:53" ht="15.75" thickBot="1" x14ac:dyDescent="0.3">
      <c r="A305" s="88"/>
      <c r="B305" s="66" t="s">
        <v>279</v>
      </c>
      <c r="C305" s="67" t="s">
        <v>484</v>
      </c>
      <c r="D305" s="102" t="s">
        <v>753</v>
      </c>
      <c r="E305" s="32">
        <v>4</v>
      </c>
      <c r="F305" s="32" t="s">
        <v>488</v>
      </c>
      <c r="G305" s="68" t="s">
        <v>277</v>
      </c>
      <c r="H305" s="69">
        <f t="shared" ref="H305:H328" si="128">IF(E305=0,0,I305-(E305-1))</f>
        <v>569</v>
      </c>
      <c r="I305" s="70">
        <f t="shared" ref="I305:I328" si="129">IF(E305=0,0,H304-1)</f>
        <v>572</v>
      </c>
      <c r="J305" s="73" t="str">
        <f>IF(C305="","--",IF(AND(C305&lt;&gt;"FST",C305&lt;&gt;"TCF",BA304&lt;&gt;0),BA304,"--"))</f>
        <v>--</v>
      </c>
      <c r="K305" s="32"/>
      <c r="L305" s="232"/>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569-572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8">
        <f>MOD(SUM(E304:E305),12)</f>
        <v>8</v>
      </c>
    </row>
    <row r="306" spans="1:53" ht="15.75" thickBot="1" x14ac:dyDescent="0.3">
      <c r="A306" s="88"/>
      <c r="B306" s="74" t="s">
        <v>280</v>
      </c>
      <c r="C306" s="67" t="s">
        <v>484</v>
      </c>
      <c r="D306" s="102" t="s">
        <v>755</v>
      </c>
      <c r="E306" s="32">
        <v>4</v>
      </c>
      <c r="F306" s="32" t="s">
        <v>488</v>
      </c>
      <c r="G306" s="75" t="s">
        <v>277</v>
      </c>
      <c r="H306" s="69">
        <f t="shared" si="128"/>
        <v>565</v>
      </c>
      <c r="I306" s="70">
        <f t="shared" si="129"/>
        <v>568</v>
      </c>
      <c r="J306" s="73" t="str">
        <f t="shared" ref="J306:J328" si="130">IF(C306="","--",IF(AND(C306&lt;&gt;"FST",C306&lt;&gt;"TCF",BA305&lt;&gt;0),BA305,"--"))</f>
        <v>--</v>
      </c>
      <c r="K306" s="32"/>
      <c r="L306" s="232"/>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0</v>
      </c>
      <c r="AE306" s="109" t="str">
        <f t="shared" si="121"/>
        <v>565-568</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8">
        <f>MOD(SUM(E304:E307),12)</f>
        <v>4</v>
      </c>
    </row>
    <row r="307" spans="1:53" ht="15.75" thickBot="1" x14ac:dyDescent="0.3">
      <c r="A307" s="88"/>
      <c r="B307" s="66" t="s">
        <v>281</v>
      </c>
      <c r="C307" s="67" t="s">
        <v>484</v>
      </c>
      <c r="D307" s="102" t="s">
        <v>754</v>
      </c>
      <c r="E307" s="32">
        <v>4</v>
      </c>
      <c r="F307" s="32" t="s">
        <v>488</v>
      </c>
      <c r="G307" s="68" t="s">
        <v>277</v>
      </c>
      <c r="H307" s="69">
        <f t="shared" si="128"/>
        <v>561</v>
      </c>
      <c r="I307" s="70">
        <f t="shared" si="129"/>
        <v>564</v>
      </c>
      <c r="J307" s="73" t="str">
        <f t="shared" si="130"/>
        <v>--</v>
      </c>
      <c r="K307" s="32"/>
      <c r="L307" s="232"/>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0</v>
      </c>
      <c r="AE307" s="109" t="str">
        <f t="shared" si="121"/>
        <v>561-564</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8">
        <f>MOD(SUM(E304:E308),12)</f>
        <v>8</v>
      </c>
    </row>
    <row r="308" spans="1:53" ht="15.75" thickBot="1" x14ac:dyDescent="0.3">
      <c r="A308" s="88"/>
      <c r="B308" s="66" t="s">
        <v>282</v>
      </c>
      <c r="C308" s="67" t="s">
        <v>484</v>
      </c>
      <c r="D308" s="102" t="s">
        <v>772</v>
      </c>
      <c r="E308" s="32">
        <v>4</v>
      </c>
      <c r="F308" s="32" t="s">
        <v>488</v>
      </c>
      <c r="G308" s="68" t="s">
        <v>277</v>
      </c>
      <c r="H308" s="69">
        <f t="shared" si="128"/>
        <v>557</v>
      </c>
      <c r="I308" s="70">
        <f t="shared" si="129"/>
        <v>560</v>
      </c>
      <c r="J308" s="73" t="str">
        <f t="shared" si="130"/>
        <v>--</v>
      </c>
      <c r="K308" s="32"/>
      <c r="L308" s="232"/>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557-560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8">
        <f>MOD(SUM(E304:E309),12)</f>
        <v>4</v>
      </c>
    </row>
    <row r="309" spans="1:53" ht="15.75" thickBot="1" x14ac:dyDescent="0.3">
      <c r="A309" s="88"/>
      <c r="B309" s="66" t="s">
        <v>283</v>
      </c>
      <c r="C309" s="67" t="s">
        <v>484</v>
      </c>
      <c r="D309" s="102" t="s">
        <v>801</v>
      </c>
      <c r="E309" s="32">
        <v>8</v>
      </c>
      <c r="F309" s="32" t="s">
        <v>488</v>
      </c>
      <c r="G309" s="68" t="s">
        <v>277</v>
      </c>
      <c r="H309" s="69">
        <f t="shared" si="128"/>
        <v>549</v>
      </c>
      <c r="I309" s="70">
        <f t="shared" si="129"/>
        <v>556</v>
      </c>
      <c r="J309" s="73" t="str">
        <f t="shared" si="130"/>
        <v>--</v>
      </c>
      <c r="K309" s="32"/>
      <c r="L309" s="232"/>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0</v>
      </c>
      <c r="AE309" s="109" t="str">
        <f t="shared" si="121"/>
        <v>549-556</v>
      </c>
      <c r="AF309" s="109" t="str">
        <f t="shared" si="122"/>
        <v>Y</v>
      </c>
      <c r="AG309" s="109" t="str">
        <f t="shared" si="123"/>
        <v>B</v>
      </c>
      <c r="AM309" s="109">
        <f t="shared" si="124"/>
        <v>0</v>
      </c>
      <c r="AN309" s="109">
        <f t="shared" si="125"/>
        <v>0</v>
      </c>
      <c r="AO309" s="109" t="str">
        <f t="shared" si="126"/>
        <v/>
      </c>
      <c r="AQ309" s="109" t="str">
        <f t="shared" si="127"/>
        <v/>
      </c>
      <c r="BA309" s="228">
        <f>MOD(SUM(E304:E310),12)</f>
        <v>0</v>
      </c>
    </row>
    <row r="310" spans="1:53" ht="15.75" thickBot="1" x14ac:dyDescent="0.3">
      <c r="A310" s="88"/>
      <c r="B310" s="66" t="s">
        <v>284</v>
      </c>
      <c r="C310" s="67" t="s">
        <v>484</v>
      </c>
      <c r="D310" s="102" t="s">
        <v>802</v>
      </c>
      <c r="E310" s="32">
        <v>8</v>
      </c>
      <c r="F310" s="32" t="s">
        <v>488</v>
      </c>
      <c r="G310" s="68" t="s">
        <v>277</v>
      </c>
      <c r="H310" s="69">
        <f t="shared" si="128"/>
        <v>541</v>
      </c>
      <c r="I310" s="70">
        <f t="shared" si="129"/>
        <v>548</v>
      </c>
      <c r="J310" s="73" t="str">
        <f t="shared" si="130"/>
        <v>--</v>
      </c>
      <c r="K310" s="32"/>
      <c r="L310" s="232"/>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0</v>
      </c>
      <c r="AE310" s="109" t="str">
        <f t="shared" si="121"/>
        <v>541-548</v>
      </c>
      <c r="AF310" s="109" t="str">
        <f t="shared" si="122"/>
        <v>Y</v>
      </c>
      <c r="AG310" s="109" t="str">
        <f t="shared" si="123"/>
        <v>B</v>
      </c>
      <c r="AM310" s="109">
        <f t="shared" si="124"/>
        <v>0</v>
      </c>
      <c r="AN310" s="109">
        <f t="shared" si="125"/>
        <v>0</v>
      </c>
      <c r="AO310" s="109" t="str">
        <f t="shared" si="126"/>
        <v/>
      </c>
      <c r="AQ310" s="109" t="str">
        <f t="shared" si="127"/>
        <v/>
      </c>
      <c r="BA310" s="228">
        <f>MOD(SUM(E304:E311),12)</f>
        <v>0</v>
      </c>
    </row>
    <row r="311" spans="1:53" ht="15.75" thickBot="1" x14ac:dyDescent="0.3">
      <c r="A311" s="88"/>
      <c r="B311" s="66" t="s">
        <v>285</v>
      </c>
      <c r="C311" s="67" t="s">
        <v>502</v>
      </c>
      <c r="D311" s="102"/>
      <c r="E311" s="32">
        <v>24</v>
      </c>
      <c r="F311" s="32"/>
      <c r="G311" s="68" t="s">
        <v>277</v>
      </c>
      <c r="H311" s="69">
        <f t="shared" si="128"/>
        <v>517</v>
      </c>
      <c r="I311" s="70">
        <f t="shared" si="129"/>
        <v>540</v>
      </c>
      <c r="J311" s="73" t="str">
        <f t="shared" si="130"/>
        <v>--</v>
      </c>
      <c r="K311" s="32"/>
      <c r="L311" s="232"/>
      <c r="M311" s="277" t="s">
        <v>411</v>
      </c>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517-540</v>
      </c>
      <c r="AF311" s="109" t="str">
        <f t="shared" si="122"/>
        <v>N</v>
      </c>
      <c r="AG311" s="109" t="str">
        <f t="shared" si="123"/>
        <v>B</v>
      </c>
      <c r="AM311" s="109">
        <f t="shared" si="124"/>
        <v>0</v>
      </c>
      <c r="AN311" s="109">
        <f t="shared" si="125"/>
        <v>0</v>
      </c>
      <c r="AO311" s="109" t="str">
        <f t="shared" si="126"/>
        <v/>
      </c>
      <c r="AQ311" s="109" t="str">
        <f t="shared" si="127"/>
        <v/>
      </c>
      <c r="BA311" s="228">
        <f>MOD(SUM(E304:E312),12)</f>
        <v>0</v>
      </c>
    </row>
    <row r="312" spans="1:53" ht="15.75" thickBot="1" x14ac:dyDescent="0.3">
      <c r="A312" s="88"/>
      <c r="B312" s="66" t="s">
        <v>286</v>
      </c>
      <c r="C312" s="67" t="s">
        <v>502</v>
      </c>
      <c r="D312" s="102"/>
      <c r="E312" s="32">
        <v>84</v>
      </c>
      <c r="F312" s="32"/>
      <c r="G312" s="68" t="s">
        <v>277</v>
      </c>
      <c r="H312" s="69">
        <f t="shared" si="128"/>
        <v>433</v>
      </c>
      <c r="I312" s="70">
        <f t="shared" si="129"/>
        <v>516</v>
      </c>
      <c r="J312" s="73" t="str">
        <f t="shared" si="130"/>
        <v>--</v>
      </c>
      <c r="K312" s="32"/>
      <c r="L312" s="232"/>
      <c r="M312" s="277" t="s">
        <v>412</v>
      </c>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433-516</v>
      </c>
      <c r="AF312" s="109" t="str">
        <f t="shared" si="122"/>
        <v>N</v>
      </c>
      <c r="AG312" s="109" t="str">
        <f t="shared" si="123"/>
        <v>B</v>
      </c>
      <c r="AM312" s="109">
        <f t="shared" si="124"/>
        <v>0</v>
      </c>
      <c r="AN312" s="109">
        <f t="shared" si="125"/>
        <v>0</v>
      </c>
      <c r="AO312" s="109" t="str">
        <f t="shared" si="126"/>
        <v/>
      </c>
      <c r="AQ312" s="109" t="str">
        <f t="shared" si="127"/>
        <v/>
      </c>
      <c r="BA312" s="228">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2"/>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8">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2"/>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8">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2"/>
      <c r="M315" s="277"/>
      <c r="N315" s="277"/>
      <c r="O315" s="277"/>
      <c r="P315" s="277"/>
      <c r="Q315" s="277"/>
      <c r="R315" s="277"/>
      <c r="S315" s="277"/>
      <c r="T315" s="277"/>
      <c r="U315" s="278"/>
      <c r="V315" s="103"/>
      <c r="W315" s="84">
        <f>Y315+1</f>
        <v>145</v>
      </c>
      <c r="X315" s="84"/>
      <c r="Y315" s="78">
        <f>SUM(E304:E315)</f>
        <v>144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8">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2"/>
      <c r="M316" s="277"/>
      <c r="N316" s="277"/>
      <c r="O316" s="277"/>
      <c r="P316" s="277"/>
      <c r="Q316" s="277"/>
      <c r="R316" s="277"/>
      <c r="S316" s="277"/>
      <c r="T316" s="277"/>
      <c r="U316" s="278"/>
      <c r="V316" s="103"/>
      <c r="W316" s="84">
        <f>Y316+1</f>
        <v>145</v>
      </c>
      <c r="X316" s="84"/>
      <c r="Y316" s="78">
        <f>SUM(E304:E316)</f>
        <v>144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8">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2"/>
      <c r="M317" s="277"/>
      <c r="N317" s="277"/>
      <c r="O317" s="277"/>
      <c r="P317" s="277"/>
      <c r="Q317" s="277"/>
      <c r="R317" s="277"/>
      <c r="S317" s="277"/>
      <c r="T317" s="277"/>
      <c r="U317" s="278"/>
      <c r="V317" s="103"/>
      <c r="W317" s="84">
        <f>Y317+1</f>
        <v>145</v>
      </c>
      <c r="X317" s="84"/>
      <c r="Y317" s="78">
        <f>SUM(E304:E317)</f>
        <v>144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8">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2"/>
      <c r="M318" s="277"/>
      <c r="N318" s="277"/>
      <c r="O318" s="277"/>
      <c r="P318" s="277"/>
      <c r="Q318" s="277"/>
      <c r="R318" s="277"/>
      <c r="S318" s="277"/>
      <c r="T318" s="277"/>
      <c r="U318" s="278"/>
      <c r="V318" s="103"/>
      <c r="W318" s="84">
        <f>Y318+1</f>
        <v>145</v>
      </c>
      <c r="X318" s="84"/>
      <c r="Y318" s="78">
        <f>SUM(E304:E318)</f>
        <v>144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8">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2"/>
      <c r="M319" s="277"/>
      <c r="N319" s="277"/>
      <c r="O319" s="277"/>
      <c r="P319" s="277"/>
      <c r="Q319" s="277"/>
      <c r="R319" s="277"/>
      <c r="S319" s="277"/>
      <c r="T319" s="277"/>
      <c r="U319" s="278"/>
      <c r="V319" s="103"/>
      <c r="W319" s="84">
        <f t="shared" ref="W319:W327" si="135">Y319+1</f>
        <v>145</v>
      </c>
      <c r="X319" s="84"/>
      <c r="Y319" s="78">
        <f>SUM(E304:E319)</f>
        <v>144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8">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2"/>
      <c r="M320" s="277"/>
      <c r="N320" s="277"/>
      <c r="O320" s="277"/>
      <c r="P320" s="277"/>
      <c r="Q320" s="277"/>
      <c r="R320" s="277"/>
      <c r="S320" s="277"/>
      <c r="T320" s="277"/>
      <c r="U320" s="278"/>
      <c r="V320" s="103"/>
      <c r="W320" s="84">
        <f t="shared" si="135"/>
        <v>145</v>
      </c>
      <c r="X320" s="84"/>
      <c r="Y320" s="78">
        <f>SUM(E304:E320)</f>
        <v>144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8">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2"/>
      <c r="M321" s="277"/>
      <c r="N321" s="277"/>
      <c r="O321" s="277"/>
      <c r="P321" s="277"/>
      <c r="Q321" s="277"/>
      <c r="R321" s="277"/>
      <c r="S321" s="277"/>
      <c r="T321" s="277"/>
      <c r="U321" s="278"/>
      <c r="V321" s="103"/>
      <c r="W321" s="84">
        <f t="shared" si="135"/>
        <v>145</v>
      </c>
      <c r="X321" s="84"/>
      <c r="Y321" s="78">
        <f>SUM(E304:E321)</f>
        <v>144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8">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2"/>
      <c r="M322" s="277"/>
      <c r="N322" s="277"/>
      <c r="O322" s="277"/>
      <c r="P322" s="277"/>
      <c r="Q322" s="277"/>
      <c r="R322" s="277"/>
      <c r="S322" s="277"/>
      <c r="T322" s="277"/>
      <c r="U322" s="278"/>
      <c r="V322" s="103"/>
      <c r="W322" s="84">
        <f t="shared" si="135"/>
        <v>145</v>
      </c>
      <c r="X322" s="84"/>
      <c r="Y322" s="78">
        <f>SUM(E304:E322)</f>
        <v>144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8">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2"/>
      <c r="M323" s="277"/>
      <c r="N323" s="277"/>
      <c r="O323" s="277"/>
      <c r="P323" s="277"/>
      <c r="Q323" s="277"/>
      <c r="R323" s="277"/>
      <c r="S323" s="277"/>
      <c r="T323" s="277"/>
      <c r="U323" s="278"/>
      <c r="V323" s="103"/>
      <c r="W323" s="84">
        <f t="shared" si="135"/>
        <v>145</v>
      </c>
      <c r="X323" s="84"/>
      <c r="Y323" s="78">
        <f>SUM(E304:E323)</f>
        <v>144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8">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2"/>
      <c r="M324" s="277"/>
      <c r="N324" s="277"/>
      <c r="O324" s="277"/>
      <c r="P324" s="277"/>
      <c r="Q324" s="277"/>
      <c r="R324" s="277"/>
      <c r="S324" s="277"/>
      <c r="T324" s="277"/>
      <c r="U324" s="278"/>
      <c r="V324" s="103"/>
      <c r="W324" s="84">
        <f t="shared" si="135"/>
        <v>145</v>
      </c>
      <c r="X324" s="84"/>
      <c r="Y324" s="78">
        <f>SUM(E304:E324)</f>
        <v>144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8">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2"/>
      <c r="M325" s="277"/>
      <c r="N325" s="277"/>
      <c r="O325" s="277"/>
      <c r="P325" s="277"/>
      <c r="Q325" s="277"/>
      <c r="R325" s="277"/>
      <c r="S325" s="277"/>
      <c r="T325" s="277"/>
      <c r="U325" s="278"/>
      <c r="V325" s="103"/>
      <c r="W325" s="84">
        <f t="shared" si="135"/>
        <v>145</v>
      </c>
      <c r="X325" s="84"/>
      <c r="Y325" s="78">
        <f>SUM(E304:E325)</f>
        <v>144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8">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2"/>
      <c r="M326" s="277"/>
      <c r="N326" s="277"/>
      <c r="O326" s="277"/>
      <c r="P326" s="277"/>
      <c r="Q326" s="277"/>
      <c r="R326" s="277"/>
      <c r="S326" s="277"/>
      <c r="T326" s="277"/>
      <c r="U326" s="278"/>
      <c r="V326" s="103"/>
      <c r="W326" s="84">
        <f t="shared" si="135"/>
        <v>145</v>
      </c>
      <c r="X326" s="84"/>
      <c r="Y326" s="78">
        <f>SUM(E304:E326)</f>
        <v>144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8">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2"/>
      <c r="M327" s="277"/>
      <c r="N327" s="277"/>
      <c r="O327" s="277"/>
      <c r="P327" s="277"/>
      <c r="Q327" s="277"/>
      <c r="R327" s="277"/>
      <c r="S327" s="277"/>
      <c r="T327" s="277"/>
      <c r="U327" s="278"/>
      <c r="V327" s="103"/>
      <c r="W327" s="84">
        <f t="shared" si="135"/>
        <v>145</v>
      </c>
      <c r="X327" s="84"/>
      <c r="Y327" s="78">
        <f>SUM(E304:E327)</f>
        <v>144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8">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3"/>
      <c r="M328" s="277"/>
      <c r="N328" s="277"/>
      <c r="O328" s="277"/>
      <c r="P328" s="277"/>
      <c r="Q328" s="277"/>
      <c r="R328" s="277"/>
      <c r="S328" s="277"/>
      <c r="T328" s="277"/>
      <c r="U328" s="278"/>
      <c r="V328" s="103"/>
      <c r="W328" s="72"/>
      <c r="X328" s="72"/>
      <c r="Y328" s="78">
        <f>SUM(E304:E328)</f>
        <v>144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7"/>
    </row>
    <row r="329" spans="1:53" ht="16.5" thickBot="1" x14ac:dyDescent="0.3">
      <c r="A329" s="88"/>
      <c r="B329" s="318" t="s">
        <v>319</v>
      </c>
      <c r="C329" s="319"/>
      <c r="D329" s="79"/>
      <c r="E329" s="80"/>
      <c r="F329" s="80"/>
      <c r="G329" s="81"/>
      <c r="H329" s="191"/>
      <c r="I329" s="191"/>
      <c r="J329" s="191"/>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18</v>
      </c>
      <c r="AM329" s="109">
        <f>SUM(AM304:AM328)</f>
        <v>0</v>
      </c>
      <c r="AN329" s="109">
        <f>SUM(AN304:AN328)</f>
        <v>0</v>
      </c>
      <c r="AO329" s="109">
        <f>((COUNTIF(AO304:AO328,"Y")/3)*2)</f>
        <v>0</v>
      </c>
      <c r="AP329" s="109">
        <f>(COUNTIF(AO304:AO328,"Y")/3)</f>
        <v>0</v>
      </c>
      <c r="AQ329" s="109">
        <f>(COUNTIF(AQ304:AQ328,"Y")/2)</f>
        <v>0</v>
      </c>
      <c r="AR329" s="109">
        <f>(COUNTIF(AQ304:AQ328,"Y")/2)</f>
        <v>0</v>
      </c>
      <c r="BA329" s="227"/>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5"/>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5" t="s">
        <v>210</v>
      </c>
      <c r="N333" s="195" t="s">
        <v>211</v>
      </c>
      <c r="O333" s="195" t="s">
        <v>212</v>
      </c>
      <c r="P333" s="195" t="s">
        <v>213</v>
      </c>
      <c r="Q333" s="195" t="s">
        <v>214</v>
      </c>
      <c r="R333" s="195" t="s">
        <v>215</v>
      </c>
      <c r="S333" s="195" t="s">
        <v>216</v>
      </c>
      <c r="T333" s="195" t="s">
        <v>217</v>
      </c>
      <c r="U333" s="195" t="s">
        <v>218</v>
      </c>
      <c r="V333" s="195" t="s">
        <v>219</v>
      </c>
      <c r="W333" s="113" t="s">
        <v>220</v>
      </c>
      <c r="X333" s="195" t="s">
        <v>221</v>
      </c>
      <c r="Y333" s="25"/>
      <c r="Z333" s="25"/>
      <c r="AA333" s="25"/>
      <c r="AB333" s="25"/>
      <c r="AC333" s="25"/>
      <c r="AD333" s="25"/>
      <c r="BA333" s="225"/>
    </row>
    <row r="334" spans="1:53" ht="16.5" thickTop="1" thickBot="1" x14ac:dyDescent="0.3">
      <c r="A334" s="88"/>
      <c r="B334" s="311" t="s">
        <v>222</v>
      </c>
      <c r="C334" s="312"/>
      <c r="D334" s="313" t="s">
        <v>223</v>
      </c>
      <c r="E334" s="304"/>
      <c r="F334" s="88"/>
      <c r="G334" s="314" t="s">
        <v>224</v>
      </c>
      <c r="H334" s="315"/>
      <c r="I334" s="28">
        <f>SUM(E345:E369)</f>
        <v>24</v>
      </c>
      <c r="J334" s="316" t="s">
        <v>225</v>
      </c>
      <c r="K334" s="317"/>
      <c r="L334" s="304"/>
      <c r="M334" s="195">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4" t="s">
        <v>226</v>
      </c>
      <c r="AA334" s="295"/>
      <c r="AB334" s="296"/>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5"/>
    </row>
    <row r="335" spans="1:53" ht="16.5" customHeight="1" thickTop="1" thickBot="1" x14ac:dyDescent="0.3">
      <c r="A335" s="88"/>
      <c r="B335" s="29" t="s">
        <v>228</v>
      </c>
      <c r="C335" s="30">
        <v>0</v>
      </c>
      <c r="D335" s="31" t="s">
        <v>229</v>
      </c>
      <c r="E335" s="66" t="str">
        <f>TEXT(IF('Cable Calculator'!AR7="","",'Cable Calculator'!AR7),)</f>
        <v>EUC</v>
      </c>
      <c r="F335" s="88"/>
      <c r="G335" s="303" t="s">
        <v>230</v>
      </c>
      <c r="H335" s="304"/>
      <c r="I335" s="33">
        <f>E336-I334</f>
        <v>0</v>
      </c>
      <c r="J335" s="288" t="s">
        <v>231</v>
      </c>
      <c r="K335" s="289"/>
      <c r="L335" s="34">
        <f>I339</f>
        <v>517</v>
      </c>
      <c r="M335" s="195">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2</v>
      </c>
      <c r="X335" s="35">
        <f>COUNTIFS($E345:$E369,"4",$F345:$F369,"Ped",$C345:$C369,"FST")</f>
        <v>0</v>
      </c>
      <c r="Y335" s="25"/>
      <c r="Z335" s="297" t="s">
        <v>232</v>
      </c>
      <c r="AA335" s="299" t="s">
        <v>233</v>
      </c>
      <c r="AB335" s="300"/>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6"/>
    </row>
    <row r="336" spans="1:53" ht="16.5" thickTop="1" thickBot="1" x14ac:dyDescent="0.3">
      <c r="A336" s="88"/>
      <c r="B336" s="36" t="s">
        <v>235</v>
      </c>
      <c r="C336" s="37">
        <v>0</v>
      </c>
      <c r="D336" s="38" t="s">
        <v>236</v>
      </c>
      <c r="E336" s="32">
        <v>24</v>
      </c>
      <c r="F336" s="88"/>
      <c r="G336" s="290" t="s">
        <v>237</v>
      </c>
      <c r="H336" s="291"/>
      <c r="I336" s="35">
        <f>IF(E336=0,0,12-(MOD(I334,12)))</f>
        <v>12</v>
      </c>
      <c r="J336" s="288" t="s">
        <v>238</v>
      </c>
      <c r="K336" s="289"/>
      <c r="L336" s="39">
        <f>I340-I334</f>
        <v>516</v>
      </c>
      <c r="M336" s="195">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6"/>
    </row>
    <row r="337" spans="1:53" ht="16.5" customHeight="1" thickTop="1" thickBot="1" x14ac:dyDescent="0.3">
      <c r="A337" s="88"/>
      <c r="B337" s="40" t="s">
        <v>240</v>
      </c>
      <c r="C337" s="30">
        <v>0</v>
      </c>
      <c r="D337" s="41" t="s">
        <v>241</v>
      </c>
      <c r="E337" s="42">
        <v>0</v>
      </c>
      <c r="F337" s="88"/>
      <c r="G337" s="320" t="s">
        <v>242</v>
      </c>
      <c r="H337" s="43" t="s">
        <v>243</v>
      </c>
      <c r="I337" s="35">
        <f>IF(E337&lt;&gt;0,1,0)</f>
        <v>0</v>
      </c>
      <c r="J337" s="290" t="s">
        <v>244</v>
      </c>
      <c r="K337" s="291"/>
      <c r="L337" s="44">
        <f>'Cable Calculator'!AR3</f>
        <v>1062</v>
      </c>
      <c r="M337" s="195">
        <v>8</v>
      </c>
      <c r="N337" s="35">
        <f>SUM(AI337,AI348)</f>
        <v>0</v>
      </c>
      <c r="O337" s="35">
        <v>0</v>
      </c>
      <c r="P337" s="35">
        <f>SUM(AJ337,AJ348)</f>
        <v>0</v>
      </c>
      <c r="Q337" s="35">
        <v>0</v>
      </c>
      <c r="R337" s="35">
        <f>COUNTIFS($E345:$E369,"8",$F345:$F369,"Pole",$C345:$C369,"FST")</f>
        <v>0</v>
      </c>
      <c r="S337" s="35">
        <f>SUM(AL337,AK348)</f>
        <v>0</v>
      </c>
      <c r="T337" s="35">
        <v>0</v>
      </c>
      <c r="U337" s="35">
        <f>SUM(AK337,AL348)</f>
        <v>2</v>
      </c>
      <c r="V337" s="35">
        <v>0</v>
      </c>
      <c r="W337" s="34">
        <f>COUNTIFS($E345:$E369,"8",$F345:$F369,"HH",$C345:$C369,"FST")</f>
        <v>2</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2</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6"/>
    </row>
    <row r="338" spans="1:53" ht="16.5" thickTop="1" thickBot="1" x14ac:dyDescent="0.3">
      <c r="A338" s="88"/>
      <c r="B338" s="29" t="s">
        <v>246</v>
      </c>
      <c r="C338" s="37">
        <v>0</v>
      </c>
      <c r="D338" s="41" t="s">
        <v>247</v>
      </c>
      <c r="E338" s="42">
        <v>517</v>
      </c>
      <c r="F338" s="88"/>
      <c r="G338" s="321"/>
      <c r="H338" s="47" t="s">
        <v>248</v>
      </c>
      <c r="I338" s="35">
        <f>IF(E337&lt;&gt;0,E337,0)</f>
        <v>0</v>
      </c>
      <c r="J338" s="193"/>
      <c r="K338" s="194"/>
      <c r="L338" s="48"/>
      <c r="M338" s="195">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6"/>
    </row>
    <row r="339" spans="1:53" ht="16.5" customHeight="1" thickTop="1" thickBot="1" x14ac:dyDescent="0.3">
      <c r="A339" s="88"/>
      <c r="B339" s="36" t="s">
        <v>249</v>
      </c>
      <c r="C339" s="30">
        <v>0</v>
      </c>
      <c r="D339" s="49" t="s">
        <v>250</v>
      </c>
      <c r="E339" s="50">
        <f>E336/12</f>
        <v>2</v>
      </c>
      <c r="F339" s="88"/>
      <c r="G339" s="320" t="s">
        <v>251</v>
      </c>
      <c r="H339" s="51" t="s">
        <v>252</v>
      </c>
      <c r="I339" s="112">
        <f>E338</f>
        <v>517</v>
      </c>
      <c r="J339" s="322" t="s">
        <v>253</v>
      </c>
      <c r="K339" s="323"/>
      <c r="L339" s="324"/>
      <c r="M339" s="52" t="s">
        <v>254</v>
      </c>
      <c r="N339" s="106"/>
      <c r="O339" s="106"/>
      <c r="P339" s="191"/>
      <c r="Q339" s="191"/>
      <c r="R339" s="191"/>
      <c r="S339" s="191"/>
      <c r="T339" s="191"/>
      <c r="U339" s="191"/>
      <c r="V339" s="191"/>
      <c r="W339" s="53">
        <f>SUM(P339:U339)</f>
        <v>0</v>
      </c>
      <c r="X339" s="54"/>
      <c r="Y339" s="25"/>
      <c r="Z339" s="45">
        <v>3</v>
      </c>
      <c r="AA339" s="46">
        <v>25</v>
      </c>
      <c r="AB339" s="46">
        <v>36</v>
      </c>
      <c r="AC339" s="25"/>
      <c r="AD339" s="25"/>
      <c r="BA339" s="226"/>
    </row>
    <row r="340" spans="1:53" ht="16.5" thickTop="1" thickBot="1" x14ac:dyDescent="0.3">
      <c r="A340" s="88"/>
      <c r="B340" s="36" t="s">
        <v>255</v>
      </c>
      <c r="C340" s="30">
        <v>0</v>
      </c>
      <c r="D340" s="31" t="s">
        <v>256</v>
      </c>
      <c r="E340" s="101" t="str">
        <f>IF('Cable Calculator'!AR5="","",'Cable Calculator'!AR5)</f>
        <v>N</v>
      </c>
      <c r="F340" s="88"/>
      <c r="G340" s="321"/>
      <c r="H340" s="47" t="s">
        <v>257</v>
      </c>
      <c r="I340" s="35">
        <f>IF(E338="","0",IF(AND(E335="EUC",E336=432), I339+(203-E337),IF(E338=0,0,(E338+(E336-E337)-1))))</f>
        <v>540</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6"/>
    </row>
    <row r="341" spans="1:53" ht="16.5" thickTop="1" thickBot="1" x14ac:dyDescent="0.3">
      <c r="A341" s="88"/>
      <c r="B341" s="55" t="s">
        <v>258</v>
      </c>
      <c r="C341" s="56">
        <f>SUM(C335:C340)+I334</f>
        <v>24</v>
      </c>
      <c r="D341" s="31" t="s">
        <v>259</v>
      </c>
      <c r="E341" s="101" t="str">
        <f>IF(AS335="Y","DBL",IF(AS336="Y","TRPL",IF(AS337="Y","QUAD","")))</f>
        <v/>
      </c>
      <c r="F341" s="88"/>
      <c r="G341" s="191"/>
      <c r="H341" s="57"/>
      <c r="I341" s="191"/>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6"/>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5"/>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7"/>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7"/>
    </row>
    <row r="345" spans="1:53" ht="15.75" thickBot="1" x14ac:dyDescent="0.3">
      <c r="A345" s="88"/>
      <c r="B345" s="66" t="s">
        <v>276</v>
      </c>
      <c r="C345" s="67" t="s">
        <v>484</v>
      </c>
      <c r="D345" s="102" t="s">
        <v>773</v>
      </c>
      <c r="E345" s="32">
        <v>4</v>
      </c>
      <c r="F345" s="32" t="s">
        <v>488</v>
      </c>
      <c r="G345" s="68" t="s">
        <v>277</v>
      </c>
      <c r="H345" s="69">
        <f>IF(I345=0,0,I345-(E345-1))</f>
        <v>537</v>
      </c>
      <c r="I345" s="70">
        <f>IF(E345=0,0,I340)</f>
        <v>540</v>
      </c>
      <c r="J345" s="71" t="s">
        <v>278</v>
      </c>
      <c r="K345" s="32"/>
      <c r="L345" s="232"/>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537-540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8">
        <f>MOD(E345,12)</f>
        <v>4</v>
      </c>
    </row>
    <row r="346" spans="1:53" ht="15.75" thickBot="1" x14ac:dyDescent="0.3">
      <c r="A346" s="88"/>
      <c r="B346" s="66" t="s">
        <v>279</v>
      </c>
      <c r="C346" s="67" t="s">
        <v>484</v>
      </c>
      <c r="D346" s="102" t="s">
        <v>764</v>
      </c>
      <c r="E346" s="32">
        <v>4</v>
      </c>
      <c r="F346" s="32" t="s">
        <v>488</v>
      </c>
      <c r="G346" s="68" t="s">
        <v>277</v>
      </c>
      <c r="H346" s="69">
        <f t="shared" ref="H346:H369" si="145">IF(E346=0,0,I346-(E346-1))</f>
        <v>533</v>
      </c>
      <c r="I346" s="70">
        <f t="shared" ref="I346:I369" si="146">IF(E346=0,0,H345-1)</f>
        <v>536</v>
      </c>
      <c r="J346" s="73" t="str">
        <f>IF(C346="","--",IF(AND(C346&lt;&gt;"FST",C346&lt;&gt;"TCF",BA345&lt;&gt;0),BA345,"--"))</f>
        <v>--</v>
      </c>
      <c r="K346" s="32"/>
      <c r="L346" s="232"/>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533-536</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8">
        <f>MOD(SUM(E345:E346),12)</f>
        <v>8</v>
      </c>
    </row>
    <row r="347" spans="1:53" ht="15.75" thickBot="1" x14ac:dyDescent="0.3">
      <c r="A347" s="88"/>
      <c r="B347" s="74" t="s">
        <v>280</v>
      </c>
      <c r="C347" s="67" t="s">
        <v>484</v>
      </c>
      <c r="D347" s="102" t="s">
        <v>803</v>
      </c>
      <c r="E347" s="32">
        <v>8</v>
      </c>
      <c r="F347" s="32" t="s">
        <v>488</v>
      </c>
      <c r="G347" s="75" t="s">
        <v>277</v>
      </c>
      <c r="H347" s="69">
        <f t="shared" si="145"/>
        <v>525</v>
      </c>
      <c r="I347" s="70">
        <f t="shared" si="146"/>
        <v>532</v>
      </c>
      <c r="J347" s="73" t="str">
        <f t="shared" ref="J347:J369" si="147">IF(C347="","--",IF(AND(C347&lt;&gt;"FST",C347&lt;&gt;"TCF",BA346&lt;&gt;0),BA346,"--"))</f>
        <v>--</v>
      </c>
      <c r="K347" s="32"/>
      <c r="L347" s="232"/>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0</v>
      </c>
      <c r="AE347" s="109" t="str">
        <f t="shared" si="138"/>
        <v>525-532</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8">
        <f>MOD(SUM(E345:E348),12)</f>
        <v>0</v>
      </c>
    </row>
    <row r="348" spans="1:53" ht="15.75" thickBot="1" x14ac:dyDescent="0.3">
      <c r="A348" s="88"/>
      <c r="B348" s="66" t="s">
        <v>281</v>
      </c>
      <c r="C348" s="67" t="s">
        <v>484</v>
      </c>
      <c r="D348" s="102" t="s">
        <v>804</v>
      </c>
      <c r="E348" s="32">
        <v>8</v>
      </c>
      <c r="F348" s="32" t="s">
        <v>488</v>
      </c>
      <c r="G348" s="68" t="s">
        <v>277</v>
      </c>
      <c r="H348" s="69">
        <f t="shared" si="145"/>
        <v>517</v>
      </c>
      <c r="I348" s="70">
        <f t="shared" si="146"/>
        <v>524</v>
      </c>
      <c r="J348" s="73" t="str">
        <f t="shared" si="147"/>
        <v>--</v>
      </c>
      <c r="K348" s="32"/>
      <c r="L348" s="232"/>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0</v>
      </c>
      <c r="AE348" s="109" t="str">
        <f t="shared" si="138"/>
        <v>517-524</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8">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2"/>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8">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2"/>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8">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2"/>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8">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2"/>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8">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2"/>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8">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2"/>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8">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2"/>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8">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2"/>
      <c r="M356" s="277"/>
      <c r="N356" s="277"/>
      <c r="O356" s="277"/>
      <c r="P356" s="277"/>
      <c r="Q356" s="277"/>
      <c r="R356" s="277"/>
      <c r="S356" s="277"/>
      <c r="T356" s="277"/>
      <c r="U356" s="278"/>
      <c r="V356" s="103"/>
      <c r="W356" s="84">
        <f>Y356+1</f>
        <v>25</v>
      </c>
      <c r="X356" s="84"/>
      <c r="Y356" s="78">
        <f>SUM(E345:E356)</f>
        <v>24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8">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2"/>
      <c r="M357" s="277"/>
      <c r="N357" s="277"/>
      <c r="O357" s="277"/>
      <c r="P357" s="277"/>
      <c r="Q357" s="277"/>
      <c r="R357" s="277"/>
      <c r="S357" s="277"/>
      <c r="T357" s="277"/>
      <c r="U357" s="278"/>
      <c r="V357" s="103"/>
      <c r="W357" s="84">
        <f>Y357+1</f>
        <v>25</v>
      </c>
      <c r="X357" s="84"/>
      <c r="Y357" s="78">
        <f>SUM(E345:E357)</f>
        <v>24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8">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2"/>
      <c r="M358" s="277"/>
      <c r="N358" s="277"/>
      <c r="O358" s="277"/>
      <c r="P358" s="277"/>
      <c r="Q358" s="277"/>
      <c r="R358" s="277"/>
      <c r="S358" s="277"/>
      <c r="T358" s="277"/>
      <c r="U358" s="278"/>
      <c r="V358" s="103"/>
      <c r="W358" s="84">
        <f>Y358+1</f>
        <v>25</v>
      </c>
      <c r="X358" s="84"/>
      <c r="Y358" s="78">
        <f>SUM(E345:E358)</f>
        <v>24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8">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2"/>
      <c r="M359" s="277"/>
      <c r="N359" s="277"/>
      <c r="O359" s="277"/>
      <c r="P359" s="277"/>
      <c r="Q359" s="277"/>
      <c r="R359" s="277"/>
      <c r="S359" s="277"/>
      <c r="T359" s="277"/>
      <c r="U359" s="278"/>
      <c r="V359" s="103"/>
      <c r="W359" s="84">
        <f>Y359+1</f>
        <v>25</v>
      </c>
      <c r="X359" s="84"/>
      <c r="Y359" s="78">
        <f>SUM(E345:E359)</f>
        <v>24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8">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2"/>
      <c r="M360" s="277"/>
      <c r="N360" s="277"/>
      <c r="O360" s="277"/>
      <c r="P360" s="277"/>
      <c r="Q360" s="277"/>
      <c r="R360" s="277"/>
      <c r="S360" s="277"/>
      <c r="T360" s="277"/>
      <c r="U360" s="278"/>
      <c r="V360" s="103"/>
      <c r="W360" s="84">
        <f t="shared" ref="W360:W368" si="152">Y360+1</f>
        <v>25</v>
      </c>
      <c r="X360" s="84"/>
      <c r="Y360" s="78">
        <f>SUM(E345:E360)</f>
        <v>24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8">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2"/>
      <c r="M361" s="277"/>
      <c r="N361" s="277"/>
      <c r="O361" s="277"/>
      <c r="P361" s="277"/>
      <c r="Q361" s="277"/>
      <c r="R361" s="277"/>
      <c r="S361" s="277"/>
      <c r="T361" s="277"/>
      <c r="U361" s="278"/>
      <c r="V361" s="103"/>
      <c r="W361" s="84">
        <f t="shared" si="152"/>
        <v>25</v>
      </c>
      <c r="X361" s="84"/>
      <c r="Y361" s="78">
        <f>SUM(E345:E361)</f>
        <v>24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8">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2"/>
      <c r="M362" s="277"/>
      <c r="N362" s="277"/>
      <c r="O362" s="277"/>
      <c r="P362" s="277"/>
      <c r="Q362" s="277"/>
      <c r="R362" s="277"/>
      <c r="S362" s="277"/>
      <c r="T362" s="277"/>
      <c r="U362" s="278"/>
      <c r="V362" s="103"/>
      <c r="W362" s="84">
        <f t="shared" si="152"/>
        <v>25</v>
      </c>
      <c r="X362" s="84"/>
      <c r="Y362" s="78">
        <f>SUM(E345:E362)</f>
        <v>24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8">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2"/>
      <c r="M363" s="277"/>
      <c r="N363" s="277"/>
      <c r="O363" s="277"/>
      <c r="P363" s="277"/>
      <c r="Q363" s="277"/>
      <c r="R363" s="277"/>
      <c r="S363" s="277"/>
      <c r="T363" s="277"/>
      <c r="U363" s="278"/>
      <c r="V363" s="103"/>
      <c r="W363" s="84">
        <f t="shared" si="152"/>
        <v>25</v>
      </c>
      <c r="X363" s="84"/>
      <c r="Y363" s="78">
        <f>SUM(E345:E363)</f>
        <v>24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8">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2"/>
      <c r="M364" s="277"/>
      <c r="N364" s="277"/>
      <c r="O364" s="277"/>
      <c r="P364" s="277"/>
      <c r="Q364" s="277"/>
      <c r="R364" s="277"/>
      <c r="S364" s="277"/>
      <c r="T364" s="277"/>
      <c r="U364" s="278"/>
      <c r="V364" s="103"/>
      <c r="W364" s="84">
        <f t="shared" si="152"/>
        <v>25</v>
      </c>
      <c r="X364" s="84"/>
      <c r="Y364" s="78">
        <f>SUM(E345:E364)</f>
        <v>24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8">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2"/>
      <c r="M365" s="277"/>
      <c r="N365" s="277"/>
      <c r="O365" s="277"/>
      <c r="P365" s="277"/>
      <c r="Q365" s="277"/>
      <c r="R365" s="277"/>
      <c r="S365" s="277"/>
      <c r="T365" s="277"/>
      <c r="U365" s="278"/>
      <c r="V365" s="103"/>
      <c r="W365" s="84">
        <f t="shared" si="152"/>
        <v>25</v>
      </c>
      <c r="X365" s="84"/>
      <c r="Y365" s="78">
        <f>SUM(E345:E365)</f>
        <v>24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8">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2"/>
      <c r="M366" s="277"/>
      <c r="N366" s="277"/>
      <c r="O366" s="277"/>
      <c r="P366" s="277"/>
      <c r="Q366" s="277"/>
      <c r="R366" s="277"/>
      <c r="S366" s="277"/>
      <c r="T366" s="277"/>
      <c r="U366" s="278"/>
      <c r="V366" s="103"/>
      <c r="W366" s="84">
        <f t="shared" si="152"/>
        <v>25</v>
      </c>
      <c r="X366" s="84"/>
      <c r="Y366" s="78">
        <f>SUM(E345:E366)</f>
        <v>24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8">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2"/>
      <c r="M367" s="277"/>
      <c r="N367" s="277"/>
      <c r="O367" s="277"/>
      <c r="P367" s="277"/>
      <c r="Q367" s="277"/>
      <c r="R367" s="277"/>
      <c r="S367" s="277"/>
      <c r="T367" s="277"/>
      <c r="U367" s="278"/>
      <c r="V367" s="103"/>
      <c r="W367" s="84">
        <f t="shared" si="152"/>
        <v>25</v>
      </c>
      <c r="X367" s="84"/>
      <c r="Y367" s="78">
        <f>SUM(E345:E367)</f>
        <v>24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8">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2"/>
      <c r="M368" s="277"/>
      <c r="N368" s="277"/>
      <c r="O368" s="277"/>
      <c r="P368" s="277"/>
      <c r="Q368" s="277"/>
      <c r="R368" s="277"/>
      <c r="S368" s="277"/>
      <c r="T368" s="277"/>
      <c r="U368" s="278"/>
      <c r="V368" s="103"/>
      <c r="W368" s="84">
        <f t="shared" si="152"/>
        <v>25</v>
      </c>
      <c r="X368" s="84"/>
      <c r="Y368" s="78">
        <f>SUM(E345:E368)</f>
        <v>24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8">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3"/>
      <c r="M369" s="277"/>
      <c r="N369" s="277"/>
      <c r="O369" s="277"/>
      <c r="P369" s="277"/>
      <c r="Q369" s="277"/>
      <c r="R369" s="277"/>
      <c r="S369" s="277"/>
      <c r="T369" s="277"/>
      <c r="U369" s="278"/>
      <c r="V369" s="103"/>
      <c r="W369" s="72"/>
      <c r="X369" s="72"/>
      <c r="Y369" s="78">
        <f>SUM(E345:E369)</f>
        <v>24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7"/>
    </row>
    <row r="370" spans="1:53" ht="16.5" thickBot="1" x14ac:dyDescent="0.3">
      <c r="A370" s="88"/>
      <c r="B370" s="318" t="s">
        <v>321</v>
      </c>
      <c r="C370" s="319"/>
      <c r="D370" s="79"/>
      <c r="E370" s="80"/>
      <c r="F370" s="80"/>
      <c r="G370" s="81"/>
      <c r="H370" s="191"/>
      <c r="I370" s="191"/>
      <c r="J370" s="191"/>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21</v>
      </c>
      <c r="AM370" s="109">
        <f>SUM(AM345:AM369)</f>
        <v>0</v>
      </c>
      <c r="AN370" s="109">
        <f>SUM(AN345:AN369)</f>
        <v>0</v>
      </c>
      <c r="AO370" s="109">
        <f>((COUNTIF(AO345:AO369,"Y")/3)*2)</f>
        <v>0</v>
      </c>
      <c r="AP370" s="109">
        <f>(COUNTIF(AO345:AO369,"Y")/3)</f>
        <v>0</v>
      </c>
      <c r="AQ370" s="109">
        <f>(COUNTIF(AQ345:AQ369,"Y")/2)</f>
        <v>0</v>
      </c>
      <c r="AR370" s="109">
        <f>(COUNTIF(AQ345:AQ369,"Y")/2)</f>
        <v>0</v>
      </c>
      <c r="BA370" s="227"/>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5"/>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5" t="s">
        <v>210</v>
      </c>
      <c r="N374" s="195" t="s">
        <v>211</v>
      </c>
      <c r="O374" s="195" t="s">
        <v>212</v>
      </c>
      <c r="P374" s="195" t="s">
        <v>213</v>
      </c>
      <c r="Q374" s="195" t="s">
        <v>214</v>
      </c>
      <c r="R374" s="195" t="s">
        <v>215</v>
      </c>
      <c r="S374" s="195" t="s">
        <v>216</v>
      </c>
      <c r="T374" s="195" t="s">
        <v>217</v>
      </c>
      <c r="U374" s="195" t="s">
        <v>218</v>
      </c>
      <c r="V374" s="195" t="s">
        <v>219</v>
      </c>
      <c r="W374" s="113" t="s">
        <v>220</v>
      </c>
      <c r="X374" s="195" t="s">
        <v>221</v>
      </c>
      <c r="Y374" s="25"/>
      <c r="Z374" s="25"/>
      <c r="AA374" s="25"/>
      <c r="AB374" s="25"/>
      <c r="AC374" s="25"/>
      <c r="AD374" s="25"/>
      <c r="BA374" s="225"/>
    </row>
    <row r="375" spans="1:53" ht="16.5" thickTop="1" thickBot="1" x14ac:dyDescent="0.3">
      <c r="A375" s="88"/>
      <c r="B375" s="311" t="s">
        <v>222</v>
      </c>
      <c r="C375" s="312"/>
      <c r="D375" s="313" t="s">
        <v>223</v>
      </c>
      <c r="E375" s="304"/>
      <c r="F375" s="88"/>
      <c r="G375" s="314" t="s">
        <v>224</v>
      </c>
      <c r="H375" s="315"/>
      <c r="I375" s="28">
        <f>SUM(E386:E410)</f>
        <v>84</v>
      </c>
      <c r="J375" s="316" t="s">
        <v>225</v>
      </c>
      <c r="K375" s="317"/>
      <c r="L375" s="304"/>
      <c r="M375" s="195">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5"/>
    </row>
    <row r="376" spans="1:53" ht="16.5" customHeight="1" thickTop="1" thickBot="1" x14ac:dyDescent="0.3">
      <c r="A376" s="88"/>
      <c r="B376" s="29" t="s">
        <v>228</v>
      </c>
      <c r="C376" s="30">
        <v>0</v>
      </c>
      <c r="D376" s="31" t="s">
        <v>229</v>
      </c>
      <c r="E376" s="66" t="str">
        <f>TEXT(IF('Cable Calculator'!AW7="","",'Cable Calculator'!AW7),)</f>
        <v>EUC</v>
      </c>
      <c r="F376" s="88"/>
      <c r="G376" s="303" t="s">
        <v>230</v>
      </c>
      <c r="H376" s="304"/>
      <c r="I376" s="33">
        <f>E377-I375</f>
        <v>60</v>
      </c>
      <c r="J376" s="288" t="s">
        <v>231</v>
      </c>
      <c r="K376" s="289"/>
      <c r="L376" s="34">
        <f>I380</f>
        <v>433</v>
      </c>
      <c r="M376" s="195">
        <v>4</v>
      </c>
      <c r="N376" s="35">
        <f>SUM(AI376,AI387)</f>
        <v>0</v>
      </c>
      <c r="O376" s="35">
        <v>0</v>
      </c>
      <c r="P376" s="35">
        <f>SUM(AJ376,AJ387)</f>
        <v>0</v>
      </c>
      <c r="Q376" s="35">
        <v>0</v>
      </c>
      <c r="R376" s="35">
        <f>COUNTIFS($E386:$E410,"4",$F386:$F410,"Pole",$C386:$C410,"FST")</f>
        <v>2</v>
      </c>
      <c r="S376" s="35">
        <f>SUM(AL376,AK387)</f>
        <v>0</v>
      </c>
      <c r="T376" s="35">
        <v>0</v>
      </c>
      <c r="U376" s="35">
        <f>SUM(AK376,AL387)</f>
        <v>6</v>
      </c>
      <c r="V376" s="35">
        <v>0</v>
      </c>
      <c r="W376" s="34">
        <f>COUNTIFS($E386:$E410,"4",$F386:$F410,"HH",$C386:$C410,"FST")</f>
        <v>4</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6"/>
    </row>
    <row r="377" spans="1:53" ht="16.5" thickTop="1" thickBot="1" x14ac:dyDescent="0.3">
      <c r="A377" s="88"/>
      <c r="B377" s="36" t="s">
        <v>235</v>
      </c>
      <c r="C377" s="37">
        <v>0</v>
      </c>
      <c r="D377" s="38" t="s">
        <v>236</v>
      </c>
      <c r="E377" s="32">
        <v>144</v>
      </c>
      <c r="F377" s="88"/>
      <c r="G377" s="290" t="s">
        <v>237</v>
      </c>
      <c r="H377" s="291"/>
      <c r="I377" s="35">
        <f>IF(E377=0,0,12-(MOD(I375,12)))</f>
        <v>12</v>
      </c>
      <c r="J377" s="288" t="s">
        <v>238</v>
      </c>
      <c r="K377" s="289"/>
      <c r="L377" s="39">
        <f>I381-I375</f>
        <v>432</v>
      </c>
      <c r="M377" s="195">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6"/>
    </row>
    <row r="378" spans="1:53" ht="16.5" customHeight="1" thickTop="1" thickBot="1" x14ac:dyDescent="0.3">
      <c r="A378" s="88"/>
      <c r="B378" s="40" t="s">
        <v>240</v>
      </c>
      <c r="C378" s="30">
        <v>0</v>
      </c>
      <c r="D378" s="41" t="s">
        <v>241</v>
      </c>
      <c r="E378" s="42">
        <v>60</v>
      </c>
      <c r="F378" s="88"/>
      <c r="G378" s="320" t="s">
        <v>242</v>
      </c>
      <c r="H378" s="43" t="s">
        <v>243</v>
      </c>
      <c r="I378" s="35">
        <f>IF(E378&lt;&gt;0,1,0)</f>
        <v>1</v>
      </c>
      <c r="J378" s="290" t="s">
        <v>244</v>
      </c>
      <c r="K378" s="291"/>
      <c r="L378" s="44">
        <f>'Cable Calculator'!AW3</f>
        <v>2243</v>
      </c>
      <c r="M378" s="195">
        <v>8</v>
      </c>
      <c r="N378" s="35">
        <f>SUM(AI378,AI389)</f>
        <v>0</v>
      </c>
      <c r="O378" s="35">
        <v>0</v>
      </c>
      <c r="P378" s="35">
        <f>SUM(AJ378,AJ389)</f>
        <v>0</v>
      </c>
      <c r="Q378" s="35">
        <v>0</v>
      </c>
      <c r="R378" s="35">
        <f>COUNTIFS($E386:$E410,"8",$F386:$F410,"Pole",$C386:$C410,"FST")</f>
        <v>2</v>
      </c>
      <c r="S378" s="35">
        <f>SUM(AL378,AK389)</f>
        <v>0</v>
      </c>
      <c r="T378" s="35">
        <v>0</v>
      </c>
      <c r="U378" s="35">
        <f>SUM(AK378,AL389)</f>
        <v>3</v>
      </c>
      <c r="V378" s="35">
        <v>0</v>
      </c>
      <c r="W378" s="34">
        <f>COUNTIFS($E386:$E410,"8",$F386:$F410,"HH",$C386:$C410,"FST")</f>
        <v>1</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6"/>
    </row>
    <row r="379" spans="1:53" ht="16.5" thickTop="1" thickBot="1" x14ac:dyDescent="0.3">
      <c r="A379" s="88"/>
      <c r="B379" s="29" t="s">
        <v>246</v>
      </c>
      <c r="C379" s="37">
        <v>0</v>
      </c>
      <c r="D379" s="41" t="s">
        <v>247</v>
      </c>
      <c r="E379" s="42">
        <v>433</v>
      </c>
      <c r="F379" s="88"/>
      <c r="G379" s="321"/>
      <c r="H379" s="47" t="s">
        <v>248</v>
      </c>
      <c r="I379" s="35">
        <f>IF(E378&lt;&gt;0,E378,0)</f>
        <v>60</v>
      </c>
      <c r="J379" s="193"/>
      <c r="K379" s="194"/>
      <c r="L379" s="48"/>
      <c r="M379" s="195">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2</v>
      </c>
      <c r="V379" s="35">
        <f>IF($E376="EUC",SUM($AN411,AP411,AR411),"0")</f>
        <v>1</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6"/>
    </row>
    <row r="380" spans="1:53" ht="16.5" customHeight="1" thickTop="1" thickBot="1" x14ac:dyDescent="0.3">
      <c r="A380" s="88"/>
      <c r="B380" s="36" t="s">
        <v>249</v>
      </c>
      <c r="C380" s="30">
        <v>0</v>
      </c>
      <c r="D380" s="49" t="s">
        <v>250</v>
      </c>
      <c r="E380" s="50">
        <f>E377/12</f>
        <v>12</v>
      </c>
      <c r="F380" s="88"/>
      <c r="G380" s="320" t="s">
        <v>251</v>
      </c>
      <c r="H380" s="51" t="s">
        <v>252</v>
      </c>
      <c r="I380" s="112">
        <f>E379</f>
        <v>433</v>
      </c>
      <c r="J380" s="322" t="s">
        <v>253</v>
      </c>
      <c r="K380" s="323"/>
      <c r="L380" s="324"/>
      <c r="M380" s="52" t="s">
        <v>254</v>
      </c>
      <c r="N380" s="106"/>
      <c r="O380" s="106"/>
      <c r="P380" s="191"/>
      <c r="Q380" s="191"/>
      <c r="R380" s="191"/>
      <c r="S380" s="191"/>
      <c r="T380" s="191"/>
      <c r="U380" s="191"/>
      <c r="V380" s="191"/>
      <c r="W380" s="53">
        <f>SUM(P380:U380)</f>
        <v>0</v>
      </c>
      <c r="X380" s="54"/>
      <c r="Y380" s="25"/>
      <c r="Z380" s="45">
        <v>3</v>
      </c>
      <c r="AA380" s="46">
        <v>25</v>
      </c>
      <c r="AB380" s="46">
        <v>36</v>
      </c>
      <c r="AC380" s="25"/>
      <c r="AD380" s="25"/>
      <c r="BA380" s="226"/>
    </row>
    <row r="381" spans="1:53" ht="16.5" thickTop="1" thickBot="1" x14ac:dyDescent="0.3">
      <c r="A381" s="88"/>
      <c r="B381" s="36" t="s">
        <v>255</v>
      </c>
      <c r="C381" s="30">
        <v>0</v>
      </c>
      <c r="D381" s="31" t="s">
        <v>256</v>
      </c>
      <c r="E381" s="101" t="str">
        <f>IF('Cable Calculator'!AW5="","",'Cable Calculator'!AW5)</f>
        <v>N</v>
      </c>
      <c r="F381" s="88"/>
      <c r="G381" s="321"/>
      <c r="H381" s="47" t="s">
        <v>257</v>
      </c>
      <c r="I381" s="35">
        <f>IF(E379="","0",IF(AND(E376="EUC",E377=432), I380+(203-E378),IF(E379=0,0,(E379+(E377-E378)-1))))</f>
        <v>516</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6"/>
    </row>
    <row r="382" spans="1:53" ht="16.5" thickTop="1" thickBot="1" x14ac:dyDescent="0.3">
      <c r="A382" s="88"/>
      <c r="B382" s="55" t="s">
        <v>258</v>
      </c>
      <c r="C382" s="56">
        <f>SUM(C376:C381)+I375</f>
        <v>84</v>
      </c>
      <c r="D382" s="31" t="s">
        <v>259</v>
      </c>
      <c r="E382" s="101" t="str">
        <f>IF(AS376="Y","DBL",IF(AS377="Y","TRPL",IF(AS378="Y","QUAD","")))</f>
        <v/>
      </c>
      <c r="F382" s="88"/>
      <c r="G382" s="191"/>
      <c r="H382" s="57"/>
      <c r="I382" s="191"/>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6"/>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5"/>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7"/>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7"/>
    </row>
    <row r="386" spans="1:53" ht="15.75" thickBot="1" x14ac:dyDescent="0.3">
      <c r="A386" s="88"/>
      <c r="B386" s="66" t="s">
        <v>276</v>
      </c>
      <c r="C386" s="67" t="s">
        <v>484</v>
      </c>
      <c r="D386" s="102" t="s">
        <v>805</v>
      </c>
      <c r="E386" s="32">
        <v>4</v>
      </c>
      <c r="F386" s="32" t="s">
        <v>488</v>
      </c>
      <c r="G386" s="68" t="s">
        <v>277</v>
      </c>
      <c r="H386" s="69">
        <f>IF(I386=0,0,I386-(E386-1))</f>
        <v>513</v>
      </c>
      <c r="I386" s="70">
        <f>IF(E386=0,0,I381)</f>
        <v>516</v>
      </c>
      <c r="J386" s="71" t="s">
        <v>278</v>
      </c>
      <c r="K386" s="32"/>
      <c r="L386" s="232"/>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513-516</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8">
        <f>MOD(E386,12)</f>
        <v>4</v>
      </c>
    </row>
    <row r="387" spans="1:53" ht="15.75" thickBot="1" x14ac:dyDescent="0.3">
      <c r="A387" s="88"/>
      <c r="B387" s="66" t="s">
        <v>279</v>
      </c>
      <c r="C387" s="67" t="s">
        <v>484</v>
      </c>
      <c r="D387" s="102" t="s">
        <v>774</v>
      </c>
      <c r="E387" s="32">
        <v>4</v>
      </c>
      <c r="F387" s="32" t="s">
        <v>488</v>
      </c>
      <c r="G387" s="68" t="s">
        <v>277</v>
      </c>
      <c r="H387" s="69">
        <f t="shared" ref="H387:H410" si="162">IF(E387=0,0,I387-(E387-1))</f>
        <v>509</v>
      </c>
      <c r="I387" s="70">
        <f t="shared" ref="I387:I410" si="163">IF(E387=0,0,H386-1)</f>
        <v>512</v>
      </c>
      <c r="J387" s="73" t="str">
        <f>IF(C387="","--",IF(AND(C387&lt;&gt;"FST",C387&lt;&gt;"TCF",BA386&lt;&gt;0),BA386,"--"))</f>
        <v>--</v>
      </c>
      <c r="K387" s="32"/>
      <c r="L387" s="232"/>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0</v>
      </c>
      <c r="AE387" s="109" t="str">
        <f t="shared" si="155"/>
        <v>509-512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8">
        <f>MOD(SUM(E386:E387),12)</f>
        <v>8</v>
      </c>
    </row>
    <row r="388" spans="1:53" ht="15.75" thickBot="1" x14ac:dyDescent="0.3">
      <c r="A388" s="88"/>
      <c r="B388" s="74" t="s">
        <v>280</v>
      </c>
      <c r="C388" s="67" t="s">
        <v>484</v>
      </c>
      <c r="D388" s="102" t="s">
        <v>806</v>
      </c>
      <c r="E388" s="32">
        <v>4</v>
      </c>
      <c r="F388" s="32" t="s">
        <v>488</v>
      </c>
      <c r="G388" s="75" t="s">
        <v>277</v>
      </c>
      <c r="H388" s="69">
        <f t="shared" si="162"/>
        <v>505</v>
      </c>
      <c r="I388" s="70">
        <f t="shared" si="163"/>
        <v>508</v>
      </c>
      <c r="J388" s="73" t="str">
        <f t="shared" ref="J388:J410" si="164">IF(C388="","--",IF(AND(C388&lt;&gt;"FST",C388&lt;&gt;"TCF",BA387&lt;&gt;0),BA387,"--"))</f>
        <v>--</v>
      </c>
      <c r="K388" s="32"/>
      <c r="L388" s="232"/>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0</v>
      </c>
      <c r="AE388" s="109" t="str">
        <f t="shared" si="155"/>
        <v>505-508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8">
        <f>MOD(SUM(E386:E389),12)</f>
        <v>4</v>
      </c>
    </row>
    <row r="389" spans="1:53" ht="15.75" thickBot="1" x14ac:dyDescent="0.3">
      <c r="A389" s="88"/>
      <c r="B389" s="66" t="s">
        <v>281</v>
      </c>
      <c r="C389" s="67" t="s">
        <v>484</v>
      </c>
      <c r="D389" s="102" t="s">
        <v>807</v>
      </c>
      <c r="E389" s="32">
        <v>4</v>
      </c>
      <c r="F389" s="32" t="s">
        <v>488</v>
      </c>
      <c r="G389" s="68" t="s">
        <v>277</v>
      </c>
      <c r="H389" s="69">
        <f t="shared" si="162"/>
        <v>501</v>
      </c>
      <c r="I389" s="70">
        <f t="shared" si="163"/>
        <v>504</v>
      </c>
      <c r="J389" s="73" t="str">
        <f t="shared" si="164"/>
        <v>--</v>
      </c>
      <c r="K389" s="32"/>
      <c r="L389" s="232"/>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0</v>
      </c>
      <c r="AE389" s="109" t="str">
        <f t="shared" si="155"/>
        <v>501-504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8">
        <f>MOD(SUM(E386:E390),12)</f>
        <v>0</v>
      </c>
    </row>
    <row r="390" spans="1:53" ht="15.75" thickBot="1" x14ac:dyDescent="0.3">
      <c r="A390" s="88"/>
      <c r="B390" s="66" t="s">
        <v>282</v>
      </c>
      <c r="C390" s="67" t="s">
        <v>484</v>
      </c>
      <c r="D390" s="102" t="s">
        <v>808</v>
      </c>
      <c r="E390" s="32">
        <v>8</v>
      </c>
      <c r="F390" s="32" t="s">
        <v>488</v>
      </c>
      <c r="G390" s="68" t="s">
        <v>277</v>
      </c>
      <c r="H390" s="69">
        <f t="shared" si="162"/>
        <v>493</v>
      </c>
      <c r="I390" s="70">
        <f t="shared" si="163"/>
        <v>500</v>
      </c>
      <c r="J390" s="73" t="str">
        <f t="shared" si="164"/>
        <v>--</v>
      </c>
      <c r="K390" s="32"/>
      <c r="L390" s="232"/>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493-500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8">
        <f>MOD(SUM(E386:E391),12)</f>
        <v>0</v>
      </c>
    </row>
    <row r="391" spans="1:53" ht="15.75" thickBot="1" x14ac:dyDescent="0.3">
      <c r="A391" s="88"/>
      <c r="B391" s="66" t="s">
        <v>283</v>
      </c>
      <c r="C391" s="67" t="s">
        <v>500</v>
      </c>
      <c r="D391" s="102"/>
      <c r="E391" s="32">
        <v>12</v>
      </c>
      <c r="F391" s="32"/>
      <c r="G391" s="68" t="s">
        <v>277</v>
      </c>
      <c r="H391" s="69">
        <f t="shared" si="162"/>
        <v>481</v>
      </c>
      <c r="I391" s="70">
        <f t="shared" si="163"/>
        <v>492</v>
      </c>
      <c r="J391" s="73" t="str">
        <f t="shared" si="164"/>
        <v>--</v>
      </c>
      <c r="K391" s="32"/>
      <c r="L391" s="232"/>
      <c r="M391" s="277" t="s">
        <v>413</v>
      </c>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481-492</v>
      </c>
      <c r="AF391" s="109" t="str">
        <f t="shared" si="156"/>
        <v>Y</v>
      </c>
      <c r="AG391" s="109" t="str">
        <f t="shared" si="157"/>
        <v>B</v>
      </c>
      <c r="AM391" s="109">
        <f t="shared" si="158"/>
        <v>0</v>
      </c>
      <c r="AN391" s="109">
        <f t="shared" si="159"/>
        <v>0</v>
      </c>
      <c r="AO391" s="109" t="str">
        <f t="shared" si="160"/>
        <v>Y</v>
      </c>
      <c r="AQ391" s="109" t="str">
        <f t="shared" si="161"/>
        <v/>
      </c>
      <c r="BA391" s="228">
        <f>MOD(SUM(E386:E392),12)</f>
        <v>0</v>
      </c>
    </row>
    <row r="392" spans="1:53" ht="15.75" thickBot="1" x14ac:dyDescent="0.3">
      <c r="A392" s="88"/>
      <c r="B392" s="66" t="s">
        <v>284</v>
      </c>
      <c r="C392" s="67" t="s">
        <v>500</v>
      </c>
      <c r="D392" s="102"/>
      <c r="E392" s="32">
        <v>12</v>
      </c>
      <c r="F392" s="32"/>
      <c r="G392" s="68" t="s">
        <v>277</v>
      </c>
      <c r="H392" s="69">
        <f t="shared" si="162"/>
        <v>469</v>
      </c>
      <c r="I392" s="70">
        <f t="shared" si="163"/>
        <v>480</v>
      </c>
      <c r="J392" s="73" t="str">
        <f t="shared" si="164"/>
        <v>--</v>
      </c>
      <c r="K392" s="32"/>
      <c r="L392" s="232"/>
      <c r="M392" s="277" t="s">
        <v>413</v>
      </c>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469-480</v>
      </c>
      <c r="AF392" s="109" t="str">
        <f t="shared" si="156"/>
        <v>Y</v>
      </c>
      <c r="AG392" s="109" t="str">
        <f t="shared" si="157"/>
        <v>B</v>
      </c>
      <c r="AM392" s="109">
        <f t="shared" si="158"/>
        <v>0</v>
      </c>
      <c r="AN392" s="109">
        <f t="shared" si="159"/>
        <v>0</v>
      </c>
      <c r="AO392" s="109" t="str">
        <f t="shared" si="160"/>
        <v>Y</v>
      </c>
      <c r="AQ392" s="109" t="str">
        <f t="shared" si="161"/>
        <v/>
      </c>
      <c r="BA392" s="228">
        <f>MOD(SUM(E386:E393),12)</f>
        <v>0</v>
      </c>
    </row>
    <row r="393" spans="1:53" ht="15.75" thickBot="1" x14ac:dyDescent="0.3">
      <c r="A393" s="88"/>
      <c r="B393" s="66" t="s">
        <v>285</v>
      </c>
      <c r="C393" s="67" t="s">
        <v>500</v>
      </c>
      <c r="D393" s="102"/>
      <c r="E393" s="32">
        <v>12</v>
      </c>
      <c r="F393" s="32"/>
      <c r="G393" s="68" t="s">
        <v>277</v>
      </c>
      <c r="H393" s="69">
        <f t="shared" si="162"/>
        <v>457</v>
      </c>
      <c r="I393" s="70">
        <f t="shared" si="163"/>
        <v>468</v>
      </c>
      <c r="J393" s="73" t="str">
        <f t="shared" si="164"/>
        <v>--</v>
      </c>
      <c r="K393" s="32"/>
      <c r="L393" s="232"/>
      <c r="M393" s="277" t="s">
        <v>413</v>
      </c>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457-468</v>
      </c>
      <c r="AF393" s="109" t="str">
        <f t="shared" si="156"/>
        <v>Y</v>
      </c>
      <c r="AG393" s="109" t="str">
        <f t="shared" si="157"/>
        <v>B</v>
      </c>
      <c r="AM393" s="109">
        <f t="shared" si="158"/>
        <v>0</v>
      </c>
      <c r="AN393" s="109">
        <f t="shared" si="159"/>
        <v>0</v>
      </c>
      <c r="AO393" s="109" t="str">
        <f t="shared" si="160"/>
        <v>Y</v>
      </c>
      <c r="AQ393" s="109" t="str">
        <f t="shared" si="161"/>
        <v/>
      </c>
      <c r="BA393" s="228">
        <f>MOD(SUM(E386:E394),12)</f>
        <v>4</v>
      </c>
    </row>
    <row r="394" spans="1:53" ht="15.75" thickBot="1" x14ac:dyDescent="0.3">
      <c r="A394" s="88"/>
      <c r="B394" s="66" t="s">
        <v>286</v>
      </c>
      <c r="C394" s="67" t="s">
        <v>484</v>
      </c>
      <c r="D394" s="102" t="s">
        <v>809</v>
      </c>
      <c r="E394" s="32">
        <v>4</v>
      </c>
      <c r="F394" s="32" t="s">
        <v>483</v>
      </c>
      <c r="G394" s="68" t="s">
        <v>277</v>
      </c>
      <c r="H394" s="69">
        <f t="shared" si="162"/>
        <v>453</v>
      </c>
      <c r="I394" s="70">
        <f t="shared" si="163"/>
        <v>456</v>
      </c>
      <c r="J394" s="73" t="str">
        <f t="shared" si="164"/>
        <v>--</v>
      </c>
      <c r="K394" s="32"/>
      <c r="L394" s="232"/>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0</v>
      </c>
      <c r="AE394" s="109" t="str">
        <f t="shared" si="155"/>
        <v>453-456</v>
      </c>
      <c r="AF394" s="109" t="str">
        <f t="shared" si="156"/>
        <v>Y</v>
      </c>
      <c r="AG394" s="109" t="str">
        <f t="shared" si="157"/>
        <v>B</v>
      </c>
      <c r="AM394" s="109">
        <f t="shared" si="158"/>
        <v>0</v>
      </c>
      <c r="AN394" s="109">
        <f t="shared" si="159"/>
        <v>0</v>
      </c>
      <c r="AO394" s="109" t="str">
        <f t="shared" si="160"/>
        <v/>
      </c>
      <c r="AQ394" s="109" t="str">
        <f t="shared" si="161"/>
        <v/>
      </c>
      <c r="BA394" s="228">
        <f>MOD(SUM(E386:E395),12)</f>
        <v>8</v>
      </c>
    </row>
    <row r="395" spans="1:53" ht="15.75" thickBot="1" x14ac:dyDescent="0.3">
      <c r="A395" s="88"/>
      <c r="B395" s="66" t="s">
        <v>287</v>
      </c>
      <c r="C395" s="67" t="s">
        <v>484</v>
      </c>
      <c r="D395" s="102" t="s">
        <v>810</v>
      </c>
      <c r="E395" s="32">
        <v>4</v>
      </c>
      <c r="F395" s="32" t="s">
        <v>483</v>
      </c>
      <c r="G395" s="68" t="s">
        <v>277</v>
      </c>
      <c r="H395" s="69">
        <f t="shared" si="162"/>
        <v>449</v>
      </c>
      <c r="I395" s="70">
        <f t="shared" si="163"/>
        <v>452</v>
      </c>
      <c r="J395" s="73" t="str">
        <f t="shared" si="164"/>
        <v>--</v>
      </c>
      <c r="K395" s="32"/>
      <c r="L395" s="232"/>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0</v>
      </c>
      <c r="AE395" s="109" t="str">
        <f t="shared" si="155"/>
        <v>449-452</v>
      </c>
      <c r="AF395" s="109" t="str">
        <f t="shared" si="156"/>
        <v>Y</v>
      </c>
      <c r="AG395" s="109" t="str">
        <f t="shared" si="157"/>
        <v>B</v>
      </c>
      <c r="AM395" s="109">
        <f t="shared" si="158"/>
        <v>0</v>
      </c>
      <c r="AN395" s="109">
        <f t="shared" si="159"/>
        <v>0</v>
      </c>
      <c r="AO395" s="109" t="str">
        <f t="shared" si="160"/>
        <v/>
      </c>
      <c r="AQ395" s="109" t="str">
        <f t="shared" si="161"/>
        <v/>
      </c>
      <c r="BA395" s="228">
        <f>MOD(SUM(E386:E396),12)</f>
        <v>4</v>
      </c>
    </row>
    <row r="396" spans="1:53" ht="15.75" thickBot="1" x14ac:dyDescent="0.3">
      <c r="A396" s="88"/>
      <c r="B396" s="66" t="s">
        <v>288</v>
      </c>
      <c r="C396" s="67" t="s">
        <v>484</v>
      </c>
      <c r="D396" s="102" t="s">
        <v>775</v>
      </c>
      <c r="E396" s="32">
        <v>8</v>
      </c>
      <c r="F396" s="32" t="s">
        <v>483</v>
      </c>
      <c r="G396" s="68" t="s">
        <v>277</v>
      </c>
      <c r="H396" s="69">
        <f t="shared" si="162"/>
        <v>441</v>
      </c>
      <c r="I396" s="70">
        <f t="shared" si="163"/>
        <v>448</v>
      </c>
      <c r="J396" s="73" t="str">
        <f t="shared" si="164"/>
        <v>--</v>
      </c>
      <c r="K396" s="32"/>
      <c r="L396" s="232"/>
      <c r="M396" s="277"/>
      <c r="N396" s="277"/>
      <c r="O396" s="277"/>
      <c r="P396" s="277"/>
      <c r="Q396" s="277"/>
      <c r="R396" s="277"/>
      <c r="S396" s="277"/>
      <c r="T396" s="277"/>
      <c r="U396" s="278"/>
      <c r="V396" s="103"/>
      <c r="W396" s="84"/>
      <c r="X396" s="84"/>
      <c r="Y396" s="72"/>
      <c r="Z396" s="72"/>
      <c r="AA396" s="72"/>
      <c r="AB396" s="72"/>
      <c r="AC396" s="72">
        <f t="shared" si="153"/>
        <v>1</v>
      </c>
      <c r="AD396" s="72">
        <f t="shared" si="154"/>
        <v>0</v>
      </c>
      <c r="AE396" s="109" t="str">
        <f t="shared" si="155"/>
        <v>441-448</v>
      </c>
      <c r="AF396" s="109" t="str">
        <f t="shared" si="156"/>
        <v>Y</v>
      </c>
      <c r="AG396" s="109" t="str">
        <f t="shared" si="157"/>
        <v>B</v>
      </c>
      <c r="AM396" s="109">
        <f t="shared" si="158"/>
        <v>0</v>
      </c>
      <c r="AN396" s="109">
        <f t="shared" si="159"/>
        <v>0</v>
      </c>
      <c r="AO396" s="109" t="str">
        <f t="shared" si="160"/>
        <v/>
      </c>
      <c r="AQ396" s="109" t="str">
        <f t="shared" si="161"/>
        <v/>
      </c>
      <c r="BA396" s="228">
        <f>MOD(SUM(E386:E397),12)</f>
        <v>0</v>
      </c>
    </row>
    <row r="397" spans="1:53" ht="15.75" thickBot="1" x14ac:dyDescent="0.3">
      <c r="A397" s="88"/>
      <c r="B397" s="66" t="s">
        <v>289</v>
      </c>
      <c r="C397" s="67" t="s">
        <v>484</v>
      </c>
      <c r="D397" s="102" t="s">
        <v>776</v>
      </c>
      <c r="E397" s="32">
        <v>8</v>
      </c>
      <c r="F397" s="32" t="s">
        <v>483</v>
      </c>
      <c r="G397" s="68" t="s">
        <v>277</v>
      </c>
      <c r="H397" s="69">
        <f t="shared" si="162"/>
        <v>433</v>
      </c>
      <c r="I397" s="70">
        <f t="shared" si="163"/>
        <v>440</v>
      </c>
      <c r="J397" s="73" t="str">
        <f t="shared" si="164"/>
        <v>--</v>
      </c>
      <c r="K397" s="32"/>
      <c r="L397" s="232"/>
      <c r="M397" s="277"/>
      <c r="N397" s="277"/>
      <c r="O397" s="277"/>
      <c r="P397" s="277"/>
      <c r="Q397" s="277"/>
      <c r="R397" s="277"/>
      <c r="S397" s="277"/>
      <c r="T397" s="277"/>
      <c r="U397" s="278"/>
      <c r="V397" s="103"/>
      <c r="W397" s="84">
        <f>Y397+1</f>
        <v>85</v>
      </c>
      <c r="X397" s="84"/>
      <c r="Y397" s="78">
        <f>SUM(E386:E397)</f>
        <v>84</v>
      </c>
      <c r="Z397" s="72"/>
      <c r="AA397" s="72"/>
      <c r="AB397" s="72"/>
      <c r="AC397" s="72">
        <f t="shared" si="153"/>
        <v>1</v>
      </c>
      <c r="AD397" s="72">
        <f t="shared" si="154"/>
        <v>0</v>
      </c>
      <c r="AE397" s="109" t="str">
        <f t="shared" si="155"/>
        <v>433-440</v>
      </c>
      <c r="AF397" s="109" t="str">
        <f t="shared" si="156"/>
        <v>Y</v>
      </c>
      <c r="AG397" s="109" t="str">
        <f t="shared" si="157"/>
        <v>B</v>
      </c>
      <c r="AM397" s="109">
        <f t="shared" si="158"/>
        <v>0</v>
      </c>
      <c r="AN397" s="109">
        <f t="shared" si="159"/>
        <v>0</v>
      </c>
      <c r="AO397" s="109" t="str">
        <f t="shared" si="160"/>
        <v/>
      </c>
      <c r="AQ397" s="109" t="str">
        <f t="shared" si="161"/>
        <v/>
      </c>
      <c r="BA397" s="228">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2"/>
      <c r="M398" s="277"/>
      <c r="N398" s="277"/>
      <c r="O398" s="277"/>
      <c r="P398" s="277"/>
      <c r="Q398" s="277"/>
      <c r="R398" s="277"/>
      <c r="S398" s="277"/>
      <c r="T398" s="277"/>
      <c r="U398" s="278"/>
      <c r="V398" s="103"/>
      <c r="W398" s="84">
        <f>Y398+1</f>
        <v>85</v>
      </c>
      <c r="X398" s="84"/>
      <c r="Y398" s="78">
        <f>SUM(E386:E398)</f>
        <v>84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8">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2"/>
      <c r="M399" s="277"/>
      <c r="N399" s="277"/>
      <c r="O399" s="277"/>
      <c r="P399" s="277"/>
      <c r="Q399" s="277"/>
      <c r="R399" s="277"/>
      <c r="S399" s="277"/>
      <c r="T399" s="277"/>
      <c r="U399" s="278"/>
      <c r="V399" s="103"/>
      <c r="W399" s="84">
        <f>Y399+1</f>
        <v>85</v>
      </c>
      <c r="X399" s="84"/>
      <c r="Y399" s="78">
        <f>SUM(E386:E399)</f>
        <v>84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8">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2"/>
      <c r="M400" s="277"/>
      <c r="N400" s="277"/>
      <c r="O400" s="277"/>
      <c r="P400" s="277"/>
      <c r="Q400" s="277"/>
      <c r="R400" s="277"/>
      <c r="S400" s="277"/>
      <c r="T400" s="277"/>
      <c r="U400" s="278"/>
      <c r="V400" s="103"/>
      <c r="W400" s="84">
        <f>Y400+1</f>
        <v>85</v>
      </c>
      <c r="X400" s="84"/>
      <c r="Y400" s="78">
        <f>SUM(E386:E400)</f>
        <v>84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8">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2"/>
      <c r="M401" s="277"/>
      <c r="N401" s="277"/>
      <c r="O401" s="277"/>
      <c r="P401" s="277"/>
      <c r="Q401" s="277"/>
      <c r="R401" s="277"/>
      <c r="S401" s="277"/>
      <c r="T401" s="277"/>
      <c r="U401" s="278"/>
      <c r="V401" s="103"/>
      <c r="W401" s="84">
        <f t="shared" ref="W401:W409" si="169">Y401+1</f>
        <v>85</v>
      </c>
      <c r="X401" s="84"/>
      <c r="Y401" s="78">
        <f>SUM(E386:E401)</f>
        <v>84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8">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2"/>
      <c r="M402" s="277"/>
      <c r="N402" s="277"/>
      <c r="O402" s="277"/>
      <c r="P402" s="277"/>
      <c r="Q402" s="277"/>
      <c r="R402" s="277"/>
      <c r="S402" s="277"/>
      <c r="T402" s="277"/>
      <c r="U402" s="278"/>
      <c r="V402" s="103"/>
      <c r="W402" s="84">
        <f t="shared" si="169"/>
        <v>85</v>
      </c>
      <c r="X402" s="84"/>
      <c r="Y402" s="78">
        <f>SUM(E386:E402)</f>
        <v>84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8">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2"/>
      <c r="M403" s="277"/>
      <c r="N403" s="277"/>
      <c r="O403" s="277"/>
      <c r="P403" s="277"/>
      <c r="Q403" s="277"/>
      <c r="R403" s="277"/>
      <c r="S403" s="277"/>
      <c r="T403" s="277"/>
      <c r="U403" s="278"/>
      <c r="V403" s="103"/>
      <c r="W403" s="84">
        <f t="shared" si="169"/>
        <v>85</v>
      </c>
      <c r="X403" s="84"/>
      <c r="Y403" s="78">
        <f>SUM(E386:E403)</f>
        <v>84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8">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2"/>
      <c r="M404" s="277"/>
      <c r="N404" s="277"/>
      <c r="O404" s="277"/>
      <c r="P404" s="277"/>
      <c r="Q404" s="277"/>
      <c r="R404" s="277"/>
      <c r="S404" s="277"/>
      <c r="T404" s="277"/>
      <c r="U404" s="278"/>
      <c r="V404" s="103"/>
      <c r="W404" s="84">
        <f t="shared" si="169"/>
        <v>85</v>
      </c>
      <c r="X404" s="84"/>
      <c r="Y404" s="78">
        <f>SUM(E386:E404)</f>
        <v>84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8">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2"/>
      <c r="M405" s="277"/>
      <c r="N405" s="277"/>
      <c r="O405" s="277"/>
      <c r="P405" s="277"/>
      <c r="Q405" s="277"/>
      <c r="R405" s="277"/>
      <c r="S405" s="277"/>
      <c r="T405" s="277"/>
      <c r="U405" s="278"/>
      <c r="V405" s="103"/>
      <c r="W405" s="84">
        <f t="shared" si="169"/>
        <v>85</v>
      </c>
      <c r="X405" s="84"/>
      <c r="Y405" s="78">
        <f>SUM(E386:E405)</f>
        <v>84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8">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2"/>
      <c r="M406" s="277"/>
      <c r="N406" s="277"/>
      <c r="O406" s="277"/>
      <c r="P406" s="277"/>
      <c r="Q406" s="277"/>
      <c r="R406" s="277"/>
      <c r="S406" s="277"/>
      <c r="T406" s="277"/>
      <c r="U406" s="278"/>
      <c r="V406" s="103"/>
      <c r="W406" s="84">
        <f t="shared" si="169"/>
        <v>85</v>
      </c>
      <c r="X406" s="84"/>
      <c r="Y406" s="78">
        <f>SUM(E386:E406)</f>
        <v>84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8">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2"/>
      <c r="M407" s="277"/>
      <c r="N407" s="277"/>
      <c r="O407" s="277"/>
      <c r="P407" s="277"/>
      <c r="Q407" s="277"/>
      <c r="R407" s="277"/>
      <c r="S407" s="277"/>
      <c r="T407" s="277"/>
      <c r="U407" s="278"/>
      <c r="V407" s="103"/>
      <c r="W407" s="84">
        <f t="shared" si="169"/>
        <v>85</v>
      </c>
      <c r="X407" s="84"/>
      <c r="Y407" s="78">
        <f>SUM(E386:E407)</f>
        <v>84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8">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2"/>
      <c r="M408" s="277"/>
      <c r="N408" s="277"/>
      <c r="O408" s="277"/>
      <c r="P408" s="277"/>
      <c r="Q408" s="277"/>
      <c r="R408" s="277"/>
      <c r="S408" s="277"/>
      <c r="T408" s="277"/>
      <c r="U408" s="278"/>
      <c r="V408" s="103"/>
      <c r="W408" s="84">
        <f t="shared" si="169"/>
        <v>85</v>
      </c>
      <c r="X408" s="84"/>
      <c r="Y408" s="78">
        <f>SUM(E386:E408)</f>
        <v>84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8">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2"/>
      <c r="M409" s="277"/>
      <c r="N409" s="277"/>
      <c r="O409" s="277"/>
      <c r="P409" s="277"/>
      <c r="Q409" s="277"/>
      <c r="R409" s="277"/>
      <c r="S409" s="277"/>
      <c r="T409" s="277"/>
      <c r="U409" s="278"/>
      <c r="V409" s="103"/>
      <c r="W409" s="84">
        <f t="shared" si="169"/>
        <v>85</v>
      </c>
      <c r="X409" s="84"/>
      <c r="Y409" s="78">
        <f>SUM(E386:E409)</f>
        <v>84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8">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3"/>
      <c r="M410" s="277"/>
      <c r="N410" s="277"/>
      <c r="O410" s="277"/>
      <c r="P410" s="277"/>
      <c r="Q410" s="277"/>
      <c r="R410" s="277"/>
      <c r="S410" s="277"/>
      <c r="T410" s="277"/>
      <c r="U410" s="278"/>
      <c r="V410" s="103"/>
      <c r="W410" s="72"/>
      <c r="X410" s="72"/>
      <c r="Y410" s="78">
        <f>SUM(E386:E410)</f>
        <v>84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7"/>
    </row>
    <row r="411" spans="1:53" ht="16.5" thickBot="1" x14ac:dyDescent="0.3">
      <c r="A411" s="88"/>
      <c r="B411" s="318" t="s">
        <v>323</v>
      </c>
      <c r="C411" s="319"/>
      <c r="D411" s="79"/>
      <c r="E411" s="80"/>
      <c r="F411" s="80"/>
      <c r="G411" s="81"/>
      <c r="H411" s="191"/>
      <c r="I411" s="191"/>
      <c r="J411" s="191"/>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2</v>
      </c>
      <c r="AP411" s="109">
        <f>(COUNTIF(AO386:AO410,"Y")/3)</f>
        <v>1</v>
      </c>
      <c r="AQ411" s="109">
        <f>(COUNTIF(AQ386:AQ410,"Y")/2)</f>
        <v>0</v>
      </c>
      <c r="AR411" s="109">
        <f>(COUNTIF(AQ386:AQ410,"Y")/2)</f>
        <v>0</v>
      </c>
      <c r="BA411" s="227"/>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5"/>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5" t="s">
        <v>210</v>
      </c>
      <c r="N415" s="195" t="s">
        <v>211</v>
      </c>
      <c r="O415" s="195" t="s">
        <v>212</v>
      </c>
      <c r="P415" s="195" t="s">
        <v>213</v>
      </c>
      <c r="Q415" s="195" t="s">
        <v>214</v>
      </c>
      <c r="R415" s="195" t="s">
        <v>215</v>
      </c>
      <c r="S415" s="195" t="s">
        <v>216</v>
      </c>
      <c r="T415" s="195" t="s">
        <v>217</v>
      </c>
      <c r="U415" s="195" t="s">
        <v>218</v>
      </c>
      <c r="V415" s="195" t="s">
        <v>219</v>
      </c>
      <c r="W415" s="113" t="s">
        <v>220</v>
      </c>
      <c r="X415" s="195" t="s">
        <v>221</v>
      </c>
      <c r="Y415" s="25"/>
      <c r="Z415" s="25"/>
      <c r="AA415" s="25"/>
      <c r="AB415" s="25"/>
      <c r="AC415" s="25"/>
      <c r="AD415" s="25"/>
      <c r="BA415" s="225"/>
    </row>
    <row r="416" spans="1:53" ht="16.5" thickTop="1" thickBot="1" x14ac:dyDescent="0.3">
      <c r="A416" s="88"/>
      <c r="B416" s="311" t="s">
        <v>222</v>
      </c>
      <c r="C416" s="312"/>
      <c r="D416" s="313" t="s">
        <v>223</v>
      </c>
      <c r="E416" s="304"/>
      <c r="F416" s="88"/>
      <c r="G416" s="314" t="s">
        <v>224</v>
      </c>
      <c r="H416" s="315"/>
      <c r="I416" s="28">
        <f>SUM(E427:E451)</f>
        <v>36</v>
      </c>
      <c r="J416" s="316" t="s">
        <v>225</v>
      </c>
      <c r="K416" s="317"/>
      <c r="L416" s="304"/>
      <c r="M416" s="195">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t="str">
        <f>IF(OR($AS417="Y",$AS418="Y",$AS419="Y"),"",COUNTIFS($E417,"SS",$E422,"Y"))</f>
        <v/>
      </c>
      <c r="AV416" s="111" t="str">
        <f>IF(OR($AS417="Y",$AS418="Y",$AS419="Y"),"",COUNTIFS($E417,"RPX",$E422,"Y"))</f>
        <v/>
      </c>
      <c r="AW416" s="111" t="str">
        <f>IF(OR($AS417="Y",$AS418="Y",$AS419="Y"),"",COUNTIFS($E417,"EUC",$E422,"Y"))</f>
        <v/>
      </c>
      <c r="AX416" s="109" t="str">
        <f>IF(OR($AS417="Y",$AS418="Y",$AS419="Y"),"",COUNTIFS($E417,"RPX-T",$E422,"Y"))</f>
        <v/>
      </c>
      <c r="BA416" s="225"/>
    </row>
    <row r="417" spans="1:53" ht="16.5" customHeight="1" thickTop="1" thickBot="1" x14ac:dyDescent="0.3">
      <c r="A417" s="88"/>
      <c r="B417" s="29" t="s">
        <v>228</v>
      </c>
      <c r="C417" s="30">
        <v>0</v>
      </c>
      <c r="D417" s="31" t="s">
        <v>229</v>
      </c>
      <c r="E417" s="66" t="str">
        <f>TEXT(IF('Cable Calculator'!BB7="","",'Cable Calculator'!BB7),)</f>
        <v>RPX</v>
      </c>
      <c r="F417" s="88"/>
      <c r="G417" s="303" t="s">
        <v>230</v>
      </c>
      <c r="H417" s="304"/>
      <c r="I417" s="33">
        <f>E418-I416</f>
        <v>12</v>
      </c>
      <c r="J417" s="288" t="s">
        <v>231</v>
      </c>
      <c r="K417" s="289"/>
      <c r="L417" s="34">
        <f>I421</f>
        <v>457</v>
      </c>
      <c r="M417" s="195">
        <v>4</v>
      </c>
      <c r="N417" s="35">
        <f>SUM(AI417,AI428)</f>
        <v>0</v>
      </c>
      <c r="O417" s="35">
        <v>0</v>
      </c>
      <c r="P417" s="35">
        <f>SUM(AJ417,AJ428)</f>
        <v>5</v>
      </c>
      <c r="Q417" s="35">
        <v>0</v>
      </c>
      <c r="R417" s="35">
        <f>COUNTIFS($E427:$E451,"4",$F427:$F451,"Pole",$C427:$C451,"FST")</f>
        <v>5</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f>IF($E417="RPX",COUNTIFS($C427:$C451,"FST",$E427:$E451,"4"),"0")</f>
        <v>5</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6"/>
    </row>
    <row r="418" spans="1:53" ht="16.5" thickTop="1" thickBot="1" x14ac:dyDescent="0.3">
      <c r="A418" s="88"/>
      <c r="B418" s="36" t="s">
        <v>235</v>
      </c>
      <c r="C418" s="37">
        <v>0</v>
      </c>
      <c r="D418" s="38" t="s">
        <v>236</v>
      </c>
      <c r="E418" s="32">
        <v>48</v>
      </c>
      <c r="F418" s="88"/>
      <c r="G418" s="290" t="s">
        <v>237</v>
      </c>
      <c r="H418" s="291"/>
      <c r="I418" s="35">
        <f>IF(E418=0,0,12-(MOD(I416,12)))</f>
        <v>12</v>
      </c>
      <c r="J418" s="288" t="s">
        <v>238</v>
      </c>
      <c r="K418" s="289"/>
      <c r="L418" s="39">
        <f>I422-I416</f>
        <v>456</v>
      </c>
      <c r="M418" s="195">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Y</v>
      </c>
      <c r="AT418" s="110" t="s">
        <v>239</v>
      </c>
      <c r="AU418" s="109">
        <f>COUNTIFS($E417,"SS",$AS418,"Y")</f>
        <v>0</v>
      </c>
      <c r="AV418" s="108">
        <f>COUNTIFS($E417,"RPX",$AS418,"Y")</f>
        <v>1</v>
      </c>
      <c r="AW418" s="108">
        <f>COUNTIFS($E417,"EUC",$AS418,"Y")</f>
        <v>0</v>
      </c>
      <c r="AX418" s="109">
        <f>COUNTIFS($E417,"RPX-T",$AS418,"Y")</f>
        <v>0</v>
      </c>
      <c r="BA418" s="226"/>
    </row>
    <row r="419" spans="1:53" ht="16.5" customHeight="1" thickTop="1" thickBot="1" x14ac:dyDescent="0.3">
      <c r="A419" s="88"/>
      <c r="B419" s="40" t="s">
        <v>240</v>
      </c>
      <c r="C419" s="30">
        <v>0</v>
      </c>
      <c r="D419" s="41" t="s">
        <v>241</v>
      </c>
      <c r="E419" s="42">
        <v>12</v>
      </c>
      <c r="F419" s="88"/>
      <c r="G419" s="320" t="s">
        <v>242</v>
      </c>
      <c r="H419" s="43" t="s">
        <v>243</v>
      </c>
      <c r="I419" s="35">
        <f>IF(E419&lt;&gt;0,1,0)</f>
        <v>1</v>
      </c>
      <c r="J419" s="290" t="s">
        <v>244</v>
      </c>
      <c r="K419" s="291"/>
      <c r="L419" s="44">
        <f>'Cable Calculator'!BB3</f>
        <v>1656</v>
      </c>
      <c r="M419" s="195">
        <v>8</v>
      </c>
      <c r="N419" s="35">
        <f>SUM(AI419,AI430)</f>
        <v>0</v>
      </c>
      <c r="O419" s="35">
        <v>0</v>
      </c>
      <c r="P419" s="35">
        <f>SUM(AJ419,AJ430)</f>
        <v>2</v>
      </c>
      <c r="Q419" s="35">
        <v>0</v>
      </c>
      <c r="R419" s="35">
        <f>COUNTIFS($E427:$E451,"8",$F427:$F451,"Pole",$C427:$C451,"FST")</f>
        <v>2</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2</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6"/>
    </row>
    <row r="420" spans="1:53" ht="16.5" thickTop="1" thickBot="1" x14ac:dyDescent="0.3">
      <c r="A420" s="88"/>
      <c r="B420" s="29" t="s">
        <v>246</v>
      </c>
      <c r="C420" s="37">
        <v>0</v>
      </c>
      <c r="D420" s="41" t="s">
        <v>247</v>
      </c>
      <c r="E420" s="42">
        <v>457</v>
      </c>
      <c r="F420" s="88"/>
      <c r="G420" s="321"/>
      <c r="H420" s="47" t="s">
        <v>248</v>
      </c>
      <c r="I420" s="35">
        <f>IF(E419&lt;&gt;0,E419,0)</f>
        <v>12</v>
      </c>
      <c r="J420" s="193"/>
      <c r="K420" s="194"/>
      <c r="L420" s="48"/>
      <c r="M420" s="195">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6"/>
    </row>
    <row r="421" spans="1:53" ht="16.5" customHeight="1" thickTop="1" thickBot="1" x14ac:dyDescent="0.3">
      <c r="A421" s="88"/>
      <c r="B421" s="36" t="s">
        <v>249</v>
      </c>
      <c r="C421" s="30">
        <v>0</v>
      </c>
      <c r="D421" s="49" t="s">
        <v>250</v>
      </c>
      <c r="E421" s="50">
        <f>E418/12</f>
        <v>4</v>
      </c>
      <c r="F421" s="88"/>
      <c r="G421" s="320" t="s">
        <v>251</v>
      </c>
      <c r="H421" s="51" t="s">
        <v>252</v>
      </c>
      <c r="I421" s="112">
        <f>E420</f>
        <v>457</v>
      </c>
      <c r="J421" s="322" t="s">
        <v>253</v>
      </c>
      <c r="K421" s="323"/>
      <c r="L421" s="324"/>
      <c r="M421" s="52" t="s">
        <v>254</v>
      </c>
      <c r="N421" s="106"/>
      <c r="O421" s="106"/>
      <c r="P421" s="191"/>
      <c r="Q421" s="191"/>
      <c r="R421" s="191"/>
      <c r="S421" s="191"/>
      <c r="T421" s="191"/>
      <c r="U421" s="191"/>
      <c r="V421" s="191"/>
      <c r="W421" s="53">
        <f>SUM(P421:U421)</f>
        <v>0</v>
      </c>
      <c r="X421" s="54"/>
      <c r="Y421" s="25"/>
      <c r="Z421" s="45">
        <v>3</v>
      </c>
      <c r="AA421" s="46">
        <v>25</v>
      </c>
      <c r="AB421" s="46">
        <v>36</v>
      </c>
      <c r="AC421" s="25"/>
      <c r="AD421" s="25"/>
      <c r="BA421" s="226"/>
    </row>
    <row r="422" spans="1:53" ht="16.5" thickTop="1" thickBot="1" x14ac:dyDescent="0.3">
      <c r="A422" s="88"/>
      <c r="B422" s="36" t="s">
        <v>255</v>
      </c>
      <c r="C422" s="30">
        <v>0</v>
      </c>
      <c r="D422" s="31" t="s">
        <v>256</v>
      </c>
      <c r="E422" s="101" t="str">
        <f>IF('Cable Calculator'!BB5="","",'Cable Calculator'!BB5)</f>
        <v>Y</v>
      </c>
      <c r="F422" s="88"/>
      <c r="G422" s="321"/>
      <c r="H422" s="47" t="s">
        <v>257</v>
      </c>
      <c r="I422" s="35">
        <f>IF(E420="","0",IF(AND(E417="EUC",E418=432), I421+(203-E419),IF(E420=0,0,(E420+(E418-E419)-1))))</f>
        <v>492</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6"/>
    </row>
    <row r="423" spans="1:53" ht="16.5" thickTop="1" thickBot="1" x14ac:dyDescent="0.3">
      <c r="A423" s="88"/>
      <c r="B423" s="55" t="s">
        <v>258</v>
      </c>
      <c r="C423" s="56">
        <f>SUM(C417:C422)+I416</f>
        <v>36</v>
      </c>
      <c r="D423" s="31" t="s">
        <v>259</v>
      </c>
      <c r="E423" s="101" t="str">
        <f>IF(AS417="Y","DBL",IF(AS418="Y","TRPL",IF(AS419="Y","QUAD","")))</f>
        <v>TRPL</v>
      </c>
      <c r="F423" s="88"/>
      <c r="G423" s="191"/>
      <c r="H423" s="57"/>
      <c r="I423" s="191"/>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6"/>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5"/>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7"/>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7"/>
    </row>
    <row r="427" spans="1:53" ht="15.75" thickBot="1" x14ac:dyDescent="0.3">
      <c r="A427" s="88"/>
      <c r="B427" s="66" t="s">
        <v>276</v>
      </c>
      <c r="C427" s="67" t="s">
        <v>484</v>
      </c>
      <c r="D427" s="102" t="s">
        <v>756</v>
      </c>
      <c r="E427" s="32">
        <v>4</v>
      </c>
      <c r="F427" s="32" t="s">
        <v>483</v>
      </c>
      <c r="G427" s="68" t="s">
        <v>277</v>
      </c>
      <c r="H427" s="69">
        <f>IF(I427=0,0,I427-(E427-1))</f>
        <v>489</v>
      </c>
      <c r="I427" s="70">
        <f>IF(E427=0,0,I422)</f>
        <v>492</v>
      </c>
      <c r="J427" s="71" t="s">
        <v>278</v>
      </c>
      <c r="K427" s="32"/>
      <c r="L427" s="232"/>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489-492</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8">
        <f>MOD(E427,12)</f>
        <v>4</v>
      </c>
    </row>
    <row r="428" spans="1:53" ht="15.75" thickBot="1" x14ac:dyDescent="0.3">
      <c r="A428" s="88"/>
      <c r="B428" s="66" t="s">
        <v>279</v>
      </c>
      <c r="C428" s="67" t="s">
        <v>484</v>
      </c>
      <c r="D428" s="102" t="s">
        <v>757</v>
      </c>
      <c r="E428" s="32">
        <v>4</v>
      </c>
      <c r="F428" s="32" t="s">
        <v>483</v>
      </c>
      <c r="G428" s="68" t="s">
        <v>277</v>
      </c>
      <c r="H428" s="69">
        <f t="shared" ref="H428:H451" si="179">IF(E428=0,0,I428-(E428-1))</f>
        <v>485</v>
      </c>
      <c r="I428" s="70">
        <f t="shared" ref="I428:I451" si="180">IF(E428=0,0,H427-1)</f>
        <v>488</v>
      </c>
      <c r="J428" s="73" t="str">
        <f>IF(C428="","--",IF(AND(C428&lt;&gt;"FST",C428&lt;&gt;"TCF",BA427&lt;&gt;0),BA427,"--"))</f>
        <v>--</v>
      </c>
      <c r="K428" s="32"/>
      <c r="L428" s="232"/>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0</v>
      </c>
      <c r="AE428" s="109" t="str">
        <f t="shared" si="172"/>
        <v>485-488</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8">
        <f>MOD(SUM(E427:E428),12)</f>
        <v>8</v>
      </c>
    </row>
    <row r="429" spans="1:53" ht="15.75" thickBot="1" x14ac:dyDescent="0.3">
      <c r="A429" s="88"/>
      <c r="B429" s="74" t="s">
        <v>280</v>
      </c>
      <c r="C429" s="67" t="s">
        <v>484</v>
      </c>
      <c r="D429" s="102" t="s">
        <v>758</v>
      </c>
      <c r="E429" s="32">
        <v>8</v>
      </c>
      <c r="F429" s="32" t="s">
        <v>483</v>
      </c>
      <c r="G429" s="75" t="s">
        <v>277</v>
      </c>
      <c r="H429" s="69">
        <f t="shared" si="179"/>
        <v>477</v>
      </c>
      <c r="I429" s="70">
        <f t="shared" si="180"/>
        <v>484</v>
      </c>
      <c r="J429" s="73" t="str">
        <f t="shared" ref="J429:J451" si="181">IF(C429="","--",IF(AND(C429&lt;&gt;"FST",C429&lt;&gt;"TCF",BA428&lt;&gt;0),BA428,"--"))</f>
        <v>--</v>
      </c>
      <c r="K429" s="32"/>
      <c r="L429" s="232"/>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0</v>
      </c>
      <c r="AE429" s="109" t="str">
        <f t="shared" si="172"/>
        <v>477-484</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8">
        <f>MOD(SUM(E427:E430),12)</f>
        <v>0</v>
      </c>
    </row>
    <row r="430" spans="1:53" ht="15.75" thickBot="1" x14ac:dyDescent="0.3">
      <c r="A430" s="88"/>
      <c r="B430" s="66" t="s">
        <v>281</v>
      </c>
      <c r="C430" s="67" t="s">
        <v>484</v>
      </c>
      <c r="D430" s="102" t="s">
        <v>811</v>
      </c>
      <c r="E430" s="32">
        <v>8</v>
      </c>
      <c r="F430" s="32" t="s">
        <v>483</v>
      </c>
      <c r="G430" s="68" t="s">
        <v>277</v>
      </c>
      <c r="H430" s="69">
        <f t="shared" si="179"/>
        <v>469</v>
      </c>
      <c r="I430" s="70">
        <f t="shared" si="180"/>
        <v>476</v>
      </c>
      <c r="J430" s="73" t="str">
        <f t="shared" si="181"/>
        <v>--</v>
      </c>
      <c r="K430" s="32"/>
      <c r="L430" s="232"/>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0</v>
      </c>
      <c r="AE430" s="109" t="str">
        <f t="shared" si="172"/>
        <v>469-476</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8">
        <f>MOD(SUM(E427:E431),12)</f>
        <v>4</v>
      </c>
    </row>
    <row r="431" spans="1:53" ht="15.75" thickBot="1" x14ac:dyDescent="0.3">
      <c r="A431" s="88"/>
      <c r="B431" s="66" t="s">
        <v>282</v>
      </c>
      <c r="C431" s="67" t="s">
        <v>484</v>
      </c>
      <c r="D431" s="102" t="s">
        <v>812</v>
      </c>
      <c r="E431" s="32">
        <v>4</v>
      </c>
      <c r="F431" s="32" t="s">
        <v>483</v>
      </c>
      <c r="G431" s="68" t="s">
        <v>277</v>
      </c>
      <c r="H431" s="69">
        <f t="shared" si="179"/>
        <v>465</v>
      </c>
      <c r="I431" s="70">
        <f t="shared" si="180"/>
        <v>468</v>
      </c>
      <c r="J431" s="73" t="str">
        <f t="shared" si="181"/>
        <v>--</v>
      </c>
      <c r="K431" s="32"/>
      <c r="L431" s="232"/>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465-468</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8">
        <f>MOD(SUM(E427:E432),12)</f>
        <v>8</v>
      </c>
    </row>
    <row r="432" spans="1:53" ht="15.75" thickBot="1" x14ac:dyDescent="0.3">
      <c r="A432" s="88"/>
      <c r="B432" s="66" t="s">
        <v>283</v>
      </c>
      <c r="C432" s="67" t="s">
        <v>484</v>
      </c>
      <c r="D432" s="102" t="s">
        <v>813</v>
      </c>
      <c r="E432" s="32">
        <v>4</v>
      </c>
      <c r="F432" s="32" t="s">
        <v>483</v>
      </c>
      <c r="G432" s="68" t="s">
        <v>277</v>
      </c>
      <c r="H432" s="69">
        <f t="shared" si="179"/>
        <v>461</v>
      </c>
      <c r="I432" s="70">
        <f t="shared" si="180"/>
        <v>464</v>
      </c>
      <c r="J432" s="73" t="str">
        <f t="shared" si="181"/>
        <v>--</v>
      </c>
      <c r="K432" s="32"/>
      <c r="L432" s="232"/>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0</v>
      </c>
      <c r="AE432" s="109" t="str">
        <f t="shared" si="172"/>
        <v>461-464</v>
      </c>
      <c r="AF432" s="109" t="str">
        <f t="shared" si="173"/>
        <v>Y</v>
      </c>
      <c r="AG432" s="109" t="str">
        <f t="shared" si="174"/>
        <v>A</v>
      </c>
      <c r="AM432" s="109">
        <f t="shared" si="175"/>
        <v>0</v>
      </c>
      <c r="AN432" s="109">
        <f t="shared" si="176"/>
        <v>0</v>
      </c>
      <c r="AO432" s="109" t="str">
        <f t="shared" si="177"/>
        <v/>
      </c>
      <c r="AQ432" s="109" t="str">
        <f t="shared" si="178"/>
        <v/>
      </c>
      <c r="BA432" s="228">
        <f>MOD(SUM(E427:E433),12)</f>
        <v>0</v>
      </c>
    </row>
    <row r="433" spans="1:53" ht="15.75" thickBot="1" x14ac:dyDescent="0.3">
      <c r="A433" s="88"/>
      <c r="B433" s="66" t="s">
        <v>284</v>
      </c>
      <c r="C433" s="67" t="s">
        <v>484</v>
      </c>
      <c r="D433" s="102" t="s">
        <v>814</v>
      </c>
      <c r="E433" s="32">
        <v>4</v>
      </c>
      <c r="F433" s="32" t="s">
        <v>483</v>
      </c>
      <c r="G433" s="68" t="s">
        <v>277</v>
      </c>
      <c r="H433" s="69">
        <f t="shared" si="179"/>
        <v>457</v>
      </c>
      <c r="I433" s="70">
        <f t="shared" si="180"/>
        <v>460</v>
      </c>
      <c r="J433" s="73" t="str">
        <f t="shared" si="181"/>
        <v>--</v>
      </c>
      <c r="K433" s="32"/>
      <c r="L433" s="232"/>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0</v>
      </c>
      <c r="AE433" s="109" t="str">
        <f t="shared" si="172"/>
        <v>457-460</v>
      </c>
      <c r="AF433" s="109" t="str">
        <f t="shared" si="173"/>
        <v>Y</v>
      </c>
      <c r="AG433" s="109" t="str">
        <f t="shared" si="174"/>
        <v>A</v>
      </c>
      <c r="AM433" s="109">
        <f t="shared" si="175"/>
        <v>0</v>
      </c>
      <c r="AN433" s="109">
        <f t="shared" si="176"/>
        <v>0</v>
      </c>
      <c r="AO433" s="109" t="str">
        <f t="shared" si="177"/>
        <v/>
      </c>
      <c r="AQ433" s="109" t="str">
        <f t="shared" si="178"/>
        <v/>
      </c>
      <c r="BA433" s="228">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2"/>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8">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2"/>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8">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2"/>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8">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2"/>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8">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2"/>
      <c r="M438" s="277"/>
      <c r="N438" s="277"/>
      <c r="O438" s="277"/>
      <c r="P438" s="277"/>
      <c r="Q438" s="277"/>
      <c r="R438" s="277"/>
      <c r="S438" s="277"/>
      <c r="T438" s="277"/>
      <c r="U438" s="278"/>
      <c r="V438" s="103"/>
      <c r="W438" s="84">
        <f>Y438+1</f>
        <v>37</v>
      </c>
      <c r="X438" s="84"/>
      <c r="Y438" s="78">
        <f>SUM(E427:E438)</f>
        <v>36</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8">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2"/>
      <c r="M439" s="277"/>
      <c r="N439" s="277"/>
      <c r="O439" s="277"/>
      <c r="P439" s="277"/>
      <c r="Q439" s="277"/>
      <c r="R439" s="277"/>
      <c r="S439" s="277"/>
      <c r="T439" s="277"/>
      <c r="U439" s="278"/>
      <c r="V439" s="103"/>
      <c r="W439" s="84">
        <f>Y439+1</f>
        <v>37</v>
      </c>
      <c r="X439" s="84"/>
      <c r="Y439" s="78">
        <f>SUM(E427:E439)</f>
        <v>36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8">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2"/>
      <c r="M440" s="277"/>
      <c r="N440" s="277"/>
      <c r="O440" s="277"/>
      <c r="P440" s="277"/>
      <c r="Q440" s="277"/>
      <c r="R440" s="277"/>
      <c r="S440" s="277"/>
      <c r="T440" s="277"/>
      <c r="U440" s="278"/>
      <c r="V440" s="103"/>
      <c r="W440" s="84">
        <f>Y440+1</f>
        <v>37</v>
      </c>
      <c r="X440" s="84"/>
      <c r="Y440" s="78">
        <f>SUM(E427:E440)</f>
        <v>36</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8">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2"/>
      <c r="M441" s="277"/>
      <c r="N441" s="277"/>
      <c r="O441" s="277"/>
      <c r="P441" s="277"/>
      <c r="Q441" s="277"/>
      <c r="R441" s="277"/>
      <c r="S441" s="277"/>
      <c r="T441" s="277"/>
      <c r="U441" s="278"/>
      <c r="V441" s="103"/>
      <c r="W441" s="84">
        <f>Y441+1</f>
        <v>37</v>
      </c>
      <c r="X441" s="84"/>
      <c r="Y441" s="78">
        <f>SUM(E427:E441)</f>
        <v>36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8">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2"/>
      <c r="M442" s="277"/>
      <c r="N442" s="277"/>
      <c r="O442" s="277"/>
      <c r="P442" s="277"/>
      <c r="Q442" s="277"/>
      <c r="R442" s="277"/>
      <c r="S442" s="277"/>
      <c r="T442" s="277"/>
      <c r="U442" s="278"/>
      <c r="V442" s="103"/>
      <c r="W442" s="84">
        <f t="shared" ref="W442:W450" si="186">Y442+1</f>
        <v>37</v>
      </c>
      <c r="X442" s="84"/>
      <c r="Y442" s="78">
        <f>SUM(E427:E442)</f>
        <v>36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8">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2"/>
      <c r="M443" s="277"/>
      <c r="N443" s="277"/>
      <c r="O443" s="277"/>
      <c r="P443" s="277"/>
      <c r="Q443" s="277"/>
      <c r="R443" s="277"/>
      <c r="S443" s="277"/>
      <c r="T443" s="277"/>
      <c r="U443" s="278"/>
      <c r="V443" s="103"/>
      <c r="W443" s="84">
        <f t="shared" si="186"/>
        <v>37</v>
      </c>
      <c r="X443" s="84"/>
      <c r="Y443" s="78">
        <f>SUM(E427:E443)</f>
        <v>36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8">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2"/>
      <c r="M444" s="277"/>
      <c r="N444" s="277"/>
      <c r="O444" s="277"/>
      <c r="P444" s="277"/>
      <c r="Q444" s="277"/>
      <c r="R444" s="277"/>
      <c r="S444" s="277"/>
      <c r="T444" s="277"/>
      <c r="U444" s="278"/>
      <c r="V444" s="103"/>
      <c r="W444" s="84">
        <f t="shared" si="186"/>
        <v>37</v>
      </c>
      <c r="X444" s="84"/>
      <c r="Y444" s="78">
        <f>SUM(E427:E444)</f>
        <v>36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8">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2"/>
      <c r="M445" s="277"/>
      <c r="N445" s="277"/>
      <c r="O445" s="277"/>
      <c r="P445" s="277"/>
      <c r="Q445" s="277"/>
      <c r="R445" s="277"/>
      <c r="S445" s="277"/>
      <c r="T445" s="277"/>
      <c r="U445" s="278"/>
      <c r="V445" s="103"/>
      <c r="W445" s="84">
        <f t="shared" si="186"/>
        <v>37</v>
      </c>
      <c r="X445" s="84"/>
      <c r="Y445" s="78">
        <f>SUM(E427:E445)</f>
        <v>36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8">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2"/>
      <c r="M446" s="277"/>
      <c r="N446" s="277"/>
      <c r="O446" s="277"/>
      <c r="P446" s="277"/>
      <c r="Q446" s="277"/>
      <c r="R446" s="277"/>
      <c r="S446" s="277"/>
      <c r="T446" s="277"/>
      <c r="U446" s="278"/>
      <c r="V446" s="103"/>
      <c r="W446" s="84">
        <f t="shared" si="186"/>
        <v>37</v>
      </c>
      <c r="X446" s="84"/>
      <c r="Y446" s="78">
        <f>SUM(E427:E446)</f>
        <v>36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8">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2"/>
      <c r="M447" s="277"/>
      <c r="N447" s="277"/>
      <c r="O447" s="277"/>
      <c r="P447" s="277"/>
      <c r="Q447" s="277"/>
      <c r="R447" s="277"/>
      <c r="S447" s="277"/>
      <c r="T447" s="277"/>
      <c r="U447" s="278"/>
      <c r="V447" s="103"/>
      <c r="W447" s="84">
        <f t="shared" si="186"/>
        <v>37</v>
      </c>
      <c r="X447" s="84"/>
      <c r="Y447" s="78">
        <f>SUM(E427:E447)</f>
        <v>36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8">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2"/>
      <c r="M448" s="277"/>
      <c r="N448" s="277"/>
      <c r="O448" s="277"/>
      <c r="P448" s="277"/>
      <c r="Q448" s="277"/>
      <c r="R448" s="277"/>
      <c r="S448" s="277"/>
      <c r="T448" s="277"/>
      <c r="U448" s="278"/>
      <c r="V448" s="103"/>
      <c r="W448" s="84">
        <f t="shared" si="186"/>
        <v>37</v>
      </c>
      <c r="X448" s="84"/>
      <c r="Y448" s="78">
        <f>SUM(E427:E448)</f>
        <v>36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8">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2"/>
      <c r="M449" s="277"/>
      <c r="N449" s="277"/>
      <c r="O449" s="277"/>
      <c r="P449" s="277"/>
      <c r="Q449" s="277"/>
      <c r="R449" s="277"/>
      <c r="S449" s="277"/>
      <c r="T449" s="277"/>
      <c r="U449" s="278"/>
      <c r="V449" s="103"/>
      <c r="W449" s="84">
        <f t="shared" si="186"/>
        <v>37</v>
      </c>
      <c r="X449" s="84"/>
      <c r="Y449" s="78">
        <f>SUM(E427:E449)</f>
        <v>36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8">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2"/>
      <c r="M450" s="277"/>
      <c r="N450" s="277"/>
      <c r="O450" s="277"/>
      <c r="P450" s="277"/>
      <c r="Q450" s="277"/>
      <c r="R450" s="277"/>
      <c r="S450" s="277"/>
      <c r="T450" s="277"/>
      <c r="U450" s="278"/>
      <c r="V450" s="103"/>
      <c r="W450" s="84">
        <f t="shared" si="186"/>
        <v>37</v>
      </c>
      <c r="X450" s="84"/>
      <c r="Y450" s="78">
        <f>SUM(E427:E450)</f>
        <v>36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8">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3"/>
      <c r="M451" s="277"/>
      <c r="N451" s="277"/>
      <c r="O451" s="277"/>
      <c r="P451" s="277"/>
      <c r="Q451" s="277"/>
      <c r="R451" s="277"/>
      <c r="S451" s="277"/>
      <c r="T451" s="277"/>
      <c r="U451" s="278"/>
      <c r="V451" s="103"/>
      <c r="W451" s="72"/>
      <c r="X451" s="72"/>
      <c r="Y451" s="78">
        <f>SUM(E427:E451)</f>
        <v>36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7"/>
    </row>
    <row r="452" spans="1:53" ht="16.5" thickBot="1" x14ac:dyDescent="0.3">
      <c r="A452" s="88"/>
      <c r="B452" s="318" t="s">
        <v>325</v>
      </c>
      <c r="C452" s="319"/>
      <c r="D452" s="79"/>
      <c r="E452" s="80"/>
      <c r="F452" s="80"/>
      <c r="G452" s="81"/>
      <c r="H452" s="191"/>
      <c r="I452" s="191"/>
      <c r="J452" s="191"/>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7"/>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5"/>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5" t="s">
        <v>210</v>
      </c>
      <c r="N456" s="195" t="s">
        <v>211</v>
      </c>
      <c r="O456" s="195" t="s">
        <v>212</v>
      </c>
      <c r="P456" s="195" t="s">
        <v>213</v>
      </c>
      <c r="Q456" s="195" t="s">
        <v>214</v>
      </c>
      <c r="R456" s="195" t="s">
        <v>215</v>
      </c>
      <c r="S456" s="195" t="s">
        <v>216</v>
      </c>
      <c r="T456" s="195" t="s">
        <v>217</v>
      </c>
      <c r="U456" s="195" t="s">
        <v>218</v>
      </c>
      <c r="V456" s="195" t="s">
        <v>219</v>
      </c>
      <c r="W456" s="113" t="s">
        <v>220</v>
      </c>
      <c r="X456" s="195" t="s">
        <v>221</v>
      </c>
      <c r="Y456" s="25"/>
      <c r="Z456" s="25"/>
      <c r="AA456" s="25"/>
      <c r="AB456" s="25"/>
      <c r="AC456" s="25"/>
      <c r="AD456" s="25"/>
      <c r="BA456" s="225"/>
    </row>
    <row r="457" spans="1:53" ht="16.5" thickTop="1" thickBot="1" x14ac:dyDescent="0.3">
      <c r="A457" s="88"/>
      <c r="B457" s="311" t="s">
        <v>222</v>
      </c>
      <c r="C457" s="312"/>
      <c r="D457" s="313" t="s">
        <v>223</v>
      </c>
      <c r="E457" s="304"/>
      <c r="F457" s="88"/>
      <c r="G457" s="314" t="s">
        <v>224</v>
      </c>
      <c r="H457" s="315"/>
      <c r="I457" s="28">
        <f>SUM(E468:E492)</f>
        <v>36</v>
      </c>
      <c r="J457" s="316" t="s">
        <v>225</v>
      </c>
      <c r="K457" s="317"/>
      <c r="L457" s="304"/>
      <c r="M457" s="195">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4" t="s">
        <v>226</v>
      </c>
      <c r="AA457" s="295"/>
      <c r="AB457" s="296"/>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5"/>
    </row>
    <row r="458" spans="1:53" ht="16.5" customHeight="1" thickTop="1" thickBot="1" x14ac:dyDescent="0.3">
      <c r="A458" s="88"/>
      <c r="B458" s="29" t="s">
        <v>228</v>
      </c>
      <c r="C458" s="30">
        <v>0</v>
      </c>
      <c r="D458" s="31" t="s">
        <v>229</v>
      </c>
      <c r="E458" s="66" t="str">
        <f>TEXT(IF('Cable Calculator'!BG7="","",'Cable Calculator'!BG7),)</f>
        <v>EUC</v>
      </c>
      <c r="F458" s="88"/>
      <c r="G458" s="303" t="s">
        <v>230</v>
      </c>
      <c r="H458" s="304"/>
      <c r="I458" s="33">
        <f>E459-I457</f>
        <v>12</v>
      </c>
      <c r="J458" s="288" t="s">
        <v>231</v>
      </c>
      <c r="K458" s="289"/>
      <c r="L458" s="34">
        <f>I462</f>
        <v>661</v>
      </c>
      <c r="M458" s="195">
        <v>4</v>
      </c>
      <c r="N458" s="35">
        <f>SUM(AI458,AI469)</f>
        <v>0</v>
      </c>
      <c r="O458" s="35">
        <v>0</v>
      </c>
      <c r="P458" s="35">
        <f>SUM(AJ458,AJ469)</f>
        <v>0</v>
      </c>
      <c r="Q458" s="35">
        <v>0</v>
      </c>
      <c r="R458" s="35">
        <f>COUNTIFS($E468:$E492,"4",$F468:$F492,"Pole",$C468:$C492,"FST")</f>
        <v>0</v>
      </c>
      <c r="S458" s="35">
        <f>SUM(AL458,AK469)</f>
        <v>0</v>
      </c>
      <c r="T458" s="35">
        <v>0</v>
      </c>
      <c r="U458" s="35">
        <f>SUM(AK458,AL469)</f>
        <v>9</v>
      </c>
      <c r="V458" s="35">
        <v>0</v>
      </c>
      <c r="W458" s="34">
        <f>COUNTIFS($E468:$E492,"4",$F468:$F492,"HH",$C468:$C492,"FST")</f>
        <v>9</v>
      </c>
      <c r="X458" s="35">
        <f>COUNTIFS($E468:$E492,"4",$F468:$F492,"Ped",$C468:$C492,"FST")</f>
        <v>0</v>
      </c>
      <c r="Y458" s="25"/>
      <c r="Z458" s="297" t="s">
        <v>232</v>
      </c>
      <c r="AA458" s="299" t="s">
        <v>233</v>
      </c>
      <c r="AB458" s="300"/>
      <c r="AC458" s="25"/>
      <c r="AD458" s="25"/>
      <c r="AH458" s="109">
        <v>4</v>
      </c>
      <c r="AI458" s="109" t="str">
        <f>IF($E458="SS",COUNTIFS($C468:$C492,"FST",$E468:$E492,"4"),"0")</f>
        <v>0</v>
      </c>
      <c r="AJ458" s="109" t="str">
        <f>IF($E458="RPX",COUNTIFS($C468:$C492,"FST",$E468:$E492,"4"),"0")</f>
        <v>0</v>
      </c>
      <c r="AK458" s="109">
        <f>IF($E458="EUC",COUNTIFS($C468:$C492,"FST",$E468:$E492,"4"),"0")</f>
        <v>9</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6"/>
    </row>
    <row r="459" spans="1:53" ht="16.5" thickTop="1" thickBot="1" x14ac:dyDescent="0.3">
      <c r="A459" s="88"/>
      <c r="B459" s="36" t="s">
        <v>235</v>
      </c>
      <c r="C459" s="37">
        <v>0</v>
      </c>
      <c r="D459" s="38" t="s">
        <v>236</v>
      </c>
      <c r="E459" s="32">
        <v>48</v>
      </c>
      <c r="F459" s="88"/>
      <c r="G459" s="290" t="s">
        <v>237</v>
      </c>
      <c r="H459" s="291"/>
      <c r="I459" s="35">
        <f>IF(E459=0,0,12-(MOD(I457,12)))</f>
        <v>12</v>
      </c>
      <c r="J459" s="288" t="s">
        <v>238</v>
      </c>
      <c r="K459" s="289"/>
      <c r="L459" s="39">
        <f>I463-I457</f>
        <v>660</v>
      </c>
      <c r="M459" s="195">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6"/>
    </row>
    <row r="460" spans="1:53" ht="16.5" customHeight="1" thickTop="1" thickBot="1" x14ac:dyDescent="0.3">
      <c r="A460" s="88"/>
      <c r="B460" s="40" t="s">
        <v>240</v>
      </c>
      <c r="C460" s="30">
        <v>0</v>
      </c>
      <c r="D460" s="41" t="s">
        <v>241</v>
      </c>
      <c r="E460" s="42">
        <v>12</v>
      </c>
      <c r="F460" s="88"/>
      <c r="G460" s="320" t="s">
        <v>242</v>
      </c>
      <c r="H460" s="43" t="s">
        <v>243</v>
      </c>
      <c r="I460" s="35">
        <f>IF(E460&lt;&gt;0,1,0)</f>
        <v>1</v>
      </c>
      <c r="J460" s="290" t="s">
        <v>244</v>
      </c>
      <c r="K460" s="291"/>
      <c r="L460" s="44">
        <f>'Cable Calculator'!BG3</f>
        <v>1851</v>
      </c>
      <c r="M460" s="195">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6"/>
    </row>
    <row r="461" spans="1:53" ht="16.5" thickTop="1" thickBot="1" x14ac:dyDescent="0.3">
      <c r="A461" s="88"/>
      <c r="B461" s="29" t="s">
        <v>246</v>
      </c>
      <c r="C461" s="37">
        <v>0</v>
      </c>
      <c r="D461" s="41" t="s">
        <v>247</v>
      </c>
      <c r="E461" s="42">
        <v>661</v>
      </c>
      <c r="F461" s="88"/>
      <c r="G461" s="321"/>
      <c r="H461" s="47" t="s">
        <v>248</v>
      </c>
      <c r="I461" s="35">
        <f>IF(E460&lt;&gt;0,E460,0)</f>
        <v>12</v>
      </c>
      <c r="J461" s="193"/>
      <c r="K461" s="194"/>
      <c r="L461" s="48"/>
      <c r="M461" s="195">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6"/>
    </row>
    <row r="462" spans="1:53" ht="16.5" customHeight="1" thickTop="1" thickBot="1" x14ac:dyDescent="0.3">
      <c r="A462" s="88"/>
      <c r="B462" s="36" t="s">
        <v>249</v>
      </c>
      <c r="C462" s="30">
        <v>0</v>
      </c>
      <c r="D462" s="49" t="s">
        <v>250</v>
      </c>
      <c r="E462" s="50">
        <f>E459/12</f>
        <v>4</v>
      </c>
      <c r="F462" s="88"/>
      <c r="G462" s="320" t="s">
        <v>251</v>
      </c>
      <c r="H462" s="51" t="s">
        <v>252</v>
      </c>
      <c r="I462" s="112">
        <f>E461</f>
        <v>661</v>
      </c>
      <c r="J462" s="322" t="s">
        <v>253</v>
      </c>
      <c r="K462" s="323"/>
      <c r="L462" s="324"/>
      <c r="M462" s="52" t="s">
        <v>254</v>
      </c>
      <c r="N462" s="106"/>
      <c r="O462" s="106"/>
      <c r="P462" s="191"/>
      <c r="Q462" s="191"/>
      <c r="R462" s="191"/>
      <c r="S462" s="191"/>
      <c r="T462" s="191"/>
      <c r="U462" s="191"/>
      <c r="V462" s="191"/>
      <c r="W462" s="53">
        <f>SUM(P462:U462)</f>
        <v>0</v>
      </c>
      <c r="X462" s="54"/>
      <c r="Y462" s="25"/>
      <c r="Z462" s="45">
        <v>3</v>
      </c>
      <c r="AA462" s="46">
        <v>25</v>
      </c>
      <c r="AB462" s="46">
        <v>36</v>
      </c>
      <c r="AC462" s="25"/>
      <c r="AD462" s="25"/>
      <c r="BA462" s="226"/>
    </row>
    <row r="463" spans="1:53" ht="16.5" thickTop="1" thickBot="1" x14ac:dyDescent="0.3">
      <c r="A463" s="88"/>
      <c r="B463" s="36" t="s">
        <v>255</v>
      </c>
      <c r="C463" s="30">
        <v>0</v>
      </c>
      <c r="D463" s="31" t="s">
        <v>256</v>
      </c>
      <c r="E463" s="101" t="str">
        <f>IF('Cable Calculator'!BG5="","",'Cable Calculator'!BG5)</f>
        <v>N</v>
      </c>
      <c r="F463" s="88"/>
      <c r="G463" s="321"/>
      <c r="H463" s="47" t="s">
        <v>257</v>
      </c>
      <c r="I463" s="35">
        <f>IF(E461="","0",IF(AND(E458="EUC",E459=432), I462+(203-E460),IF(E461=0,0,(E461+(E459-E460)-1))))</f>
        <v>696</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6"/>
    </row>
    <row r="464" spans="1:53" ht="16.5" thickTop="1" thickBot="1" x14ac:dyDescent="0.3">
      <c r="A464" s="88"/>
      <c r="B464" s="55" t="s">
        <v>258</v>
      </c>
      <c r="C464" s="56">
        <f>SUM(C458:C463)+I457</f>
        <v>36</v>
      </c>
      <c r="D464" s="31" t="s">
        <v>259</v>
      </c>
      <c r="E464" s="101" t="str">
        <f>IF(AS458="Y","DBL",IF(AS459="Y","TRPL",IF(AS460="Y","QUAD","")))</f>
        <v/>
      </c>
      <c r="F464" s="88"/>
      <c r="G464" s="191"/>
      <c r="H464" s="57"/>
      <c r="I464" s="191"/>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6"/>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5"/>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7"/>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7"/>
    </row>
    <row r="468" spans="1:53" ht="15.75" thickBot="1" x14ac:dyDescent="0.3">
      <c r="A468" s="88"/>
      <c r="B468" s="66" t="s">
        <v>276</v>
      </c>
      <c r="C468" s="67" t="s">
        <v>484</v>
      </c>
      <c r="D468" s="102" t="s">
        <v>777</v>
      </c>
      <c r="E468" s="32">
        <v>4</v>
      </c>
      <c r="F468" s="32" t="s">
        <v>488</v>
      </c>
      <c r="G468" s="68" t="s">
        <v>277</v>
      </c>
      <c r="H468" s="69">
        <f>IF(I468=0,0,I468-(E468-1))</f>
        <v>693</v>
      </c>
      <c r="I468" s="70">
        <f>IF(E468=0,0,I463)</f>
        <v>696</v>
      </c>
      <c r="J468" s="71" t="s">
        <v>278</v>
      </c>
      <c r="K468" s="32"/>
      <c r="L468" s="232"/>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693-696</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8">
        <f>MOD(E468,12)</f>
        <v>4</v>
      </c>
    </row>
    <row r="469" spans="1:53" ht="15.75" thickBot="1" x14ac:dyDescent="0.3">
      <c r="A469" s="88"/>
      <c r="B469" s="66" t="s">
        <v>279</v>
      </c>
      <c r="C469" s="67" t="s">
        <v>484</v>
      </c>
      <c r="D469" s="102" t="s">
        <v>759</v>
      </c>
      <c r="E469" s="32">
        <v>4</v>
      </c>
      <c r="F469" s="32" t="s">
        <v>488</v>
      </c>
      <c r="G469" s="68" t="s">
        <v>277</v>
      </c>
      <c r="H469" s="69">
        <f t="shared" ref="H469:H492" si="196">IF(E469=0,0,I469-(E469-1))</f>
        <v>689</v>
      </c>
      <c r="I469" s="70">
        <f t="shared" ref="I469:I492" si="197">IF(E469=0,0,H468-1)</f>
        <v>692</v>
      </c>
      <c r="J469" s="73" t="str">
        <f>IF(C469="","--",IF(AND(C469&lt;&gt;"FST",C469&lt;&gt;"TCF",BA468&lt;&gt;0),BA468,"--"))</f>
        <v>--</v>
      </c>
      <c r="K469" s="32"/>
      <c r="L469" s="232"/>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689-692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8">
        <f>MOD(SUM(E468:E469),12)</f>
        <v>8</v>
      </c>
    </row>
    <row r="470" spans="1:53" ht="15.75" thickBot="1" x14ac:dyDescent="0.3">
      <c r="A470" s="88"/>
      <c r="B470" s="74" t="s">
        <v>280</v>
      </c>
      <c r="C470" s="67" t="s">
        <v>484</v>
      </c>
      <c r="D470" s="102" t="s">
        <v>760</v>
      </c>
      <c r="E470" s="32">
        <v>4</v>
      </c>
      <c r="F470" s="32" t="s">
        <v>488</v>
      </c>
      <c r="G470" s="75" t="s">
        <v>277</v>
      </c>
      <c r="H470" s="69">
        <f t="shared" si="196"/>
        <v>685</v>
      </c>
      <c r="I470" s="70">
        <f t="shared" si="197"/>
        <v>688</v>
      </c>
      <c r="J470" s="73" t="str">
        <f t="shared" ref="J470:J492" si="198">IF(C470="","--",IF(AND(C470&lt;&gt;"FST",C470&lt;&gt;"TCF",BA469&lt;&gt;0),BA469,"--"))</f>
        <v>--</v>
      </c>
      <c r="K470" s="32"/>
      <c r="L470" s="232"/>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0</v>
      </c>
      <c r="AE470" s="109" t="str">
        <f t="shared" si="189"/>
        <v>685-688</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8">
        <f>MOD(SUM(E468:E471),12)</f>
        <v>4</v>
      </c>
    </row>
    <row r="471" spans="1:53" ht="15.75" thickBot="1" x14ac:dyDescent="0.3">
      <c r="A471" s="88"/>
      <c r="B471" s="66" t="s">
        <v>281</v>
      </c>
      <c r="C471" s="67" t="s">
        <v>484</v>
      </c>
      <c r="D471" s="102" t="s">
        <v>815</v>
      </c>
      <c r="E471" s="32">
        <v>4</v>
      </c>
      <c r="F471" s="32" t="s">
        <v>488</v>
      </c>
      <c r="G471" s="68" t="s">
        <v>277</v>
      </c>
      <c r="H471" s="69">
        <f t="shared" si="196"/>
        <v>681</v>
      </c>
      <c r="I471" s="70">
        <f t="shared" si="197"/>
        <v>684</v>
      </c>
      <c r="J471" s="73" t="str">
        <f t="shared" si="198"/>
        <v>--</v>
      </c>
      <c r="K471" s="32"/>
      <c r="L471" s="232"/>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0</v>
      </c>
      <c r="AE471" s="109" t="str">
        <f t="shared" si="189"/>
        <v>681-684</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8">
        <f>MOD(SUM(E468:E472),12)</f>
        <v>8</v>
      </c>
    </row>
    <row r="472" spans="1:53" ht="15.75" thickBot="1" x14ac:dyDescent="0.3">
      <c r="A472" s="88"/>
      <c r="B472" s="66" t="s">
        <v>282</v>
      </c>
      <c r="C472" s="67" t="s">
        <v>484</v>
      </c>
      <c r="D472" s="102" t="s">
        <v>761</v>
      </c>
      <c r="E472" s="32">
        <v>4</v>
      </c>
      <c r="F472" s="32" t="s">
        <v>488</v>
      </c>
      <c r="G472" s="68" t="s">
        <v>277</v>
      </c>
      <c r="H472" s="69">
        <f t="shared" si="196"/>
        <v>677</v>
      </c>
      <c r="I472" s="70">
        <f t="shared" si="197"/>
        <v>680</v>
      </c>
      <c r="J472" s="73" t="str">
        <f t="shared" si="198"/>
        <v>--</v>
      </c>
      <c r="K472" s="32"/>
      <c r="L472" s="232"/>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677-680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8">
        <f>MOD(SUM(E468:E473),12)</f>
        <v>0</v>
      </c>
    </row>
    <row r="473" spans="1:53" ht="15.75" thickBot="1" x14ac:dyDescent="0.3">
      <c r="A473" s="88"/>
      <c r="B473" s="66" t="s">
        <v>283</v>
      </c>
      <c r="C473" s="67" t="s">
        <v>484</v>
      </c>
      <c r="D473" s="102" t="s">
        <v>816</v>
      </c>
      <c r="E473" s="32">
        <v>4</v>
      </c>
      <c r="F473" s="32" t="s">
        <v>488</v>
      </c>
      <c r="G473" s="68" t="s">
        <v>277</v>
      </c>
      <c r="H473" s="69">
        <f t="shared" si="196"/>
        <v>673</v>
      </c>
      <c r="I473" s="70">
        <f t="shared" si="197"/>
        <v>676</v>
      </c>
      <c r="J473" s="73" t="str">
        <f t="shared" si="198"/>
        <v>--</v>
      </c>
      <c r="K473" s="32"/>
      <c r="L473" s="232"/>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0</v>
      </c>
      <c r="AE473" s="109" t="str">
        <f t="shared" si="189"/>
        <v>673-676</v>
      </c>
      <c r="AF473" s="109" t="str">
        <f t="shared" si="190"/>
        <v>Y</v>
      </c>
      <c r="AG473" s="109" t="str">
        <f t="shared" si="191"/>
        <v>B</v>
      </c>
      <c r="AM473" s="109">
        <f t="shared" si="192"/>
        <v>0</v>
      </c>
      <c r="AN473" s="109">
        <f t="shared" si="193"/>
        <v>0</v>
      </c>
      <c r="AO473" s="109" t="str">
        <f t="shared" si="194"/>
        <v/>
      </c>
      <c r="AQ473" s="109" t="str">
        <f t="shared" si="195"/>
        <v/>
      </c>
      <c r="BA473" s="228">
        <f>MOD(SUM(E468:E474),12)</f>
        <v>4</v>
      </c>
    </row>
    <row r="474" spans="1:53" ht="15.75" thickBot="1" x14ac:dyDescent="0.3">
      <c r="A474" s="88"/>
      <c r="B474" s="66" t="s">
        <v>284</v>
      </c>
      <c r="C474" s="67" t="s">
        <v>484</v>
      </c>
      <c r="D474" s="102" t="s">
        <v>778</v>
      </c>
      <c r="E474" s="32">
        <v>4</v>
      </c>
      <c r="F474" s="32" t="s">
        <v>488</v>
      </c>
      <c r="G474" s="68" t="s">
        <v>277</v>
      </c>
      <c r="H474" s="69">
        <f t="shared" si="196"/>
        <v>669</v>
      </c>
      <c r="I474" s="70">
        <f t="shared" si="197"/>
        <v>672</v>
      </c>
      <c r="J474" s="73" t="str">
        <f t="shared" si="198"/>
        <v>--</v>
      </c>
      <c r="K474" s="32"/>
      <c r="L474" s="232"/>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0</v>
      </c>
      <c r="AE474" s="109" t="str">
        <f t="shared" si="189"/>
        <v>669-672</v>
      </c>
      <c r="AF474" s="109" t="str">
        <f t="shared" si="190"/>
        <v>Y</v>
      </c>
      <c r="AG474" s="109" t="str">
        <f t="shared" si="191"/>
        <v>B</v>
      </c>
      <c r="AM474" s="109">
        <f t="shared" si="192"/>
        <v>0</v>
      </c>
      <c r="AN474" s="109">
        <f t="shared" si="193"/>
        <v>0</v>
      </c>
      <c r="AO474" s="109" t="str">
        <f t="shared" si="194"/>
        <v/>
      </c>
      <c r="AQ474" s="109" t="str">
        <f t="shared" si="195"/>
        <v/>
      </c>
      <c r="BA474" s="228">
        <f>MOD(SUM(E468:E475),12)</f>
        <v>8</v>
      </c>
    </row>
    <row r="475" spans="1:53" ht="15.75" thickBot="1" x14ac:dyDescent="0.3">
      <c r="A475" s="88"/>
      <c r="B475" s="66" t="s">
        <v>285</v>
      </c>
      <c r="C475" s="67" t="s">
        <v>484</v>
      </c>
      <c r="D475" s="102" t="s">
        <v>779</v>
      </c>
      <c r="E475" s="32">
        <v>4</v>
      </c>
      <c r="F475" s="32" t="s">
        <v>488</v>
      </c>
      <c r="G475" s="68" t="s">
        <v>277</v>
      </c>
      <c r="H475" s="69">
        <f t="shared" si="196"/>
        <v>665</v>
      </c>
      <c r="I475" s="70">
        <f t="shared" si="197"/>
        <v>668</v>
      </c>
      <c r="J475" s="73" t="str">
        <f t="shared" si="198"/>
        <v>--</v>
      </c>
      <c r="K475" s="32"/>
      <c r="L475" s="232"/>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0</v>
      </c>
      <c r="AE475" s="109" t="str">
        <f t="shared" si="189"/>
        <v>665-668</v>
      </c>
      <c r="AF475" s="109" t="str">
        <f t="shared" si="190"/>
        <v>Y</v>
      </c>
      <c r="AG475" s="109" t="str">
        <f t="shared" si="191"/>
        <v>B</v>
      </c>
      <c r="AM475" s="109">
        <f t="shared" si="192"/>
        <v>0</v>
      </c>
      <c r="AN475" s="109">
        <f t="shared" si="193"/>
        <v>0</v>
      </c>
      <c r="AO475" s="109" t="str">
        <f t="shared" si="194"/>
        <v/>
      </c>
      <c r="AQ475" s="109" t="str">
        <f t="shared" si="195"/>
        <v/>
      </c>
      <c r="BA475" s="228">
        <f>MOD(SUM(E468:E476),12)</f>
        <v>0</v>
      </c>
    </row>
    <row r="476" spans="1:53" ht="15.75" thickBot="1" x14ac:dyDescent="0.3">
      <c r="A476" s="88"/>
      <c r="B476" s="66" t="s">
        <v>286</v>
      </c>
      <c r="C476" s="67" t="s">
        <v>484</v>
      </c>
      <c r="D476" s="102" t="s">
        <v>817</v>
      </c>
      <c r="E476" s="32">
        <v>4</v>
      </c>
      <c r="F476" s="32" t="s">
        <v>488</v>
      </c>
      <c r="G476" s="68" t="s">
        <v>277</v>
      </c>
      <c r="H476" s="69">
        <f t="shared" si="196"/>
        <v>661</v>
      </c>
      <c r="I476" s="70">
        <f t="shared" si="197"/>
        <v>664</v>
      </c>
      <c r="J476" s="73" t="str">
        <f t="shared" si="198"/>
        <v>--</v>
      </c>
      <c r="K476" s="32"/>
      <c r="L476" s="232"/>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0</v>
      </c>
      <c r="AE476" s="109" t="str">
        <f t="shared" si="189"/>
        <v>661-664</v>
      </c>
      <c r="AF476" s="109" t="str">
        <f t="shared" si="190"/>
        <v>Y</v>
      </c>
      <c r="AG476" s="109" t="str">
        <f t="shared" si="191"/>
        <v>B</v>
      </c>
      <c r="AM476" s="109">
        <f t="shared" si="192"/>
        <v>0</v>
      </c>
      <c r="AN476" s="109">
        <f t="shared" si="193"/>
        <v>0</v>
      </c>
      <c r="AO476" s="109" t="str">
        <f t="shared" si="194"/>
        <v/>
      </c>
      <c r="AQ476" s="109" t="str">
        <f t="shared" si="195"/>
        <v/>
      </c>
      <c r="BA476" s="228">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2"/>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8">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2"/>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8">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2"/>
      <c r="M479" s="277"/>
      <c r="N479" s="277"/>
      <c r="O479" s="277"/>
      <c r="P479" s="277"/>
      <c r="Q479" s="277"/>
      <c r="R479" s="277"/>
      <c r="S479" s="277"/>
      <c r="T479" s="277"/>
      <c r="U479" s="278"/>
      <c r="V479" s="103"/>
      <c r="W479" s="84">
        <f>Y479+1</f>
        <v>37</v>
      </c>
      <c r="X479" s="84"/>
      <c r="Y479" s="78">
        <f>SUM(E468:E479)</f>
        <v>36</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8">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2"/>
      <c r="M480" s="277"/>
      <c r="N480" s="277"/>
      <c r="O480" s="277"/>
      <c r="P480" s="277"/>
      <c r="Q480" s="277"/>
      <c r="R480" s="277"/>
      <c r="S480" s="277"/>
      <c r="T480" s="277"/>
      <c r="U480" s="278"/>
      <c r="V480" s="103"/>
      <c r="W480" s="84">
        <f>Y480+1</f>
        <v>37</v>
      </c>
      <c r="X480" s="84"/>
      <c r="Y480" s="78">
        <f>SUM(E468:E480)</f>
        <v>36</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8">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2"/>
      <c r="M481" s="277"/>
      <c r="N481" s="277"/>
      <c r="O481" s="277"/>
      <c r="P481" s="277"/>
      <c r="Q481" s="277"/>
      <c r="R481" s="277"/>
      <c r="S481" s="277"/>
      <c r="T481" s="277"/>
      <c r="U481" s="278"/>
      <c r="V481" s="103"/>
      <c r="W481" s="84">
        <f>Y481+1</f>
        <v>37</v>
      </c>
      <c r="X481" s="84"/>
      <c r="Y481" s="78">
        <f>SUM(E468:E481)</f>
        <v>36</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8">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2"/>
      <c r="M482" s="277"/>
      <c r="N482" s="277"/>
      <c r="O482" s="277"/>
      <c r="P482" s="277"/>
      <c r="Q482" s="277"/>
      <c r="R482" s="277"/>
      <c r="S482" s="277"/>
      <c r="T482" s="277"/>
      <c r="U482" s="278"/>
      <c r="V482" s="103"/>
      <c r="W482" s="84">
        <f>Y482+1</f>
        <v>37</v>
      </c>
      <c r="X482" s="84"/>
      <c r="Y482" s="78">
        <f>SUM(E468:E482)</f>
        <v>36</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8">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2"/>
      <c r="M483" s="277"/>
      <c r="N483" s="277"/>
      <c r="O483" s="277"/>
      <c r="P483" s="277"/>
      <c r="Q483" s="277"/>
      <c r="R483" s="277"/>
      <c r="S483" s="277"/>
      <c r="T483" s="277"/>
      <c r="U483" s="278"/>
      <c r="V483" s="103"/>
      <c r="W483" s="84">
        <f t="shared" ref="W483:W491" si="203">Y483+1</f>
        <v>37</v>
      </c>
      <c r="X483" s="84"/>
      <c r="Y483" s="78">
        <f>SUM(E468:E483)</f>
        <v>36</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8">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2"/>
      <c r="M484" s="277"/>
      <c r="N484" s="277"/>
      <c r="O484" s="277"/>
      <c r="P484" s="277"/>
      <c r="Q484" s="277"/>
      <c r="R484" s="277"/>
      <c r="S484" s="277"/>
      <c r="T484" s="277"/>
      <c r="U484" s="278"/>
      <c r="V484" s="103"/>
      <c r="W484" s="84">
        <f t="shared" si="203"/>
        <v>37</v>
      </c>
      <c r="X484" s="84"/>
      <c r="Y484" s="78">
        <f>SUM(E468:E484)</f>
        <v>36</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8">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2"/>
      <c r="M485" s="277"/>
      <c r="N485" s="277"/>
      <c r="O485" s="277"/>
      <c r="P485" s="277"/>
      <c r="Q485" s="277"/>
      <c r="R485" s="277"/>
      <c r="S485" s="277"/>
      <c r="T485" s="277"/>
      <c r="U485" s="278"/>
      <c r="V485" s="103"/>
      <c r="W485" s="84">
        <f t="shared" si="203"/>
        <v>37</v>
      </c>
      <c r="X485" s="84"/>
      <c r="Y485" s="78">
        <f>SUM(E468:E485)</f>
        <v>36</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8">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2"/>
      <c r="M486" s="277"/>
      <c r="N486" s="277"/>
      <c r="O486" s="277"/>
      <c r="P486" s="277"/>
      <c r="Q486" s="277"/>
      <c r="R486" s="277"/>
      <c r="S486" s="277"/>
      <c r="T486" s="277"/>
      <c r="U486" s="278"/>
      <c r="V486" s="103"/>
      <c r="W486" s="84">
        <f t="shared" si="203"/>
        <v>37</v>
      </c>
      <c r="X486" s="84"/>
      <c r="Y486" s="78">
        <f>SUM(E468:E486)</f>
        <v>36</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8">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2"/>
      <c r="M487" s="277"/>
      <c r="N487" s="277"/>
      <c r="O487" s="277"/>
      <c r="P487" s="277"/>
      <c r="Q487" s="277"/>
      <c r="R487" s="277"/>
      <c r="S487" s="277"/>
      <c r="T487" s="277"/>
      <c r="U487" s="278"/>
      <c r="V487" s="103"/>
      <c r="W487" s="84">
        <f t="shared" si="203"/>
        <v>37</v>
      </c>
      <c r="X487" s="84"/>
      <c r="Y487" s="78">
        <f>SUM(E468:E487)</f>
        <v>36</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8">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2"/>
      <c r="M488" s="277"/>
      <c r="N488" s="277"/>
      <c r="O488" s="277"/>
      <c r="P488" s="277"/>
      <c r="Q488" s="277"/>
      <c r="R488" s="277"/>
      <c r="S488" s="277"/>
      <c r="T488" s="277"/>
      <c r="U488" s="278"/>
      <c r="V488" s="103"/>
      <c r="W488" s="84">
        <f t="shared" si="203"/>
        <v>37</v>
      </c>
      <c r="X488" s="84"/>
      <c r="Y488" s="78">
        <f>SUM(E468:E488)</f>
        <v>36</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8">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2"/>
      <c r="M489" s="277"/>
      <c r="N489" s="277"/>
      <c r="O489" s="277"/>
      <c r="P489" s="277"/>
      <c r="Q489" s="277"/>
      <c r="R489" s="277"/>
      <c r="S489" s="277"/>
      <c r="T489" s="277"/>
      <c r="U489" s="278"/>
      <c r="V489" s="103"/>
      <c r="W489" s="84">
        <f t="shared" si="203"/>
        <v>37</v>
      </c>
      <c r="X489" s="84"/>
      <c r="Y489" s="78">
        <f>SUM(E468:E489)</f>
        <v>36</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8">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2"/>
      <c r="M490" s="277"/>
      <c r="N490" s="277"/>
      <c r="O490" s="277"/>
      <c r="P490" s="277"/>
      <c r="Q490" s="277"/>
      <c r="R490" s="277"/>
      <c r="S490" s="277"/>
      <c r="T490" s="277"/>
      <c r="U490" s="278"/>
      <c r="V490" s="103"/>
      <c r="W490" s="84">
        <f t="shared" si="203"/>
        <v>37</v>
      </c>
      <c r="X490" s="84"/>
      <c r="Y490" s="78">
        <f>SUM(E468:E490)</f>
        <v>36</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8">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2"/>
      <c r="M491" s="277"/>
      <c r="N491" s="277"/>
      <c r="O491" s="277"/>
      <c r="P491" s="277"/>
      <c r="Q491" s="277"/>
      <c r="R491" s="277"/>
      <c r="S491" s="277"/>
      <c r="T491" s="277"/>
      <c r="U491" s="278"/>
      <c r="V491" s="103"/>
      <c r="W491" s="84">
        <f t="shared" si="203"/>
        <v>37</v>
      </c>
      <c r="X491" s="84"/>
      <c r="Y491" s="78">
        <f>SUM(E468:E491)</f>
        <v>36</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8">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3"/>
      <c r="M492" s="277"/>
      <c r="N492" s="277"/>
      <c r="O492" s="277"/>
      <c r="P492" s="277"/>
      <c r="Q492" s="277"/>
      <c r="R492" s="277"/>
      <c r="S492" s="277"/>
      <c r="T492" s="277"/>
      <c r="U492" s="278"/>
      <c r="V492" s="103"/>
      <c r="W492" s="72"/>
      <c r="X492" s="72"/>
      <c r="Y492" s="78">
        <f>SUM(E468:E492)</f>
        <v>36</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7"/>
    </row>
    <row r="493" spans="1:53" ht="16.5" thickBot="1" x14ac:dyDescent="0.3">
      <c r="A493" s="88"/>
      <c r="B493" s="318" t="s">
        <v>327</v>
      </c>
      <c r="C493" s="319"/>
      <c r="D493" s="79"/>
      <c r="E493" s="80"/>
      <c r="F493" s="80"/>
      <c r="G493" s="81"/>
      <c r="H493" s="191"/>
      <c r="I493" s="191"/>
      <c r="J493" s="191"/>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16</v>
      </c>
      <c r="AM493" s="109">
        <f>SUM(AM468:AM492)</f>
        <v>0</v>
      </c>
      <c r="AN493" s="109">
        <f>SUM(AN468:AN492)</f>
        <v>0</v>
      </c>
      <c r="AO493" s="109">
        <f>((COUNTIF(AO468:AO492,"Y")/3)*2)</f>
        <v>0</v>
      </c>
      <c r="AP493" s="109">
        <f>(COUNTIF(AO468:AO492,"Y")/3)</f>
        <v>0</v>
      </c>
      <c r="AQ493" s="109">
        <f>(COUNTIF(AQ468:AQ492,"Y")/2)</f>
        <v>0</v>
      </c>
      <c r="AR493" s="109">
        <f>(COUNTIF(AQ468:AQ492,"Y")/2)</f>
        <v>0</v>
      </c>
      <c r="BA493" s="227"/>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5"/>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5" t="s">
        <v>210</v>
      </c>
      <c r="N497" s="195" t="s">
        <v>211</v>
      </c>
      <c r="O497" s="195" t="s">
        <v>212</v>
      </c>
      <c r="P497" s="195" t="s">
        <v>213</v>
      </c>
      <c r="Q497" s="195" t="s">
        <v>214</v>
      </c>
      <c r="R497" s="195" t="s">
        <v>215</v>
      </c>
      <c r="S497" s="195" t="s">
        <v>216</v>
      </c>
      <c r="T497" s="195" t="s">
        <v>217</v>
      </c>
      <c r="U497" s="195" t="s">
        <v>218</v>
      </c>
      <c r="V497" s="195" t="s">
        <v>219</v>
      </c>
      <c r="W497" s="113" t="s">
        <v>220</v>
      </c>
      <c r="X497" s="195" t="s">
        <v>221</v>
      </c>
      <c r="Y497" s="25"/>
      <c r="Z497" s="25"/>
      <c r="AA497" s="25"/>
      <c r="AB497" s="25"/>
      <c r="AC497" s="25"/>
      <c r="AD497" s="25"/>
      <c r="BA497" s="225"/>
    </row>
    <row r="498" spans="1:53" ht="16.5" thickTop="1" thickBot="1" x14ac:dyDescent="0.3">
      <c r="A498" s="88"/>
      <c r="B498" s="311" t="s">
        <v>222</v>
      </c>
      <c r="C498" s="312"/>
      <c r="D498" s="313" t="s">
        <v>223</v>
      </c>
      <c r="E498" s="304"/>
      <c r="F498" s="88"/>
      <c r="G498" s="314" t="s">
        <v>224</v>
      </c>
      <c r="H498" s="315"/>
      <c r="I498" s="28">
        <f>SUM(E509:E533)</f>
        <v>84</v>
      </c>
      <c r="J498" s="316" t="s">
        <v>225</v>
      </c>
      <c r="K498" s="317"/>
      <c r="L498" s="304"/>
      <c r="M498" s="195">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5"/>
    </row>
    <row r="499" spans="1:53" ht="16.5" customHeight="1" thickTop="1" thickBot="1" x14ac:dyDescent="0.3">
      <c r="A499" s="88"/>
      <c r="B499" s="29" t="s">
        <v>228</v>
      </c>
      <c r="C499" s="30">
        <v>0</v>
      </c>
      <c r="D499" s="31" t="s">
        <v>229</v>
      </c>
      <c r="E499" s="66" t="str">
        <f>TEXT(IF('Cable Calculator'!BL7="","",'Cable Calculator'!BL7),)</f>
        <v>EUC</v>
      </c>
      <c r="F499" s="88"/>
      <c r="G499" s="303" t="s">
        <v>230</v>
      </c>
      <c r="H499" s="304"/>
      <c r="I499" s="33">
        <f>E500-I498</f>
        <v>60</v>
      </c>
      <c r="J499" s="288" t="s">
        <v>231</v>
      </c>
      <c r="K499" s="289"/>
      <c r="L499" s="34">
        <f>I503</f>
        <v>577</v>
      </c>
      <c r="M499" s="195">
        <v>4</v>
      </c>
      <c r="N499" s="35">
        <f>SUM(AI499,AI510)</f>
        <v>0</v>
      </c>
      <c r="O499" s="35">
        <v>0</v>
      </c>
      <c r="P499" s="35">
        <f>SUM(AJ499,AJ510)</f>
        <v>0</v>
      </c>
      <c r="Q499" s="35">
        <v>0</v>
      </c>
      <c r="R499" s="35">
        <f>COUNTIFS($E509:$E533,"4",$F509:$F533,"Pole",$C509:$C533,"FST")</f>
        <v>0</v>
      </c>
      <c r="S499" s="35">
        <f>SUM(AL499,AK510)</f>
        <v>0</v>
      </c>
      <c r="T499" s="35">
        <v>0</v>
      </c>
      <c r="U499" s="35">
        <f>SUM(AK499,AL510)</f>
        <v>6</v>
      </c>
      <c r="V499" s="35">
        <v>0</v>
      </c>
      <c r="W499" s="34">
        <f>COUNTIFS($E509:$E533,"4",$F509:$F533,"HH",$C509:$C533,"FST")</f>
        <v>6</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f>IF($E499="EUC",COUNTIFS($C509:$C533,"FST",$E509:$E533,"4"),"0")</f>
        <v>6</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6"/>
    </row>
    <row r="500" spans="1:53" ht="16.5" thickTop="1" thickBot="1" x14ac:dyDescent="0.3">
      <c r="A500" s="88"/>
      <c r="B500" s="36" t="s">
        <v>235</v>
      </c>
      <c r="C500" s="37">
        <v>0</v>
      </c>
      <c r="D500" s="38" t="s">
        <v>236</v>
      </c>
      <c r="E500" s="32">
        <v>144</v>
      </c>
      <c r="F500" s="88"/>
      <c r="G500" s="290" t="s">
        <v>237</v>
      </c>
      <c r="H500" s="291"/>
      <c r="I500" s="35">
        <f>IF(E500=0,0,12-(MOD(I498,12)))</f>
        <v>12</v>
      </c>
      <c r="J500" s="288" t="s">
        <v>238</v>
      </c>
      <c r="K500" s="289"/>
      <c r="L500" s="39">
        <f>I504-I498</f>
        <v>576</v>
      </c>
      <c r="M500" s="195">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6"/>
    </row>
    <row r="501" spans="1:53" ht="16.5" customHeight="1" thickTop="1" thickBot="1" x14ac:dyDescent="0.3">
      <c r="A501" s="88"/>
      <c r="B501" s="40" t="s">
        <v>240</v>
      </c>
      <c r="C501" s="30">
        <v>0</v>
      </c>
      <c r="D501" s="41" t="s">
        <v>241</v>
      </c>
      <c r="E501" s="42">
        <v>60</v>
      </c>
      <c r="F501" s="88"/>
      <c r="G501" s="320" t="s">
        <v>242</v>
      </c>
      <c r="H501" s="43" t="s">
        <v>243</v>
      </c>
      <c r="I501" s="35">
        <f>IF(E501&lt;&gt;0,1,0)</f>
        <v>1</v>
      </c>
      <c r="J501" s="290" t="s">
        <v>244</v>
      </c>
      <c r="K501" s="291"/>
      <c r="L501" s="44">
        <f>'Cable Calculator'!BL3</f>
        <v>1729</v>
      </c>
      <c r="M501" s="195">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6"/>
    </row>
    <row r="502" spans="1:53" ht="16.5" thickTop="1" thickBot="1" x14ac:dyDescent="0.3">
      <c r="A502" s="88"/>
      <c r="B502" s="29" t="s">
        <v>246</v>
      </c>
      <c r="C502" s="37">
        <v>0</v>
      </c>
      <c r="D502" s="41" t="s">
        <v>247</v>
      </c>
      <c r="E502" s="42">
        <v>577</v>
      </c>
      <c r="F502" s="88"/>
      <c r="G502" s="321"/>
      <c r="H502" s="47" t="s">
        <v>248</v>
      </c>
      <c r="I502" s="35">
        <f>IF(E501&lt;&gt;0,E501,0)</f>
        <v>60</v>
      </c>
      <c r="J502" s="193"/>
      <c r="K502" s="194"/>
      <c r="L502" s="48"/>
      <c r="M502" s="195">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6"/>
    </row>
    <row r="503" spans="1:53" ht="16.5" customHeight="1" thickTop="1" thickBot="1" x14ac:dyDescent="0.3">
      <c r="A503" s="88"/>
      <c r="B503" s="36" t="s">
        <v>249</v>
      </c>
      <c r="C503" s="30">
        <v>0</v>
      </c>
      <c r="D503" s="49" t="s">
        <v>250</v>
      </c>
      <c r="E503" s="50">
        <f>E500/12</f>
        <v>12</v>
      </c>
      <c r="F503" s="88"/>
      <c r="G503" s="320" t="s">
        <v>251</v>
      </c>
      <c r="H503" s="51" t="s">
        <v>252</v>
      </c>
      <c r="I503" s="112">
        <f>E502</f>
        <v>577</v>
      </c>
      <c r="J503" s="322" t="s">
        <v>253</v>
      </c>
      <c r="K503" s="323"/>
      <c r="L503" s="324"/>
      <c r="M503" s="52" t="s">
        <v>254</v>
      </c>
      <c r="N503" s="106"/>
      <c r="O503" s="106"/>
      <c r="P503" s="191"/>
      <c r="Q503" s="191"/>
      <c r="R503" s="191"/>
      <c r="S503" s="191"/>
      <c r="T503" s="191"/>
      <c r="U503" s="191"/>
      <c r="V503" s="191"/>
      <c r="W503" s="53">
        <f>SUM(P503:U503)</f>
        <v>0</v>
      </c>
      <c r="X503" s="54"/>
      <c r="Y503" s="25"/>
      <c r="Z503" s="45">
        <v>3</v>
      </c>
      <c r="AA503" s="46">
        <v>25</v>
      </c>
      <c r="AB503" s="46">
        <v>36</v>
      </c>
      <c r="AC503" s="25"/>
      <c r="AD503" s="25"/>
      <c r="BA503" s="226"/>
    </row>
    <row r="504" spans="1:53" ht="16.5" thickTop="1" thickBot="1" x14ac:dyDescent="0.3">
      <c r="A504" s="88"/>
      <c r="B504" s="36" t="s">
        <v>255</v>
      </c>
      <c r="C504" s="30">
        <v>0</v>
      </c>
      <c r="D504" s="31" t="s">
        <v>256</v>
      </c>
      <c r="E504" s="101" t="str">
        <f>IF('Cable Calculator'!BL5="","",'Cable Calculator'!BL5)</f>
        <v>N</v>
      </c>
      <c r="F504" s="88"/>
      <c r="G504" s="321"/>
      <c r="H504" s="47" t="s">
        <v>257</v>
      </c>
      <c r="I504" s="35">
        <f>IF(E502="","0",IF(AND(E499="EUC",E500=432), I503+(203-E501),IF(E502=0,0,(E502+(E500-E501)-1))))</f>
        <v>660</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6"/>
    </row>
    <row r="505" spans="1:53" ht="16.5" thickTop="1" thickBot="1" x14ac:dyDescent="0.3">
      <c r="A505" s="88"/>
      <c r="B505" s="55" t="s">
        <v>258</v>
      </c>
      <c r="C505" s="56">
        <f>SUM(C499:C504)+I498</f>
        <v>84</v>
      </c>
      <c r="D505" s="31" t="s">
        <v>259</v>
      </c>
      <c r="E505" s="101" t="str">
        <f>IF(AS499="Y","DBL",IF(AS500="Y","TRPL",IF(AS501="Y","QUAD","")))</f>
        <v/>
      </c>
      <c r="F505" s="88"/>
      <c r="G505" s="191"/>
      <c r="H505" s="57"/>
      <c r="I505" s="191"/>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6"/>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5"/>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7"/>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7"/>
    </row>
    <row r="509" spans="1:53" ht="15.75" thickBot="1" x14ac:dyDescent="0.3">
      <c r="A509" s="88"/>
      <c r="B509" s="66" t="s">
        <v>276</v>
      </c>
      <c r="C509" s="67" t="s">
        <v>484</v>
      </c>
      <c r="D509" s="102" t="s">
        <v>780</v>
      </c>
      <c r="E509" s="32">
        <v>4</v>
      </c>
      <c r="F509" s="32" t="s">
        <v>488</v>
      </c>
      <c r="G509" s="68" t="s">
        <v>277</v>
      </c>
      <c r="H509" s="69">
        <f>IF(I509=0,0,I509-(E509-1))</f>
        <v>657</v>
      </c>
      <c r="I509" s="70">
        <f>IF(E509=0,0,I504)</f>
        <v>660</v>
      </c>
      <c r="J509" s="71" t="s">
        <v>278</v>
      </c>
      <c r="K509" s="32"/>
      <c r="L509" s="232"/>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657-660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8">
        <f>MOD(E509,12)</f>
        <v>4</v>
      </c>
    </row>
    <row r="510" spans="1:53" ht="15.75" thickBot="1" x14ac:dyDescent="0.3">
      <c r="A510" s="88"/>
      <c r="B510" s="66" t="s">
        <v>279</v>
      </c>
      <c r="C510" s="67" t="s">
        <v>484</v>
      </c>
      <c r="D510" s="102" t="s">
        <v>781</v>
      </c>
      <c r="E510" s="32">
        <v>4</v>
      </c>
      <c r="F510" s="32" t="s">
        <v>488</v>
      </c>
      <c r="G510" s="68" t="s">
        <v>277</v>
      </c>
      <c r="H510" s="69">
        <f t="shared" ref="H510:H533" si="213">IF(E510=0,0,I510-(E510-1))</f>
        <v>653</v>
      </c>
      <c r="I510" s="70">
        <f t="shared" ref="I510:I533" si="214">IF(E510=0,0,H509-1)</f>
        <v>656</v>
      </c>
      <c r="J510" s="73" t="str">
        <f>IF(C510="","--",IF(AND(C510&lt;&gt;"FST",C510&lt;&gt;"TCF",BA509&lt;&gt;0),BA509,"--"))</f>
        <v>--</v>
      </c>
      <c r="K510" s="32"/>
      <c r="L510" s="232"/>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0</v>
      </c>
      <c r="AE510" s="109" t="str">
        <f t="shared" si="206"/>
        <v>653-656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8">
        <f>MOD(SUM(E509:E510),12)</f>
        <v>8</v>
      </c>
    </row>
    <row r="511" spans="1:53" ht="15.75" thickBot="1" x14ac:dyDescent="0.3">
      <c r="A511" s="88"/>
      <c r="B511" s="74" t="s">
        <v>280</v>
      </c>
      <c r="C511" s="67" t="s">
        <v>484</v>
      </c>
      <c r="D511" s="102" t="s">
        <v>818</v>
      </c>
      <c r="E511" s="32">
        <v>4</v>
      </c>
      <c r="F511" s="32" t="s">
        <v>488</v>
      </c>
      <c r="G511" s="75" t="s">
        <v>277</v>
      </c>
      <c r="H511" s="69">
        <f t="shared" si="213"/>
        <v>649</v>
      </c>
      <c r="I511" s="70">
        <f t="shared" si="214"/>
        <v>652</v>
      </c>
      <c r="J511" s="73" t="str">
        <f t="shared" ref="J511:J533" si="215">IF(C511="","--",IF(AND(C511&lt;&gt;"FST",C511&lt;&gt;"TCF",BA510&lt;&gt;0),BA510,"--"))</f>
        <v>--</v>
      </c>
      <c r="K511" s="32"/>
      <c r="L511" s="232"/>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0</v>
      </c>
      <c r="AE511" s="109" t="str">
        <f t="shared" si="206"/>
        <v>649-652</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8">
        <f>MOD(SUM(E509:E512),12)</f>
        <v>4</v>
      </c>
    </row>
    <row r="512" spans="1:53" ht="15.75" thickBot="1" x14ac:dyDescent="0.3">
      <c r="A512" s="88"/>
      <c r="B512" s="66" t="s">
        <v>281</v>
      </c>
      <c r="C512" s="67" t="s">
        <v>484</v>
      </c>
      <c r="D512" s="102" t="s">
        <v>819</v>
      </c>
      <c r="E512" s="32">
        <v>4</v>
      </c>
      <c r="F512" s="32" t="s">
        <v>488</v>
      </c>
      <c r="G512" s="68" t="s">
        <v>277</v>
      </c>
      <c r="H512" s="69">
        <f t="shared" si="213"/>
        <v>645</v>
      </c>
      <c r="I512" s="70">
        <f t="shared" si="214"/>
        <v>648</v>
      </c>
      <c r="J512" s="73" t="str">
        <f t="shared" si="215"/>
        <v>--</v>
      </c>
      <c r="K512" s="32"/>
      <c r="L512" s="232"/>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0</v>
      </c>
      <c r="AE512" s="109" t="str">
        <f t="shared" si="206"/>
        <v>645-648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8">
        <f>MOD(SUM(E509:E513),12)</f>
        <v>8</v>
      </c>
    </row>
    <row r="513" spans="1:53" ht="15.75" thickBot="1" x14ac:dyDescent="0.3">
      <c r="A513" s="88"/>
      <c r="B513" s="66" t="s">
        <v>282</v>
      </c>
      <c r="C513" s="67" t="s">
        <v>484</v>
      </c>
      <c r="D513" s="102" t="s">
        <v>820</v>
      </c>
      <c r="E513" s="32">
        <v>4</v>
      </c>
      <c r="F513" s="32" t="s">
        <v>488</v>
      </c>
      <c r="G513" s="68" t="s">
        <v>277</v>
      </c>
      <c r="H513" s="69">
        <f t="shared" si="213"/>
        <v>641</v>
      </c>
      <c r="I513" s="70">
        <f t="shared" si="214"/>
        <v>644</v>
      </c>
      <c r="J513" s="73" t="str">
        <f t="shared" si="215"/>
        <v>--</v>
      </c>
      <c r="K513" s="32"/>
      <c r="L513" s="232"/>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641-644</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8">
        <f>MOD(SUM(E509:E514),12)</f>
        <v>0</v>
      </c>
    </row>
    <row r="514" spans="1:53" ht="15.75" thickBot="1" x14ac:dyDescent="0.3">
      <c r="A514" s="88"/>
      <c r="B514" s="66" t="s">
        <v>283</v>
      </c>
      <c r="C514" s="67" t="s">
        <v>484</v>
      </c>
      <c r="D514" s="102" t="s">
        <v>762</v>
      </c>
      <c r="E514" s="32">
        <v>4</v>
      </c>
      <c r="F514" s="32" t="s">
        <v>488</v>
      </c>
      <c r="G514" s="68" t="s">
        <v>277</v>
      </c>
      <c r="H514" s="69">
        <f t="shared" si="213"/>
        <v>637</v>
      </c>
      <c r="I514" s="70">
        <f t="shared" si="214"/>
        <v>640</v>
      </c>
      <c r="J514" s="73" t="str">
        <f t="shared" si="215"/>
        <v>--</v>
      </c>
      <c r="K514" s="32"/>
      <c r="L514" s="232"/>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0</v>
      </c>
      <c r="AE514" s="109" t="str">
        <f t="shared" si="206"/>
        <v>637-640</v>
      </c>
      <c r="AF514" s="109" t="str">
        <f t="shared" si="207"/>
        <v>Y</v>
      </c>
      <c r="AG514" s="109" t="str">
        <f t="shared" si="208"/>
        <v>B</v>
      </c>
      <c r="AM514" s="109">
        <f t="shared" si="209"/>
        <v>0</v>
      </c>
      <c r="AN514" s="109">
        <f t="shared" si="210"/>
        <v>0</v>
      </c>
      <c r="AO514" s="109" t="str">
        <f t="shared" si="211"/>
        <v/>
      </c>
      <c r="AQ514" s="109" t="str">
        <f t="shared" si="212"/>
        <v/>
      </c>
      <c r="BA514" s="228">
        <f>MOD(SUM(E509:E515),12)</f>
        <v>0</v>
      </c>
    </row>
    <row r="515" spans="1:53" ht="15.75" thickBot="1" x14ac:dyDescent="0.3">
      <c r="A515" s="88"/>
      <c r="B515" s="66" t="s">
        <v>284</v>
      </c>
      <c r="C515" s="67" t="s">
        <v>502</v>
      </c>
      <c r="D515" s="102"/>
      <c r="E515" s="32">
        <v>60</v>
      </c>
      <c r="F515" s="32"/>
      <c r="G515" s="68" t="s">
        <v>277</v>
      </c>
      <c r="H515" s="69">
        <f t="shared" si="213"/>
        <v>577</v>
      </c>
      <c r="I515" s="70">
        <f t="shared" si="214"/>
        <v>636</v>
      </c>
      <c r="J515" s="73" t="str">
        <f t="shared" si="215"/>
        <v>--</v>
      </c>
      <c r="K515" s="32"/>
      <c r="L515" s="232"/>
      <c r="M515" s="277" t="s">
        <v>418</v>
      </c>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577-636</v>
      </c>
      <c r="AF515" s="109" t="str">
        <f t="shared" si="207"/>
        <v>N</v>
      </c>
      <c r="AG515" s="109" t="str">
        <f t="shared" si="208"/>
        <v>B</v>
      </c>
      <c r="AM515" s="109">
        <f t="shared" si="209"/>
        <v>0</v>
      </c>
      <c r="AN515" s="109">
        <f t="shared" si="210"/>
        <v>0</v>
      </c>
      <c r="AO515" s="109" t="str">
        <f t="shared" si="211"/>
        <v/>
      </c>
      <c r="AQ515" s="109" t="str">
        <f t="shared" si="212"/>
        <v/>
      </c>
      <c r="BA515" s="228">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2"/>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8">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2"/>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8">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2"/>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8">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2"/>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8">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2"/>
      <c r="M520" s="277"/>
      <c r="N520" s="277"/>
      <c r="O520" s="277"/>
      <c r="P520" s="277"/>
      <c r="Q520" s="277"/>
      <c r="R520" s="277"/>
      <c r="S520" s="277"/>
      <c r="T520" s="277"/>
      <c r="U520" s="278"/>
      <c r="V520" s="103"/>
      <c r="W520" s="84">
        <f>Y520+1</f>
        <v>85</v>
      </c>
      <c r="X520" s="84"/>
      <c r="Y520" s="78">
        <f>SUM(E509:E520)</f>
        <v>84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8">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2"/>
      <c r="M521" s="277"/>
      <c r="N521" s="277"/>
      <c r="O521" s="277"/>
      <c r="P521" s="277"/>
      <c r="Q521" s="277"/>
      <c r="R521" s="277"/>
      <c r="S521" s="277"/>
      <c r="T521" s="277"/>
      <c r="U521" s="278"/>
      <c r="V521" s="103"/>
      <c r="W521" s="84">
        <f>Y521+1</f>
        <v>85</v>
      </c>
      <c r="X521" s="84"/>
      <c r="Y521" s="78">
        <f>SUM(E509:E521)</f>
        <v>84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8">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2"/>
      <c r="M522" s="277"/>
      <c r="N522" s="277"/>
      <c r="O522" s="277"/>
      <c r="P522" s="277"/>
      <c r="Q522" s="277"/>
      <c r="R522" s="277"/>
      <c r="S522" s="277"/>
      <c r="T522" s="277"/>
      <c r="U522" s="278"/>
      <c r="V522" s="103"/>
      <c r="W522" s="84">
        <f>Y522+1</f>
        <v>85</v>
      </c>
      <c r="X522" s="84"/>
      <c r="Y522" s="78">
        <f>SUM(E509:E522)</f>
        <v>84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8">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2"/>
      <c r="M523" s="277"/>
      <c r="N523" s="277"/>
      <c r="O523" s="277"/>
      <c r="P523" s="277"/>
      <c r="Q523" s="277"/>
      <c r="R523" s="277"/>
      <c r="S523" s="277"/>
      <c r="T523" s="277"/>
      <c r="U523" s="278"/>
      <c r="V523" s="103"/>
      <c r="W523" s="84">
        <f>Y523+1</f>
        <v>85</v>
      </c>
      <c r="X523" s="84"/>
      <c r="Y523" s="78">
        <f>SUM(E509:E523)</f>
        <v>84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8">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2"/>
      <c r="M524" s="277"/>
      <c r="N524" s="277"/>
      <c r="O524" s="277"/>
      <c r="P524" s="277"/>
      <c r="Q524" s="277"/>
      <c r="R524" s="277"/>
      <c r="S524" s="277"/>
      <c r="T524" s="277"/>
      <c r="U524" s="278"/>
      <c r="V524" s="103"/>
      <c r="W524" s="84">
        <f t="shared" ref="W524:W532" si="220">Y524+1</f>
        <v>85</v>
      </c>
      <c r="X524" s="84"/>
      <c r="Y524" s="78">
        <f>SUM(E509:E524)</f>
        <v>84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8">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2"/>
      <c r="M525" s="277"/>
      <c r="N525" s="277"/>
      <c r="O525" s="277"/>
      <c r="P525" s="277"/>
      <c r="Q525" s="277"/>
      <c r="R525" s="277"/>
      <c r="S525" s="277"/>
      <c r="T525" s="277"/>
      <c r="U525" s="278"/>
      <c r="V525" s="103"/>
      <c r="W525" s="84">
        <f t="shared" si="220"/>
        <v>85</v>
      </c>
      <c r="X525" s="84"/>
      <c r="Y525" s="78">
        <f>SUM(E509:E525)</f>
        <v>84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8">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2"/>
      <c r="M526" s="277"/>
      <c r="N526" s="277"/>
      <c r="O526" s="277"/>
      <c r="P526" s="277"/>
      <c r="Q526" s="277"/>
      <c r="R526" s="277"/>
      <c r="S526" s="277"/>
      <c r="T526" s="277"/>
      <c r="U526" s="278"/>
      <c r="V526" s="103"/>
      <c r="W526" s="84">
        <f t="shared" si="220"/>
        <v>85</v>
      </c>
      <c r="X526" s="84"/>
      <c r="Y526" s="78">
        <f>SUM(E509:E526)</f>
        <v>84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8">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2"/>
      <c r="M527" s="277"/>
      <c r="N527" s="277"/>
      <c r="O527" s="277"/>
      <c r="P527" s="277"/>
      <c r="Q527" s="277"/>
      <c r="R527" s="277"/>
      <c r="S527" s="277"/>
      <c r="T527" s="277"/>
      <c r="U527" s="278"/>
      <c r="V527" s="103"/>
      <c r="W527" s="84">
        <f t="shared" si="220"/>
        <v>85</v>
      </c>
      <c r="X527" s="84"/>
      <c r="Y527" s="78">
        <f>SUM(E509:E527)</f>
        <v>84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8">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2"/>
      <c r="M528" s="277"/>
      <c r="N528" s="277"/>
      <c r="O528" s="277"/>
      <c r="P528" s="277"/>
      <c r="Q528" s="277"/>
      <c r="R528" s="277"/>
      <c r="S528" s="277"/>
      <c r="T528" s="277"/>
      <c r="U528" s="278"/>
      <c r="V528" s="103"/>
      <c r="W528" s="84">
        <f t="shared" si="220"/>
        <v>85</v>
      </c>
      <c r="X528" s="84"/>
      <c r="Y528" s="78">
        <f>SUM(E509:E528)</f>
        <v>84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8">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2"/>
      <c r="M529" s="277"/>
      <c r="N529" s="277"/>
      <c r="O529" s="277"/>
      <c r="P529" s="277"/>
      <c r="Q529" s="277"/>
      <c r="R529" s="277"/>
      <c r="S529" s="277"/>
      <c r="T529" s="277"/>
      <c r="U529" s="278"/>
      <c r="V529" s="103"/>
      <c r="W529" s="84">
        <f t="shared" si="220"/>
        <v>85</v>
      </c>
      <c r="X529" s="84"/>
      <c r="Y529" s="78">
        <f>SUM(E509:E529)</f>
        <v>84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8">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2"/>
      <c r="M530" s="277"/>
      <c r="N530" s="277"/>
      <c r="O530" s="277"/>
      <c r="P530" s="277"/>
      <c r="Q530" s="277"/>
      <c r="R530" s="277"/>
      <c r="S530" s="277"/>
      <c r="T530" s="277"/>
      <c r="U530" s="278"/>
      <c r="V530" s="103"/>
      <c r="W530" s="84">
        <f t="shared" si="220"/>
        <v>85</v>
      </c>
      <c r="X530" s="84"/>
      <c r="Y530" s="78">
        <f>SUM(E509:E530)</f>
        <v>84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8">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2"/>
      <c r="M531" s="277"/>
      <c r="N531" s="277"/>
      <c r="O531" s="277"/>
      <c r="P531" s="277"/>
      <c r="Q531" s="277"/>
      <c r="R531" s="277"/>
      <c r="S531" s="277"/>
      <c r="T531" s="277"/>
      <c r="U531" s="278"/>
      <c r="V531" s="103"/>
      <c r="W531" s="84">
        <f t="shared" si="220"/>
        <v>85</v>
      </c>
      <c r="X531" s="84"/>
      <c r="Y531" s="78">
        <f>SUM(E509:E531)</f>
        <v>84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8">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2"/>
      <c r="M532" s="277"/>
      <c r="N532" s="277"/>
      <c r="O532" s="277"/>
      <c r="P532" s="277"/>
      <c r="Q532" s="277"/>
      <c r="R532" s="277"/>
      <c r="S532" s="277"/>
      <c r="T532" s="277"/>
      <c r="U532" s="278"/>
      <c r="V532" s="103"/>
      <c r="W532" s="84">
        <f t="shared" si="220"/>
        <v>85</v>
      </c>
      <c r="X532" s="84"/>
      <c r="Y532" s="78">
        <f>SUM(E509:E532)</f>
        <v>84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8">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3"/>
      <c r="M533" s="277"/>
      <c r="N533" s="277"/>
      <c r="O533" s="277"/>
      <c r="P533" s="277"/>
      <c r="Q533" s="277"/>
      <c r="R533" s="277"/>
      <c r="S533" s="277"/>
      <c r="T533" s="277"/>
      <c r="U533" s="278"/>
      <c r="V533" s="103"/>
      <c r="W533" s="72"/>
      <c r="X533" s="72"/>
      <c r="Y533" s="78">
        <f>SUM(E509:E533)</f>
        <v>84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7"/>
    </row>
    <row r="534" spans="1:53" ht="16.5" thickBot="1" x14ac:dyDescent="0.3">
      <c r="A534" s="88"/>
      <c r="B534" s="318" t="s">
        <v>329</v>
      </c>
      <c r="C534" s="319"/>
      <c r="D534" s="79"/>
      <c r="E534" s="80"/>
      <c r="F534" s="80"/>
      <c r="G534" s="81"/>
      <c r="H534" s="191"/>
      <c r="I534" s="191"/>
      <c r="J534" s="191"/>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19</v>
      </c>
      <c r="AM534" s="109">
        <f>SUM(AM509:AM533)</f>
        <v>0</v>
      </c>
      <c r="AN534" s="109">
        <f>SUM(AN509:AN533)</f>
        <v>0</v>
      </c>
      <c r="AO534" s="109">
        <f>((COUNTIF(AO509:AO533,"Y")/3)*2)</f>
        <v>0</v>
      </c>
      <c r="AP534" s="109">
        <f>(COUNTIF(AO509:AO533,"Y")/3)</f>
        <v>0</v>
      </c>
      <c r="AQ534" s="109">
        <f>(COUNTIF(AQ509:AQ533,"Y")/2)</f>
        <v>0</v>
      </c>
      <c r="AR534" s="109">
        <f>(COUNTIF(AQ509:AQ533,"Y")/2)</f>
        <v>0</v>
      </c>
      <c r="BA534" s="227"/>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5"/>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5" t="s">
        <v>210</v>
      </c>
      <c r="N538" s="195" t="s">
        <v>211</v>
      </c>
      <c r="O538" s="195" t="s">
        <v>212</v>
      </c>
      <c r="P538" s="195" t="s">
        <v>213</v>
      </c>
      <c r="Q538" s="195" t="s">
        <v>214</v>
      </c>
      <c r="R538" s="195" t="s">
        <v>215</v>
      </c>
      <c r="S538" s="195" t="s">
        <v>216</v>
      </c>
      <c r="T538" s="195" t="s">
        <v>217</v>
      </c>
      <c r="U538" s="195" t="s">
        <v>218</v>
      </c>
      <c r="V538" s="195" t="s">
        <v>219</v>
      </c>
      <c r="W538" s="113" t="s">
        <v>220</v>
      </c>
      <c r="X538" s="195" t="s">
        <v>221</v>
      </c>
      <c r="Y538" s="25"/>
      <c r="Z538" s="25"/>
      <c r="AA538" s="25"/>
      <c r="AB538" s="25"/>
      <c r="AC538" s="25"/>
      <c r="AD538" s="25"/>
      <c r="BA538" s="225"/>
    </row>
    <row r="539" spans="1:53" ht="16.5" thickTop="1" thickBot="1" x14ac:dyDescent="0.3">
      <c r="A539" s="88"/>
      <c r="B539" s="311" t="s">
        <v>222</v>
      </c>
      <c r="C539" s="312"/>
      <c r="D539" s="313" t="s">
        <v>223</v>
      </c>
      <c r="E539" s="304"/>
      <c r="F539" s="88"/>
      <c r="G539" s="314" t="s">
        <v>224</v>
      </c>
      <c r="H539" s="315"/>
      <c r="I539" s="28">
        <f>SUM(E550:E574)</f>
        <v>24</v>
      </c>
      <c r="J539" s="316" t="s">
        <v>225</v>
      </c>
      <c r="K539" s="317"/>
      <c r="L539" s="304"/>
      <c r="M539" s="195">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t="str">
        <f>IF(OR($AS540="Y",$AS541="Y",$AS542="Y"),"",COUNTIFS($E540,"SS",$E545,"Y"))</f>
        <v/>
      </c>
      <c r="AV539" s="111" t="str">
        <f>IF(OR($AS540="Y",$AS541="Y",$AS542="Y"),"",COUNTIFS($E540,"RPX",$E545,"Y"))</f>
        <v/>
      </c>
      <c r="AW539" s="111" t="str">
        <f>IF(OR($AS540="Y",$AS541="Y",$AS542="Y"),"",COUNTIFS($E540,"EUC",$E545,"Y"))</f>
        <v/>
      </c>
      <c r="AX539" s="109" t="str">
        <f>IF(OR($AS540="Y",$AS541="Y",$AS542="Y"),"",COUNTIFS($E540,"RPX-T",$E545,"Y"))</f>
        <v/>
      </c>
      <c r="BA539" s="225"/>
    </row>
    <row r="540" spans="1:53" ht="16.5" customHeight="1" thickTop="1" thickBot="1" x14ac:dyDescent="0.3">
      <c r="A540" s="88"/>
      <c r="B540" s="29" t="s">
        <v>228</v>
      </c>
      <c r="C540" s="30">
        <v>0</v>
      </c>
      <c r="D540" s="31" t="s">
        <v>229</v>
      </c>
      <c r="E540" s="66" t="str">
        <f>TEXT(IF('Cable Calculator'!BQ7="","",'Cable Calculator'!BQ7),)</f>
        <v>EUC</v>
      </c>
      <c r="F540" s="88"/>
      <c r="G540" s="303" t="s">
        <v>230</v>
      </c>
      <c r="H540" s="304"/>
      <c r="I540" s="33">
        <f>E541-I539</f>
        <v>0</v>
      </c>
      <c r="J540" s="288" t="s">
        <v>231</v>
      </c>
      <c r="K540" s="289"/>
      <c r="L540" s="34">
        <f>I544</f>
        <v>601</v>
      </c>
      <c r="M540" s="195">
        <v>4</v>
      </c>
      <c r="N540" s="35">
        <f>SUM(AI540,AI551)</f>
        <v>0</v>
      </c>
      <c r="O540" s="35">
        <v>0</v>
      </c>
      <c r="P540" s="35">
        <f>SUM(AJ540,AJ551)</f>
        <v>0</v>
      </c>
      <c r="Q540" s="35">
        <v>0</v>
      </c>
      <c r="R540" s="35">
        <f>COUNTIFS($E550:$E574,"4",$F550:$F574,"Pole",$C550:$C574,"FST")</f>
        <v>0</v>
      </c>
      <c r="S540" s="35">
        <f>SUM(AL540,AK551)</f>
        <v>0</v>
      </c>
      <c r="T540" s="35">
        <v>0</v>
      </c>
      <c r="U540" s="35">
        <f>SUM(AK540,AL551)</f>
        <v>4</v>
      </c>
      <c r="V540" s="35">
        <v>0</v>
      </c>
      <c r="W540" s="34">
        <f>COUNTIFS($E550:$E574,"4",$F550:$F574,"HH",$C550:$C574,"FST")</f>
        <v>4</v>
      </c>
      <c r="X540" s="35">
        <f>COUNTIFS($E550:$E574,"4",$F550:$F574,"Ped",$C550:$C574,"FST")</f>
        <v>0</v>
      </c>
      <c r="Y540" s="25"/>
      <c r="Z540" s="297" t="s">
        <v>232</v>
      </c>
      <c r="AA540" s="299" t="s">
        <v>233</v>
      </c>
      <c r="AB540" s="300"/>
      <c r="AC540" s="25"/>
      <c r="AD540" s="25"/>
      <c r="AH540" s="109">
        <v>4</v>
      </c>
      <c r="AI540" s="109" t="str">
        <f>IF($E540="SS",COUNTIFS($C550:$C574,"FST",$E550:$E574,"4"),"0")</f>
        <v>0</v>
      </c>
      <c r="AJ540" s="109" t="str">
        <f>IF($E540="RPX",COUNTIFS($C550:$C574,"FST",$E550:$E574,"4"),"0")</f>
        <v>0</v>
      </c>
      <c r="AK540" s="109">
        <f>IF($E540="EUC",COUNTIFS($C550:$C574,"FST",$E550:$E574,"4"),"0")</f>
        <v>4</v>
      </c>
      <c r="AL540" s="109" t="str">
        <f>IF($E540="RPX-T",COUNTIFS($C550:$C574,"FST",$E550:$E574,"4"),"0")</f>
        <v>0</v>
      </c>
      <c r="AS540" s="109" t="str">
        <f>IF(AND(E545="Y",E541=24,E542=0),"Y","N")</f>
        <v>Y</v>
      </c>
      <c r="AT540" s="110" t="s">
        <v>234</v>
      </c>
      <c r="AU540" s="109">
        <f>COUNTIFS($E540,"SS",$AS540,"Y")</f>
        <v>0</v>
      </c>
      <c r="AV540" s="111">
        <f>COUNTIFS($E540,"RPX",$AS540,"Y")</f>
        <v>0</v>
      </c>
      <c r="AW540" s="111">
        <f>COUNTIFS($E540,"EUC",$AS540,"Y")</f>
        <v>1</v>
      </c>
      <c r="AX540" s="109">
        <f>COUNTIFS($E540,"RPX-T",$AS540,"Y")</f>
        <v>0</v>
      </c>
      <c r="BA540" s="226"/>
    </row>
    <row r="541" spans="1:53" ht="16.5" thickTop="1" thickBot="1" x14ac:dyDescent="0.3">
      <c r="A541" s="88"/>
      <c r="B541" s="36" t="s">
        <v>235</v>
      </c>
      <c r="C541" s="37">
        <v>0</v>
      </c>
      <c r="D541" s="38" t="s">
        <v>236</v>
      </c>
      <c r="E541" s="32">
        <v>24</v>
      </c>
      <c r="F541" s="88"/>
      <c r="G541" s="290" t="s">
        <v>237</v>
      </c>
      <c r="H541" s="291"/>
      <c r="I541" s="35">
        <f>IF(E541=0,0,12-(MOD(I539,12)))</f>
        <v>12</v>
      </c>
      <c r="J541" s="288" t="s">
        <v>238</v>
      </c>
      <c r="K541" s="289"/>
      <c r="L541" s="39">
        <f>I545-I539</f>
        <v>600</v>
      </c>
      <c r="M541" s="195">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6"/>
    </row>
    <row r="542" spans="1:53" ht="16.5" customHeight="1" thickTop="1" thickBot="1" x14ac:dyDescent="0.3">
      <c r="A542" s="88"/>
      <c r="B542" s="40" t="s">
        <v>240</v>
      </c>
      <c r="C542" s="30">
        <v>0</v>
      </c>
      <c r="D542" s="41" t="s">
        <v>241</v>
      </c>
      <c r="E542" s="42">
        <v>0</v>
      </c>
      <c r="F542" s="88"/>
      <c r="G542" s="320" t="s">
        <v>242</v>
      </c>
      <c r="H542" s="43" t="s">
        <v>243</v>
      </c>
      <c r="I542" s="35">
        <f>IF(E542&lt;&gt;0,1,0)</f>
        <v>0</v>
      </c>
      <c r="J542" s="290" t="s">
        <v>244</v>
      </c>
      <c r="K542" s="291"/>
      <c r="L542" s="44">
        <f>'Cable Calculator'!BQ3</f>
        <v>1049</v>
      </c>
      <c r="M542" s="195">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6"/>
    </row>
    <row r="543" spans="1:53" ht="16.5" thickTop="1" thickBot="1" x14ac:dyDescent="0.3">
      <c r="A543" s="88"/>
      <c r="B543" s="29" t="s">
        <v>246</v>
      </c>
      <c r="C543" s="37">
        <v>0</v>
      </c>
      <c r="D543" s="41" t="s">
        <v>247</v>
      </c>
      <c r="E543" s="42">
        <v>601</v>
      </c>
      <c r="F543" s="88"/>
      <c r="G543" s="321"/>
      <c r="H543" s="47" t="s">
        <v>248</v>
      </c>
      <c r="I543" s="35">
        <f>IF(E542&lt;&gt;0,E542,0)</f>
        <v>0</v>
      </c>
      <c r="J543" s="193"/>
      <c r="K543" s="194"/>
      <c r="L543" s="48"/>
      <c r="M543" s="195">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6"/>
    </row>
    <row r="544" spans="1:53" ht="16.5" customHeight="1" thickTop="1" thickBot="1" x14ac:dyDescent="0.3">
      <c r="A544" s="88"/>
      <c r="B544" s="36" t="s">
        <v>249</v>
      </c>
      <c r="C544" s="30">
        <v>0</v>
      </c>
      <c r="D544" s="49" t="s">
        <v>250</v>
      </c>
      <c r="E544" s="50">
        <f>E541/12</f>
        <v>2</v>
      </c>
      <c r="F544" s="88"/>
      <c r="G544" s="320" t="s">
        <v>251</v>
      </c>
      <c r="H544" s="51" t="s">
        <v>252</v>
      </c>
      <c r="I544" s="112">
        <f>E543</f>
        <v>601</v>
      </c>
      <c r="J544" s="322" t="s">
        <v>253</v>
      </c>
      <c r="K544" s="323"/>
      <c r="L544" s="324"/>
      <c r="M544" s="52" t="s">
        <v>254</v>
      </c>
      <c r="N544" s="106"/>
      <c r="O544" s="106"/>
      <c r="P544" s="191"/>
      <c r="Q544" s="191"/>
      <c r="R544" s="191"/>
      <c r="S544" s="191"/>
      <c r="T544" s="191"/>
      <c r="U544" s="191"/>
      <c r="V544" s="191"/>
      <c r="W544" s="53">
        <f>SUM(P544:U544)</f>
        <v>0</v>
      </c>
      <c r="X544" s="54"/>
      <c r="Y544" s="25"/>
      <c r="Z544" s="45">
        <v>3</v>
      </c>
      <c r="AA544" s="46">
        <v>25</v>
      </c>
      <c r="AB544" s="46">
        <v>36</v>
      </c>
      <c r="AC544" s="25"/>
      <c r="AD544" s="25"/>
      <c r="BA544" s="226"/>
    </row>
    <row r="545" spans="1:53" ht="16.5" thickTop="1" thickBot="1" x14ac:dyDescent="0.3">
      <c r="A545" s="88"/>
      <c r="B545" s="36" t="s">
        <v>255</v>
      </c>
      <c r="C545" s="30">
        <v>0</v>
      </c>
      <c r="D545" s="31" t="s">
        <v>256</v>
      </c>
      <c r="E545" s="101" t="str">
        <f>IF('Cable Calculator'!BQ5="","",'Cable Calculator'!BQ5)</f>
        <v>Y</v>
      </c>
      <c r="F545" s="88"/>
      <c r="G545" s="321"/>
      <c r="H545" s="47" t="s">
        <v>257</v>
      </c>
      <c r="I545" s="35">
        <f>IF(E543="","0",IF(AND(E540="EUC",E541=432), I544+(203-E542),IF(E543=0,0,(E543+(E541-E542)-1))))</f>
        <v>624</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6"/>
    </row>
    <row r="546" spans="1:53" ht="16.5" thickTop="1" thickBot="1" x14ac:dyDescent="0.3">
      <c r="A546" s="88"/>
      <c r="B546" s="55" t="s">
        <v>258</v>
      </c>
      <c r="C546" s="56">
        <f>SUM(C540:C545)+I539</f>
        <v>24</v>
      </c>
      <c r="D546" s="31" t="s">
        <v>259</v>
      </c>
      <c r="E546" s="101" t="str">
        <f>IF(AS540="Y","DBL",IF(AS541="Y","TRPL",IF(AS542="Y","QUAD","")))</f>
        <v>DBL</v>
      </c>
      <c r="F546" s="88"/>
      <c r="G546" s="191"/>
      <c r="H546" s="57"/>
      <c r="I546" s="191"/>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6"/>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5"/>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7"/>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7"/>
    </row>
    <row r="550" spans="1:53" ht="15.75" thickBot="1" x14ac:dyDescent="0.3">
      <c r="A550" s="88"/>
      <c r="B550" s="66" t="s">
        <v>276</v>
      </c>
      <c r="C550" s="67" t="s">
        <v>484</v>
      </c>
      <c r="D550" s="102" t="s">
        <v>785</v>
      </c>
      <c r="E550" s="32">
        <v>4</v>
      </c>
      <c r="F550" s="32" t="s">
        <v>488</v>
      </c>
      <c r="G550" s="68" t="s">
        <v>277</v>
      </c>
      <c r="H550" s="69">
        <f>IF(I550=0,0,I550-(E550-1))</f>
        <v>621</v>
      </c>
      <c r="I550" s="70">
        <f>IF(E550=0,0,I545)</f>
        <v>624</v>
      </c>
      <c r="J550" s="71" t="s">
        <v>278</v>
      </c>
      <c r="K550" s="32"/>
      <c r="L550" s="232"/>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8">
        <f>MOD(E550,12)</f>
        <v>4</v>
      </c>
    </row>
    <row r="551" spans="1:53" ht="15.75" thickBot="1" x14ac:dyDescent="0.3">
      <c r="A551" s="88"/>
      <c r="B551" s="66" t="s">
        <v>279</v>
      </c>
      <c r="C551" s="67" t="s">
        <v>484</v>
      </c>
      <c r="D551" s="102" t="s">
        <v>782</v>
      </c>
      <c r="E551" s="32">
        <v>4</v>
      </c>
      <c r="F551" s="32" t="s">
        <v>488</v>
      </c>
      <c r="G551" s="68" t="s">
        <v>277</v>
      </c>
      <c r="H551" s="69">
        <f t="shared" ref="H551:H574" si="230">IF(E551=0,0,I551-(E551-1))</f>
        <v>617</v>
      </c>
      <c r="I551" s="70">
        <f t="shared" ref="I551:I574" si="231">IF(E551=0,0,H550-1)</f>
        <v>620</v>
      </c>
      <c r="J551" s="73" t="str">
        <f>IF(C551="","--",IF(AND(C551&lt;&gt;"FST",C551&lt;&gt;"TCF",BA550&lt;&gt;0),BA550,"--"))</f>
        <v>--</v>
      </c>
      <c r="K551" s="32"/>
      <c r="L551" s="232"/>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8">
        <f>MOD(SUM(E550:E551),12)</f>
        <v>8</v>
      </c>
    </row>
    <row r="552" spans="1:53" ht="15.75" thickBot="1" x14ac:dyDescent="0.3">
      <c r="A552" s="88"/>
      <c r="B552" s="74" t="s">
        <v>280</v>
      </c>
      <c r="C552" s="67" t="s">
        <v>484</v>
      </c>
      <c r="D552" s="102" t="s">
        <v>783</v>
      </c>
      <c r="E552" s="32">
        <v>4</v>
      </c>
      <c r="F552" s="32" t="s">
        <v>488</v>
      </c>
      <c r="G552" s="75" t="s">
        <v>277</v>
      </c>
      <c r="H552" s="69">
        <f t="shared" si="230"/>
        <v>613</v>
      </c>
      <c r="I552" s="70">
        <f t="shared" si="231"/>
        <v>616</v>
      </c>
      <c r="J552" s="73" t="str">
        <f t="shared" ref="J552:J574" si="232">IF(C552="","--",IF(AND(C552&lt;&gt;"FST",C552&lt;&gt;"TCF",BA551&lt;&gt;0),BA551,"--"))</f>
        <v>--</v>
      </c>
      <c r="K552" s="32"/>
      <c r="L552" s="232"/>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0</v>
      </c>
      <c r="AE552" s="109" t="str">
        <f t="shared" si="223"/>
        <v>613-616</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8">
        <f>MOD(SUM(E550:E553),12)</f>
        <v>4</v>
      </c>
    </row>
    <row r="553" spans="1:53" ht="15.75" thickBot="1" x14ac:dyDescent="0.3">
      <c r="A553" s="88"/>
      <c r="B553" s="66" t="s">
        <v>281</v>
      </c>
      <c r="C553" s="67" t="s">
        <v>484</v>
      </c>
      <c r="D553" s="102" t="s">
        <v>821</v>
      </c>
      <c r="E553" s="32">
        <v>4</v>
      </c>
      <c r="F553" s="32" t="s">
        <v>488</v>
      </c>
      <c r="G553" s="68" t="s">
        <v>277</v>
      </c>
      <c r="H553" s="69">
        <f t="shared" si="230"/>
        <v>609</v>
      </c>
      <c r="I553" s="70">
        <f t="shared" si="231"/>
        <v>612</v>
      </c>
      <c r="J553" s="73" t="str">
        <f t="shared" si="232"/>
        <v>--</v>
      </c>
      <c r="K553" s="32"/>
      <c r="L553" s="232"/>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0</v>
      </c>
      <c r="AE553" s="109" t="str">
        <f t="shared" si="223"/>
        <v>609-612</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8">
        <f>MOD(SUM(E550:E554),12)</f>
        <v>0</v>
      </c>
    </row>
    <row r="554" spans="1:53" ht="15.75" thickBot="1" x14ac:dyDescent="0.3">
      <c r="A554" s="88"/>
      <c r="B554" s="66" t="s">
        <v>282</v>
      </c>
      <c r="C554" s="67" t="s">
        <v>484</v>
      </c>
      <c r="D554" s="102" t="s">
        <v>822</v>
      </c>
      <c r="E554" s="32">
        <v>8</v>
      </c>
      <c r="F554" s="32" t="s">
        <v>488</v>
      </c>
      <c r="G554" s="68" t="s">
        <v>277</v>
      </c>
      <c r="H554" s="69">
        <f t="shared" si="230"/>
        <v>601</v>
      </c>
      <c r="I554" s="70">
        <f t="shared" si="231"/>
        <v>608</v>
      </c>
      <c r="J554" s="73" t="str">
        <f t="shared" si="232"/>
        <v>--</v>
      </c>
      <c r="K554" s="32"/>
      <c r="L554" s="232"/>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601-608</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8">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2"/>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8">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2"/>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8">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2"/>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8">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2"/>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8">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2"/>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8">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2"/>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8">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2"/>
      <c r="M561" s="277"/>
      <c r="N561" s="277"/>
      <c r="O561" s="277"/>
      <c r="P561" s="277"/>
      <c r="Q561" s="277"/>
      <c r="R561" s="277"/>
      <c r="S561" s="277"/>
      <c r="T561" s="277"/>
      <c r="U561" s="278"/>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8">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2"/>
      <c r="M562" s="277"/>
      <c r="N562" s="277"/>
      <c r="O562" s="277"/>
      <c r="P562" s="277"/>
      <c r="Q562" s="277"/>
      <c r="R562" s="277"/>
      <c r="S562" s="277"/>
      <c r="T562" s="277"/>
      <c r="U562" s="278"/>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8">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2"/>
      <c r="M563" s="277"/>
      <c r="N563" s="277"/>
      <c r="O563" s="277"/>
      <c r="P563" s="277"/>
      <c r="Q563" s="277"/>
      <c r="R563" s="277"/>
      <c r="S563" s="277"/>
      <c r="T563" s="277"/>
      <c r="U563" s="278"/>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8">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2"/>
      <c r="M564" s="277"/>
      <c r="N564" s="277"/>
      <c r="O564" s="277"/>
      <c r="P564" s="277"/>
      <c r="Q564" s="277"/>
      <c r="R564" s="277"/>
      <c r="S564" s="277"/>
      <c r="T564" s="277"/>
      <c r="U564" s="278"/>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8">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2"/>
      <c r="M565" s="277"/>
      <c r="N565" s="277"/>
      <c r="O565" s="277"/>
      <c r="P565" s="277"/>
      <c r="Q565" s="277"/>
      <c r="R565" s="277"/>
      <c r="S565" s="277"/>
      <c r="T565" s="277"/>
      <c r="U565" s="278"/>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8">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2"/>
      <c r="M566" s="277"/>
      <c r="N566" s="277"/>
      <c r="O566" s="277"/>
      <c r="P566" s="277"/>
      <c r="Q566" s="277"/>
      <c r="R566" s="277"/>
      <c r="S566" s="277"/>
      <c r="T566" s="277"/>
      <c r="U566" s="278"/>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8">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2"/>
      <c r="M567" s="277"/>
      <c r="N567" s="277"/>
      <c r="O567" s="277"/>
      <c r="P567" s="277"/>
      <c r="Q567" s="277"/>
      <c r="R567" s="277"/>
      <c r="S567" s="277"/>
      <c r="T567" s="277"/>
      <c r="U567" s="278"/>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8">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2"/>
      <c r="M568" s="277"/>
      <c r="N568" s="277"/>
      <c r="O568" s="277"/>
      <c r="P568" s="277"/>
      <c r="Q568" s="277"/>
      <c r="R568" s="277"/>
      <c r="S568" s="277"/>
      <c r="T568" s="277"/>
      <c r="U568" s="278"/>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8">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2"/>
      <c r="M569" s="277"/>
      <c r="N569" s="277"/>
      <c r="O569" s="277"/>
      <c r="P569" s="277"/>
      <c r="Q569" s="277"/>
      <c r="R569" s="277"/>
      <c r="S569" s="277"/>
      <c r="T569" s="277"/>
      <c r="U569" s="278"/>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8">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2"/>
      <c r="M570" s="277"/>
      <c r="N570" s="277"/>
      <c r="O570" s="277"/>
      <c r="P570" s="277"/>
      <c r="Q570" s="277"/>
      <c r="R570" s="277"/>
      <c r="S570" s="277"/>
      <c r="T570" s="277"/>
      <c r="U570" s="278"/>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8">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2"/>
      <c r="M571" s="277"/>
      <c r="N571" s="277"/>
      <c r="O571" s="277"/>
      <c r="P571" s="277"/>
      <c r="Q571" s="277"/>
      <c r="R571" s="277"/>
      <c r="S571" s="277"/>
      <c r="T571" s="277"/>
      <c r="U571" s="278"/>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8">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2"/>
      <c r="M572" s="277"/>
      <c r="N572" s="277"/>
      <c r="O572" s="277"/>
      <c r="P572" s="277"/>
      <c r="Q572" s="277"/>
      <c r="R572" s="277"/>
      <c r="S572" s="277"/>
      <c r="T572" s="277"/>
      <c r="U572" s="278"/>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8">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2"/>
      <c r="M573" s="277"/>
      <c r="N573" s="277"/>
      <c r="O573" s="277"/>
      <c r="P573" s="277"/>
      <c r="Q573" s="277"/>
      <c r="R573" s="277"/>
      <c r="S573" s="277"/>
      <c r="T573" s="277"/>
      <c r="U573" s="278"/>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8">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3"/>
      <c r="M574" s="277"/>
      <c r="N574" s="277"/>
      <c r="O574" s="277"/>
      <c r="P574" s="277"/>
      <c r="Q574" s="277"/>
      <c r="R574" s="277"/>
      <c r="S574" s="277"/>
      <c r="T574" s="277"/>
      <c r="U574" s="278"/>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7"/>
    </row>
    <row r="575" spans="1:53" ht="16.5" thickBot="1" x14ac:dyDescent="0.3">
      <c r="A575" s="88"/>
      <c r="B575" s="318" t="s">
        <v>331</v>
      </c>
      <c r="C575" s="319"/>
      <c r="D575" s="79"/>
      <c r="E575" s="80"/>
      <c r="F575" s="80"/>
      <c r="G575" s="81"/>
      <c r="H575" s="191"/>
      <c r="I575" s="191"/>
      <c r="J575" s="191"/>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20</v>
      </c>
      <c r="AM575" s="109">
        <f>SUM(AM550:AM574)</f>
        <v>0</v>
      </c>
      <c r="AN575" s="109">
        <f>SUM(AN550:AN574)</f>
        <v>0</v>
      </c>
      <c r="AO575" s="109">
        <f>((COUNTIF(AO550:AO574,"Y")/3)*2)</f>
        <v>0</v>
      </c>
      <c r="AP575" s="109">
        <f>(COUNTIF(AO550:AO574,"Y")/3)</f>
        <v>0</v>
      </c>
      <c r="AQ575" s="109">
        <f>(COUNTIF(AQ550:AQ574,"Y")/2)</f>
        <v>0</v>
      </c>
      <c r="AR575" s="109">
        <f>(COUNTIF(AQ550:AQ574,"Y")/2)</f>
        <v>0</v>
      </c>
      <c r="BA575" s="227"/>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5"/>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5" t="s">
        <v>210</v>
      </c>
      <c r="N579" s="195" t="s">
        <v>211</v>
      </c>
      <c r="O579" s="195" t="s">
        <v>212</v>
      </c>
      <c r="P579" s="195" t="s">
        <v>213</v>
      </c>
      <c r="Q579" s="195" t="s">
        <v>214</v>
      </c>
      <c r="R579" s="195" t="s">
        <v>215</v>
      </c>
      <c r="S579" s="195" t="s">
        <v>216</v>
      </c>
      <c r="T579" s="195" t="s">
        <v>217</v>
      </c>
      <c r="U579" s="195" t="s">
        <v>218</v>
      </c>
      <c r="V579" s="195" t="s">
        <v>219</v>
      </c>
      <c r="W579" s="113" t="s">
        <v>220</v>
      </c>
      <c r="X579" s="195" t="s">
        <v>221</v>
      </c>
      <c r="Y579" s="25"/>
      <c r="Z579" s="25"/>
      <c r="AA579" s="25"/>
      <c r="AB579" s="25"/>
      <c r="AC579" s="25"/>
      <c r="AD579" s="25"/>
      <c r="BA579" s="225"/>
    </row>
    <row r="580" spans="1:53" ht="16.5" thickTop="1" thickBot="1" x14ac:dyDescent="0.3">
      <c r="A580" s="88"/>
      <c r="B580" s="311" t="s">
        <v>222</v>
      </c>
      <c r="C580" s="312"/>
      <c r="D580" s="313" t="s">
        <v>223</v>
      </c>
      <c r="E580" s="304"/>
      <c r="F580" s="88"/>
      <c r="G580" s="314" t="s">
        <v>224</v>
      </c>
      <c r="H580" s="315"/>
      <c r="I580" s="28">
        <f>SUM(E591:E615)</f>
        <v>36</v>
      </c>
      <c r="J580" s="316" t="s">
        <v>225</v>
      </c>
      <c r="K580" s="317"/>
      <c r="L580" s="304"/>
      <c r="M580" s="195">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t="str">
        <f>IF(OR($AS581="Y",$AS582="Y",$AS583="Y"),"",COUNTIFS($E581,"SS",$E586,"Y"))</f>
        <v/>
      </c>
      <c r="AV580" s="111" t="str">
        <f>IF(OR($AS581="Y",$AS582="Y",$AS583="Y"),"",COUNTIFS($E581,"RPX",$E586,"Y"))</f>
        <v/>
      </c>
      <c r="AW580" s="111" t="str">
        <f>IF(OR($AS581="Y",$AS582="Y",$AS583="Y"),"",COUNTIFS($E581,"EUC",$E586,"Y"))</f>
        <v/>
      </c>
      <c r="AX580" s="109" t="str">
        <f>IF(OR($AS581="Y",$AS582="Y",$AS583="Y"),"",COUNTIFS($E581,"RPX-T",$E586,"Y"))</f>
        <v/>
      </c>
      <c r="BA580" s="225"/>
    </row>
    <row r="581" spans="1:53" ht="16.5" customHeight="1" thickTop="1" thickBot="1" x14ac:dyDescent="0.3">
      <c r="A581" s="88"/>
      <c r="B581" s="29" t="s">
        <v>228</v>
      </c>
      <c r="C581" s="30">
        <v>0</v>
      </c>
      <c r="D581" s="31" t="s">
        <v>229</v>
      </c>
      <c r="E581" s="66" t="str">
        <f>TEXT(IF('Cable Calculator'!BV7="","",'Cable Calculator'!BV7),)</f>
        <v>EUC</v>
      </c>
      <c r="F581" s="88"/>
      <c r="G581" s="303" t="s">
        <v>230</v>
      </c>
      <c r="H581" s="304"/>
      <c r="I581" s="33">
        <f>E582-I580</f>
        <v>12</v>
      </c>
      <c r="J581" s="288" t="s">
        <v>231</v>
      </c>
      <c r="K581" s="289"/>
      <c r="L581" s="34">
        <f>I585</f>
        <v>709</v>
      </c>
      <c r="M581" s="195">
        <v>4</v>
      </c>
      <c r="N581" s="35">
        <f>SUM(AI581,AI592)</f>
        <v>0</v>
      </c>
      <c r="O581" s="35">
        <v>0</v>
      </c>
      <c r="P581" s="35">
        <f>SUM(AJ581,AJ592)</f>
        <v>0</v>
      </c>
      <c r="Q581" s="35">
        <v>0</v>
      </c>
      <c r="R581" s="35">
        <f>COUNTIFS($E591:$E615,"4",$F591:$F615,"Pole",$C591:$C615,"FST")</f>
        <v>0</v>
      </c>
      <c r="S581" s="35">
        <f>SUM(AL581,AK592)</f>
        <v>0</v>
      </c>
      <c r="T581" s="35">
        <v>0</v>
      </c>
      <c r="U581" s="35">
        <f>SUM(AK581,AL592)</f>
        <v>9</v>
      </c>
      <c r="V581" s="35">
        <v>0</v>
      </c>
      <c r="W581" s="34">
        <f>COUNTIFS($E591:$E615,"4",$F591:$F615,"HH",$C591:$C615,"FST")</f>
        <v>9</v>
      </c>
      <c r="X581" s="35">
        <f>COUNTIFS($E591:$E615,"4",$F591:$F615,"Ped",$C591:$C615,"FST")</f>
        <v>0</v>
      </c>
      <c r="Y581" s="25"/>
      <c r="Z581" s="297" t="s">
        <v>232</v>
      </c>
      <c r="AA581" s="299" t="s">
        <v>233</v>
      </c>
      <c r="AB581" s="300"/>
      <c r="AC581" s="25"/>
      <c r="AD581" s="25"/>
      <c r="AH581" s="109">
        <v>4</v>
      </c>
      <c r="AI581" s="109" t="str">
        <f>IF($E581="SS",COUNTIFS($C591:$C615,"FST",$E591:$E615,"4"),"0")</f>
        <v>0</v>
      </c>
      <c r="AJ581" s="109" t="str">
        <f>IF($E581="RPX",COUNTIFS($C591:$C615,"FST",$E591:$E615,"4"),"0")</f>
        <v>0</v>
      </c>
      <c r="AK581" s="109">
        <f>IF($E581="EUC",COUNTIFS($C591:$C615,"FST",$E591:$E615,"4"),"0")</f>
        <v>9</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6"/>
    </row>
    <row r="582" spans="1:53" ht="16.5" thickTop="1" thickBot="1" x14ac:dyDescent="0.3">
      <c r="A582" s="88"/>
      <c r="B582" s="36" t="s">
        <v>235</v>
      </c>
      <c r="C582" s="37">
        <v>0</v>
      </c>
      <c r="D582" s="38" t="s">
        <v>236</v>
      </c>
      <c r="E582" s="32">
        <v>48</v>
      </c>
      <c r="F582" s="88"/>
      <c r="G582" s="290" t="s">
        <v>237</v>
      </c>
      <c r="H582" s="291"/>
      <c r="I582" s="35">
        <f>IF(E582=0,0,12-(MOD(I580,12)))</f>
        <v>12</v>
      </c>
      <c r="J582" s="288" t="s">
        <v>238</v>
      </c>
      <c r="K582" s="289"/>
      <c r="L582" s="39">
        <f>I586-I580</f>
        <v>708</v>
      </c>
      <c r="M582" s="195">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Y</v>
      </c>
      <c r="AT582" s="110" t="s">
        <v>239</v>
      </c>
      <c r="AU582" s="109">
        <f>COUNTIFS($E581,"SS",$AS582,"Y")</f>
        <v>0</v>
      </c>
      <c r="AV582" s="108">
        <f>COUNTIFS($E581,"RPX",$AS582,"Y")</f>
        <v>0</v>
      </c>
      <c r="AW582" s="108">
        <f>COUNTIFS($E581,"EUC",$AS582,"Y")</f>
        <v>1</v>
      </c>
      <c r="AX582" s="109">
        <f>COUNTIFS($E581,"RPX-T",$AS582,"Y")</f>
        <v>0</v>
      </c>
      <c r="BA582" s="226"/>
    </row>
    <row r="583" spans="1:53" ht="16.5" customHeight="1" thickTop="1" thickBot="1" x14ac:dyDescent="0.3">
      <c r="A583" s="88"/>
      <c r="B583" s="40" t="s">
        <v>240</v>
      </c>
      <c r="C583" s="30">
        <v>0</v>
      </c>
      <c r="D583" s="41" t="s">
        <v>241</v>
      </c>
      <c r="E583" s="42">
        <v>12</v>
      </c>
      <c r="F583" s="88"/>
      <c r="G583" s="320" t="s">
        <v>242</v>
      </c>
      <c r="H583" s="43" t="s">
        <v>243</v>
      </c>
      <c r="I583" s="35">
        <f>IF(E583&lt;&gt;0,1,0)</f>
        <v>1</v>
      </c>
      <c r="J583" s="290" t="s">
        <v>244</v>
      </c>
      <c r="K583" s="291"/>
      <c r="L583" s="44">
        <f>'Cable Calculator'!BV3</f>
        <v>1730</v>
      </c>
      <c r="M583" s="195">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6"/>
    </row>
    <row r="584" spans="1:53" ht="16.5" thickTop="1" thickBot="1" x14ac:dyDescent="0.3">
      <c r="A584" s="88"/>
      <c r="B584" s="29" t="s">
        <v>246</v>
      </c>
      <c r="C584" s="37">
        <v>0</v>
      </c>
      <c r="D584" s="41" t="s">
        <v>247</v>
      </c>
      <c r="E584" s="42">
        <v>709</v>
      </c>
      <c r="F584" s="88"/>
      <c r="G584" s="321"/>
      <c r="H584" s="47" t="s">
        <v>248</v>
      </c>
      <c r="I584" s="35">
        <f>IF(E583&lt;&gt;0,E583,0)</f>
        <v>12</v>
      </c>
      <c r="J584" s="193"/>
      <c r="K584" s="194"/>
      <c r="L584" s="48"/>
      <c r="M584" s="195">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6"/>
    </row>
    <row r="585" spans="1:53" ht="16.5" customHeight="1" thickTop="1" thickBot="1" x14ac:dyDescent="0.3">
      <c r="A585" s="88"/>
      <c r="B585" s="36" t="s">
        <v>249</v>
      </c>
      <c r="C585" s="30">
        <v>0</v>
      </c>
      <c r="D585" s="49" t="s">
        <v>250</v>
      </c>
      <c r="E585" s="50">
        <f>E582/12</f>
        <v>4</v>
      </c>
      <c r="F585" s="88"/>
      <c r="G585" s="320" t="s">
        <v>251</v>
      </c>
      <c r="H585" s="51" t="s">
        <v>252</v>
      </c>
      <c r="I585" s="112">
        <f>E584</f>
        <v>709</v>
      </c>
      <c r="J585" s="322" t="s">
        <v>253</v>
      </c>
      <c r="K585" s="323"/>
      <c r="L585" s="324"/>
      <c r="M585" s="52" t="s">
        <v>254</v>
      </c>
      <c r="N585" s="106"/>
      <c r="O585" s="106"/>
      <c r="P585" s="191"/>
      <c r="Q585" s="191"/>
      <c r="R585" s="191"/>
      <c r="S585" s="191"/>
      <c r="T585" s="191"/>
      <c r="U585" s="191"/>
      <c r="V585" s="191"/>
      <c r="W585" s="53">
        <f>SUM(P585:U585)</f>
        <v>0</v>
      </c>
      <c r="X585" s="54"/>
      <c r="Y585" s="25"/>
      <c r="Z585" s="45">
        <v>3</v>
      </c>
      <c r="AA585" s="46">
        <v>25</v>
      </c>
      <c r="AB585" s="46">
        <v>36</v>
      </c>
      <c r="AC585" s="25"/>
      <c r="AD585" s="25"/>
      <c r="BA585" s="226"/>
    </row>
    <row r="586" spans="1:53" ht="16.5" thickTop="1" thickBot="1" x14ac:dyDescent="0.3">
      <c r="A586" s="88"/>
      <c r="B586" s="36" t="s">
        <v>255</v>
      </c>
      <c r="C586" s="30">
        <v>0</v>
      </c>
      <c r="D586" s="31" t="s">
        <v>256</v>
      </c>
      <c r="E586" s="101" t="str">
        <f>IF('Cable Calculator'!BV5="","",'Cable Calculator'!BV5)</f>
        <v>Y</v>
      </c>
      <c r="F586" s="88"/>
      <c r="G586" s="321"/>
      <c r="H586" s="47" t="s">
        <v>257</v>
      </c>
      <c r="I586" s="35">
        <f>IF(E584="","0",IF(AND(E581="EUC",E582=432), I585+(203-E583),IF(E584=0,0,(E584+(E582-E583)-1))))</f>
        <v>744</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6"/>
    </row>
    <row r="587" spans="1:53" ht="16.5" thickTop="1" thickBot="1" x14ac:dyDescent="0.3">
      <c r="A587" s="88"/>
      <c r="B587" s="55" t="s">
        <v>258</v>
      </c>
      <c r="C587" s="56">
        <f>SUM(C581:C586)+I580</f>
        <v>36</v>
      </c>
      <c r="D587" s="31" t="s">
        <v>259</v>
      </c>
      <c r="E587" s="101" t="str">
        <f>IF(AS581="Y","DBL",IF(AS582="Y","TRPL",IF(AS583="Y","QUAD","")))</f>
        <v>TRPL</v>
      </c>
      <c r="F587" s="88"/>
      <c r="G587" s="191"/>
      <c r="H587" s="57"/>
      <c r="I587" s="191"/>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6"/>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5"/>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7"/>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7"/>
    </row>
    <row r="591" spans="1:53" ht="15.75" thickBot="1" x14ac:dyDescent="0.3">
      <c r="A591" s="88"/>
      <c r="B591" s="66" t="s">
        <v>276</v>
      </c>
      <c r="C591" s="67" t="s">
        <v>484</v>
      </c>
      <c r="D591" s="102" t="s">
        <v>823</v>
      </c>
      <c r="E591" s="32">
        <v>4</v>
      </c>
      <c r="F591" s="32" t="s">
        <v>488</v>
      </c>
      <c r="G591" s="68" t="s">
        <v>277</v>
      </c>
      <c r="H591" s="69">
        <f>IF(I591=0,0,I591-(E591-1))</f>
        <v>741</v>
      </c>
      <c r="I591" s="70">
        <f>IF(E591=0,0,I586)</f>
        <v>744</v>
      </c>
      <c r="J591" s="71" t="s">
        <v>278</v>
      </c>
      <c r="K591" s="32"/>
      <c r="L591" s="232"/>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741-744</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8">
        <f>MOD(E591,12)</f>
        <v>4</v>
      </c>
    </row>
    <row r="592" spans="1:53" ht="15.75" thickBot="1" x14ac:dyDescent="0.3">
      <c r="A592" s="88"/>
      <c r="B592" s="66" t="s">
        <v>279</v>
      </c>
      <c r="C592" s="67" t="s">
        <v>484</v>
      </c>
      <c r="D592" s="102" t="s">
        <v>768</v>
      </c>
      <c r="E592" s="32">
        <v>4</v>
      </c>
      <c r="F592" s="32" t="s">
        <v>488</v>
      </c>
      <c r="G592" s="68" t="s">
        <v>277</v>
      </c>
      <c r="H592" s="69">
        <f t="shared" ref="H592:H615" si="247">IF(E592=0,0,I592-(E592-1))</f>
        <v>737</v>
      </c>
      <c r="I592" s="70">
        <f t="shared" ref="I592:I615" si="248">IF(E592=0,0,H591-1)</f>
        <v>740</v>
      </c>
      <c r="J592" s="73" t="str">
        <f>IF(C592="","--",IF(AND(C592&lt;&gt;"FST",C592&lt;&gt;"TCF",BA591&lt;&gt;0),BA591,"--"))</f>
        <v>--</v>
      </c>
      <c r="K592" s="32"/>
      <c r="L592" s="232"/>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0</v>
      </c>
      <c r="AE592" s="109" t="str">
        <f t="shared" si="240"/>
        <v>737-740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8">
        <f>MOD(SUM(E591:E592),12)</f>
        <v>8</v>
      </c>
    </row>
    <row r="593" spans="1:53" ht="15.75" thickBot="1" x14ac:dyDescent="0.3">
      <c r="A593" s="88"/>
      <c r="B593" s="74" t="s">
        <v>280</v>
      </c>
      <c r="C593" s="67" t="s">
        <v>484</v>
      </c>
      <c r="D593" s="102" t="s">
        <v>769</v>
      </c>
      <c r="E593" s="32">
        <v>4</v>
      </c>
      <c r="F593" s="32" t="s">
        <v>488</v>
      </c>
      <c r="G593" s="75" t="s">
        <v>277</v>
      </c>
      <c r="H593" s="69">
        <f t="shared" si="247"/>
        <v>733</v>
      </c>
      <c r="I593" s="70">
        <f t="shared" si="248"/>
        <v>736</v>
      </c>
      <c r="J593" s="73" t="str">
        <f t="shared" ref="J593:J615" si="249">IF(C593="","--",IF(AND(C593&lt;&gt;"FST",C593&lt;&gt;"TCF",BA592&lt;&gt;0),BA592,"--"))</f>
        <v>--</v>
      </c>
      <c r="K593" s="32"/>
      <c r="L593" s="232"/>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0</v>
      </c>
      <c r="AE593" s="109" t="str">
        <f t="shared" si="240"/>
        <v>733-736</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8">
        <f>MOD(SUM(E591:E594),12)</f>
        <v>4</v>
      </c>
    </row>
    <row r="594" spans="1:53" ht="15.75" thickBot="1" x14ac:dyDescent="0.3">
      <c r="A594" s="88"/>
      <c r="B594" s="66" t="s">
        <v>281</v>
      </c>
      <c r="C594" s="67" t="s">
        <v>484</v>
      </c>
      <c r="D594" s="102" t="s">
        <v>770</v>
      </c>
      <c r="E594" s="32">
        <v>4</v>
      </c>
      <c r="F594" s="32" t="s">
        <v>488</v>
      </c>
      <c r="G594" s="68" t="s">
        <v>277</v>
      </c>
      <c r="H594" s="69">
        <f t="shared" si="247"/>
        <v>729</v>
      </c>
      <c r="I594" s="70">
        <f t="shared" si="248"/>
        <v>732</v>
      </c>
      <c r="J594" s="73" t="str">
        <f t="shared" si="249"/>
        <v>--</v>
      </c>
      <c r="K594" s="32"/>
      <c r="L594" s="232"/>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0</v>
      </c>
      <c r="AE594" s="109" t="str">
        <f t="shared" si="240"/>
        <v>729-732</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8">
        <f>MOD(SUM(E591:E595),12)</f>
        <v>8</v>
      </c>
    </row>
    <row r="595" spans="1:53" ht="15.75" thickBot="1" x14ac:dyDescent="0.3">
      <c r="A595" s="88"/>
      <c r="B595" s="66" t="s">
        <v>282</v>
      </c>
      <c r="C595" s="67" t="s">
        <v>484</v>
      </c>
      <c r="D595" s="102" t="s">
        <v>746</v>
      </c>
      <c r="E595" s="32">
        <v>4</v>
      </c>
      <c r="F595" s="32" t="s">
        <v>488</v>
      </c>
      <c r="G595" s="68" t="s">
        <v>277</v>
      </c>
      <c r="H595" s="69">
        <f t="shared" si="247"/>
        <v>725</v>
      </c>
      <c r="I595" s="70">
        <f t="shared" si="248"/>
        <v>728</v>
      </c>
      <c r="J595" s="73" t="str">
        <f t="shared" si="249"/>
        <v>--</v>
      </c>
      <c r="K595" s="32"/>
      <c r="L595" s="232"/>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725-728</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8">
        <f>MOD(SUM(E591:E596),12)</f>
        <v>0</v>
      </c>
    </row>
    <row r="596" spans="1:53" ht="15.75" thickBot="1" x14ac:dyDescent="0.3">
      <c r="A596" s="88"/>
      <c r="B596" s="66" t="s">
        <v>283</v>
      </c>
      <c r="C596" s="67" t="s">
        <v>484</v>
      </c>
      <c r="D596" s="102" t="s">
        <v>747</v>
      </c>
      <c r="E596" s="32">
        <v>4</v>
      </c>
      <c r="F596" s="32" t="s">
        <v>488</v>
      </c>
      <c r="G596" s="68" t="s">
        <v>277</v>
      </c>
      <c r="H596" s="69">
        <f t="shared" si="247"/>
        <v>721</v>
      </c>
      <c r="I596" s="70">
        <f t="shared" si="248"/>
        <v>724</v>
      </c>
      <c r="J596" s="73" t="str">
        <f t="shared" si="249"/>
        <v>--</v>
      </c>
      <c r="K596" s="32"/>
      <c r="L596" s="232"/>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0</v>
      </c>
      <c r="AE596" s="109" t="str">
        <f t="shared" si="240"/>
        <v>721-724</v>
      </c>
      <c r="AF596" s="109" t="str">
        <f t="shared" si="241"/>
        <v>Y</v>
      </c>
      <c r="AG596" s="109" t="str">
        <f t="shared" si="242"/>
        <v>B</v>
      </c>
      <c r="AM596" s="109">
        <f t="shared" si="243"/>
        <v>0</v>
      </c>
      <c r="AN596" s="109">
        <f t="shared" si="244"/>
        <v>0</v>
      </c>
      <c r="AO596" s="109" t="str">
        <f t="shared" si="245"/>
        <v/>
      </c>
      <c r="AQ596" s="109" t="str">
        <f t="shared" si="246"/>
        <v/>
      </c>
      <c r="BA596" s="228">
        <f>MOD(SUM(E591:E597),12)</f>
        <v>4</v>
      </c>
    </row>
    <row r="597" spans="1:53" ht="15.75" thickBot="1" x14ac:dyDescent="0.3">
      <c r="A597" s="88"/>
      <c r="B597" s="66" t="s">
        <v>284</v>
      </c>
      <c r="C597" s="67" t="s">
        <v>484</v>
      </c>
      <c r="D597" s="102" t="s">
        <v>748</v>
      </c>
      <c r="E597" s="32">
        <v>4</v>
      </c>
      <c r="F597" s="32" t="s">
        <v>488</v>
      </c>
      <c r="G597" s="68" t="s">
        <v>277</v>
      </c>
      <c r="H597" s="69">
        <f t="shared" si="247"/>
        <v>717</v>
      </c>
      <c r="I597" s="70">
        <f t="shared" si="248"/>
        <v>720</v>
      </c>
      <c r="J597" s="73" t="str">
        <f t="shared" si="249"/>
        <v>--</v>
      </c>
      <c r="K597" s="32"/>
      <c r="L597" s="232"/>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0</v>
      </c>
      <c r="AE597" s="109" t="str">
        <f t="shared" si="240"/>
        <v>717-720</v>
      </c>
      <c r="AF597" s="109" t="str">
        <f t="shared" si="241"/>
        <v>Y</v>
      </c>
      <c r="AG597" s="109" t="str">
        <f t="shared" si="242"/>
        <v>B</v>
      </c>
      <c r="AM597" s="109">
        <f t="shared" si="243"/>
        <v>0</v>
      </c>
      <c r="AN597" s="109">
        <f t="shared" si="244"/>
        <v>0</v>
      </c>
      <c r="AO597" s="109" t="str">
        <f t="shared" si="245"/>
        <v/>
      </c>
      <c r="AQ597" s="109" t="str">
        <f t="shared" si="246"/>
        <v/>
      </c>
      <c r="BA597" s="228">
        <f>MOD(SUM(E591:E598),12)</f>
        <v>8</v>
      </c>
    </row>
    <row r="598" spans="1:53" ht="15.75" thickBot="1" x14ac:dyDescent="0.3">
      <c r="A598" s="88"/>
      <c r="B598" s="66" t="s">
        <v>285</v>
      </c>
      <c r="C598" s="67" t="s">
        <v>484</v>
      </c>
      <c r="D598" s="102" t="s">
        <v>749</v>
      </c>
      <c r="E598" s="32">
        <v>4</v>
      </c>
      <c r="F598" s="32" t="s">
        <v>488</v>
      </c>
      <c r="G598" s="68" t="s">
        <v>277</v>
      </c>
      <c r="H598" s="69">
        <f t="shared" si="247"/>
        <v>713</v>
      </c>
      <c r="I598" s="70">
        <f t="shared" si="248"/>
        <v>716</v>
      </c>
      <c r="J598" s="73" t="str">
        <f t="shared" si="249"/>
        <v>--</v>
      </c>
      <c r="K598" s="32"/>
      <c r="L598" s="232"/>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0</v>
      </c>
      <c r="AE598" s="109" t="str">
        <f t="shared" si="240"/>
        <v>713-716</v>
      </c>
      <c r="AF598" s="109" t="str">
        <f t="shared" si="241"/>
        <v>Y</v>
      </c>
      <c r="AG598" s="109" t="str">
        <f t="shared" si="242"/>
        <v>B</v>
      </c>
      <c r="AM598" s="109">
        <f t="shared" si="243"/>
        <v>0</v>
      </c>
      <c r="AN598" s="109">
        <f t="shared" si="244"/>
        <v>0</v>
      </c>
      <c r="AO598" s="109" t="str">
        <f t="shared" si="245"/>
        <v/>
      </c>
      <c r="AQ598" s="109" t="str">
        <f t="shared" si="246"/>
        <v/>
      </c>
      <c r="BA598" s="228">
        <f>MOD(SUM(E591:E599),12)</f>
        <v>0</v>
      </c>
    </row>
    <row r="599" spans="1:53" ht="15.75" thickBot="1" x14ac:dyDescent="0.3">
      <c r="A599" s="88"/>
      <c r="B599" s="66" t="s">
        <v>286</v>
      </c>
      <c r="C599" s="67" t="s">
        <v>484</v>
      </c>
      <c r="D599" s="102" t="s">
        <v>750</v>
      </c>
      <c r="E599" s="32">
        <v>4</v>
      </c>
      <c r="F599" s="32" t="s">
        <v>488</v>
      </c>
      <c r="G599" s="68" t="s">
        <v>277</v>
      </c>
      <c r="H599" s="69">
        <f t="shared" si="247"/>
        <v>709</v>
      </c>
      <c r="I599" s="70">
        <f t="shared" si="248"/>
        <v>712</v>
      </c>
      <c r="J599" s="73" t="str">
        <f t="shared" si="249"/>
        <v>--</v>
      </c>
      <c r="K599" s="32"/>
      <c r="L599" s="232"/>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0</v>
      </c>
      <c r="AE599" s="109" t="str">
        <f t="shared" si="240"/>
        <v>709-712</v>
      </c>
      <c r="AF599" s="109" t="str">
        <f t="shared" si="241"/>
        <v>Y</v>
      </c>
      <c r="AG599" s="109" t="str">
        <f t="shared" si="242"/>
        <v>B</v>
      </c>
      <c r="AM599" s="109">
        <f t="shared" si="243"/>
        <v>0</v>
      </c>
      <c r="AN599" s="109">
        <f t="shared" si="244"/>
        <v>0</v>
      </c>
      <c r="AO599" s="109" t="str">
        <f t="shared" si="245"/>
        <v/>
      </c>
      <c r="AQ599" s="109" t="str">
        <f t="shared" si="246"/>
        <v/>
      </c>
      <c r="BA599" s="228">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2"/>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8">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2"/>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8">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2"/>
      <c r="M602" s="277"/>
      <c r="N602" s="277"/>
      <c r="O602" s="277"/>
      <c r="P602" s="277"/>
      <c r="Q602" s="277"/>
      <c r="R602" s="277"/>
      <c r="S602" s="277"/>
      <c r="T602" s="277"/>
      <c r="U602" s="278"/>
      <c r="V602" s="103"/>
      <c r="W602" s="84">
        <f>Y602+1</f>
        <v>37</v>
      </c>
      <c r="X602" s="84"/>
      <c r="Y602" s="78">
        <f>SUM(E591:E602)</f>
        <v>36</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8">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2"/>
      <c r="M603" s="277"/>
      <c r="N603" s="277"/>
      <c r="O603" s="277"/>
      <c r="P603" s="277"/>
      <c r="Q603" s="277"/>
      <c r="R603" s="277"/>
      <c r="S603" s="277"/>
      <c r="T603" s="277"/>
      <c r="U603" s="278"/>
      <c r="V603" s="103"/>
      <c r="W603" s="84">
        <f>Y603+1</f>
        <v>37</v>
      </c>
      <c r="X603" s="84"/>
      <c r="Y603" s="78">
        <f>SUM(E591:E603)</f>
        <v>36</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8">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2"/>
      <c r="M604" s="277"/>
      <c r="N604" s="277"/>
      <c r="O604" s="277"/>
      <c r="P604" s="277"/>
      <c r="Q604" s="277"/>
      <c r="R604" s="277"/>
      <c r="S604" s="277"/>
      <c r="T604" s="277"/>
      <c r="U604" s="278"/>
      <c r="V604" s="103"/>
      <c r="W604" s="84">
        <f>Y604+1</f>
        <v>37</v>
      </c>
      <c r="X604" s="84"/>
      <c r="Y604" s="78">
        <f>SUM(E591:E604)</f>
        <v>36</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8">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2"/>
      <c r="M605" s="277"/>
      <c r="N605" s="277"/>
      <c r="O605" s="277"/>
      <c r="P605" s="277"/>
      <c r="Q605" s="277"/>
      <c r="R605" s="277"/>
      <c r="S605" s="277"/>
      <c r="T605" s="277"/>
      <c r="U605" s="278"/>
      <c r="V605" s="103"/>
      <c r="W605" s="84">
        <f>Y605+1</f>
        <v>37</v>
      </c>
      <c r="X605" s="84"/>
      <c r="Y605" s="78">
        <f>SUM(E591:E605)</f>
        <v>36</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8">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2"/>
      <c r="M606" s="277"/>
      <c r="N606" s="277"/>
      <c r="O606" s="277"/>
      <c r="P606" s="277"/>
      <c r="Q606" s="277"/>
      <c r="R606" s="277"/>
      <c r="S606" s="277"/>
      <c r="T606" s="277"/>
      <c r="U606" s="278"/>
      <c r="V606" s="103"/>
      <c r="W606" s="84">
        <f t="shared" ref="W606:W614" si="254">Y606+1</f>
        <v>37</v>
      </c>
      <c r="X606" s="84"/>
      <c r="Y606" s="78">
        <f>SUM(E591:E606)</f>
        <v>36</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8">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2"/>
      <c r="M607" s="277"/>
      <c r="N607" s="277"/>
      <c r="O607" s="277"/>
      <c r="P607" s="277"/>
      <c r="Q607" s="277"/>
      <c r="R607" s="277"/>
      <c r="S607" s="277"/>
      <c r="T607" s="277"/>
      <c r="U607" s="278"/>
      <c r="V607" s="103"/>
      <c r="W607" s="84">
        <f t="shared" si="254"/>
        <v>37</v>
      </c>
      <c r="X607" s="84"/>
      <c r="Y607" s="78">
        <f>SUM(E591:E607)</f>
        <v>36</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8">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2"/>
      <c r="M608" s="277"/>
      <c r="N608" s="277"/>
      <c r="O608" s="277"/>
      <c r="P608" s="277"/>
      <c r="Q608" s="277"/>
      <c r="R608" s="277"/>
      <c r="S608" s="277"/>
      <c r="T608" s="277"/>
      <c r="U608" s="278"/>
      <c r="V608" s="103"/>
      <c r="W608" s="84">
        <f t="shared" si="254"/>
        <v>37</v>
      </c>
      <c r="X608" s="84"/>
      <c r="Y608" s="78">
        <f>SUM(E591:E608)</f>
        <v>36</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8">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2"/>
      <c r="M609" s="277"/>
      <c r="N609" s="277"/>
      <c r="O609" s="277"/>
      <c r="P609" s="277"/>
      <c r="Q609" s="277"/>
      <c r="R609" s="277"/>
      <c r="S609" s="277"/>
      <c r="T609" s="277"/>
      <c r="U609" s="278"/>
      <c r="V609" s="103"/>
      <c r="W609" s="84">
        <f t="shared" si="254"/>
        <v>37</v>
      </c>
      <c r="X609" s="84"/>
      <c r="Y609" s="78">
        <f>SUM(E591:E609)</f>
        <v>36</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8">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2"/>
      <c r="M610" s="277"/>
      <c r="N610" s="277"/>
      <c r="O610" s="277"/>
      <c r="P610" s="277"/>
      <c r="Q610" s="277"/>
      <c r="R610" s="277"/>
      <c r="S610" s="277"/>
      <c r="T610" s="277"/>
      <c r="U610" s="278"/>
      <c r="V610" s="103"/>
      <c r="W610" s="84">
        <f t="shared" si="254"/>
        <v>37</v>
      </c>
      <c r="X610" s="84"/>
      <c r="Y610" s="78">
        <f>SUM(E591:E610)</f>
        <v>36</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8">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2"/>
      <c r="M611" s="277"/>
      <c r="N611" s="277"/>
      <c r="O611" s="277"/>
      <c r="P611" s="277"/>
      <c r="Q611" s="277"/>
      <c r="R611" s="277"/>
      <c r="S611" s="277"/>
      <c r="T611" s="277"/>
      <c r="U611" s="278"/>
      <c r="V611" s="103"/>
      <c r="W611" s="84">
        <f t="shared" si="254"/>
        <v>37</v>
      </c>
      <c r="X611" s="84"/>
      <c r="Y611" s="78">
        <f>SUM(E591:E611)</f>
        <v>36</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8">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2"/>
      <c r="M612" s="277"/>
      <c r="N612" s="277"/>
      <c r="O612" s="277"/>
      <c r="P612" s="277"/>
      <c r="Q612" s="277"/>
      <c r="R612" s="277"/>
      <c r="S612" s="277"/>
      <c r="T612" s="277"/>
      <c r="U612" s="278"/>
      <c r="V612" s="103"/>
      <c r="W612" s="84">
        <f t="shared" si="254"/>
        <v>37</v>
      </c>
      <c r="X612" s="84"/>
      <c r="Y612" s="78">
        <f>SUM(E591:E612)</f>
        <v>36</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8">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2"/>
      <c r="M613" s="277"/>
      <c r="N613" s="277"/>
      <c r="O613" s="277"/>
      <c r="P613" s="277"/>
      <c r="Q613" s="277"/>
      <c r="R613" s="277"/>
      <c r="S613" s="277"/>
      <c r="T613" s="277"/>
      <c r="U613" s="278"/>
      <c r="V613" s="103"/>
      <c r="W613" s="84">
        <f t="shared" si="254"/>
        <v>37</v>
      </c>
      <c r="X613" s="84"/>
      <c r="Y613" s="78">
        <f>SUM(E591:E613)</f>
        <v>36</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8">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2"/>
      <c r="M614" s="277"/>
      <c r="N614" s="277"/>
      <c r="O614" s="277"/>
      <c r="P614" s="277"/>
      <c r="Q614" s="277"/>
      <c r="R614" s="277"/>
      <c r="S614" s="277"/>
      <c r="T614" s="277"/>
      <c r="U614" s="278"/>
      <c r="V614" s="103"/>
      <c r="W614" s="84">
        <f t="shared" si="254"/>
        <v>37</v>
      </c>
      <c r="X614" s="84"/>
      <c r="Y614" s="78">
        <f>SUM(E591:E614)</f>
        <v>36</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8">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3"/>
      <c r="M615" s="277"/>
      <c r="N615" s="277"/>
      <c r="O615" s="277"/>
      <c r="P615" s="277"/>
      <c r="Q615" s="277"/>
      <c r="R615" s="277"/>
      <c r="S615" s="277"/>
      <c r="T615" s="277"/>
      <c r="U615" s="278"/>
      <c r="V615" s="103"/>
      <c r="W615" s="72"/>
      <c r="X615" s="72"/>
      <c r="Y615" s="78">
        <f>SUM(E591:E615)</f>
        <v>36</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7"/>
    </row>
    <row r="616" spans="1:53" ht="16.5" thickBot="1" x14ac:dyDescent="0.3">
      <c r="A616" s="88"/>
      <c r="B616" s="318" t="s">
        <v>333</v>
      </c>
      <c r="C616" s="319"/>
      <c r="D616" s="79"/>
      <c r="E616" s="80"/>
      <c r="F616" s="80"/>
      <c r="G616" s="81"/>
      <c r="H616" s="191"/>
      <c r="I616" s="191"/>
      <c r="J616" s="191"/>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16</v>
      </c>
      <c r="AM616" s="109">
        <f>SUM(AM591:AM615)</f>
        <v>0</v>
      </c>
      <c r="AN616" s="109">
        <f>SUM(AN591:AN615)</f>
        <v>0</v>
      </c>
      <c r="AO616" s="109">
        <f>((COUNTIF(AO591:AO615,"Y")/3)*2)</f>
        <v>0</v>
      </c>
      <c r="AP616" s="109">
        <f>(COUNTIF(AO591:AO615,"Y")/3)</f>
        <v>0</v>
      </c>
      <c r="AQ616" s="109">
        <f>(COUNTIF(AQ591:AQ615,"Y")/2)</f>
        <v>0</v>
      </c>
      <c r="AR616" s="109">
        <f>(COUNTIF(AQ591:AQ615,"Y")/2)</f>
        <v>0</v>
      </c>
      <c r="BA616" s="227"/>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5"/>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5" t="s">
        <v>210</v>
      </c>
      <c r="N620" s="195" t="s">
        <v>211</v>
      </c>
      <c r="O620" s="195" t="s">
        <v>212</v>
      </c>
      <c r="P620" s="195" t="s">
        <v>213</v>
      </c>
      <c r="Q620" s="195" t="s">
        <v>214</v>
      </c>
      <c r="R620" s="195" t="s">
        <v>215</v>
      </c>
      <c r="S620" s="195" t="s">
        <v>216</v>
      </c>
      <c r="T620" s="195" t="s">
        <v>217</v>
      </c>
      <c r="U620" s="195" t="s">
        <v>218</v>
      </c>
      <c r="V620" s="195" t="s">
        <v>219</v>
      </c>
      <c r="W620" s="113" t="s">
        <v>220</v>
      </c>
      <c r="X620" s="195" t="s">
        <v>221</v>
      </c>
      <c r="Y620" s="25"/>
      <c r="Z620" s="25"/>
      <c r="AA620" s="25"/>
      <c r="AB620" s="25"/>
      <c r="AC620" s="25"/>
      <c r="AD620" s="25"/>
      <c r="BA620" s="225"/>
    </row>
    <row r="621" spans="1:53" ht="16.5" thickTop="1" thickBot="1" x14ac:dyDescent="0.3">
      <c r="A621" s="88"/>
      <c r="B621" s="311" t="s">
        <v>222</v>
      </c>
      <c r="C621" s="312"/>
      <c r="D621" s="313" t="s">
        <v>223</v>
      </c>
      <c r="E621" s="304"/>
      <c r="F621" s="88"/>
      <c r="G621" s="314" t="s">
        <v>224</v>
      </c>
      <c r="H621" s="315"/>
      <c r="I621" s="28">
        <f>SUM(E632:E656)</f>
        <v>60</v>
      </c>
      <c r="J621" s="316" t="s">
        <v>225</v>
      </c>
      <c r="K621" s="317"/>
      <c r="L621" s="304"/>
      <c r="M621" s="195">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5"/>
    </row>
    <row r="622" spans="1:53" ht="16.5" customHeight="1" thickTop="1" thickBot="1" x14ac:dyDescent="0.3">
      <c r="A622" s="88"/>
      <c r="B622" s="29" t="s">
        <v>228</v>
      </c>
      <c r="C622" s="30">
        <v>0</v>
      </c>
      <c r="D622" s="31" t="s">
        <v>229</v>
      </c>
      <c r="E622" s="66" t="str">
        <f>TEXT(IF('Cable Calculator'!CA7="","",'Cable Calculator'!CA7),)</f>
        <v>EUC</v>
      </c>
      <c r="F622" s="88"/>
      <c r="G622" s="303" t="s">
        <v>230</v>
      </c>
      <c r="H622" s="304"/>
      <c r="I622" s="33">
        <f>E623-I621</f>
        <v>12</v>
      </c>
      <c r="J622" s="288" t="s">
        <v>231</v>
      </c>
      <c r="K622" s="289"/>
      <c r="L622" s="34">
        <f>I626</f>
        <v>577</v>
      </c>
      <c r="M622" s="195">
        <v>4</v>
      </c>
      <c r="N622" s="35">
        <f>SUM(AI622,AI633)</f>
        <v>0</v>
      </c>
      <c r="O622" s="35">
        <v>0</v>
      </c>
      <c r="P622" s="35">
        <f>SUM(AJ622,AJ633)</f>
        <v>0</v>
      </c>
      <c r="Q622" s="35">
        <v>0</v>
      </c>
      <c r="R622" s="35">
        <f>COUNTIFS($E632:$E656,"4",$F632:$F656,"Pole",$C632:$C656,"FST")</f>
        <v>0</v>
      </c>
      <c r="S622" s="35">
        <f>SUM(AL622,AK633)</f>
        <v>0</v>
      </c>
      <c r="T622" s="35">
        <v>0</v>
      </c>
      <c r="U622" s="35">
        <f>SUM(AK622,AL633)</f>
        <v>7</v>
      </c>
      <c r="V622" s="35">
        <v>0</v>
      </c>
      <c r="W622" s="34">
        <f>COUNTIFS($E632:$E656,"4",$F632:$F656,"HH",$C632:$C656,"FST")</f>
        <v>7</v>
      </c>
      <c r="X622" s="35">
        <f>COUNTIFS($E632:$E656,"4",$F632:$F656,"Ped",$C632:$C656,"FST")</f>
        <v>0</v>
      </c>
      <c r="Y622" s="25"/>
      <c r="Z622" s="297" t="s">
        <v>232</v>
      </c>
      <c r="AA622" s="299" t="s">
        <v>233</v>
      </c>
      <c r="AB622" s="300"/>
      <c r="AC622" s="25"/>
      <c r="AD622" s="25"/>
      <c r="AH622" s="109">
        <v>4</v>
      </c>
      <c r="AI622" s="109" t="str">
        <f>IF($E622="SS",COUNTIFS($C632:$C656,"FST",$E632:$E656,"4"),"0")</f>
        <v>0</v>
      </c>
      <c r="AJ622" s="109" t="str">
        <f>IF($E622="RPX",COUNTIFS($C632:$C656,"FST",$E632:$E656,"4"),"0")</f>
        <v>0</v>
      </c>
      <c r="AK622" s="109">
        <f>IF($E622="EUC",COUNTIFS($C632:$C656,"FST",$E632:$E656,"4"),"0")</f>
        <v>7</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6"/>
    </row>
    <row r="623" spans="1:53" ht="16.5" thickTop="1" thickBot="1" x14ac:dyDescent="0.3">
      <c r="A623" s="88"/>
      <c r="B623" s="36" t="s">
        <v>235</v>
      </c>
      <c r="C623" s="37">
        <v>0</v>
      </c>
      <c r="D623" s="38" t="s">
        <v>236</v>
      </c>
      <c r="E623" s="32">
        <v>72</v>
      </c>
      <c r="F623" s="88"/>
      <c r="G623" s="290" t="s">
        <v>237</v>
      </c>
      <c r="H623" s="291"/>
      <c r="I623" s="35">
        <f>IF(E623=0,0,12-(MOD(I621,12)))</f>
        <v>12</v>
      </c>
      <c r="J623" s="288" t="s">
        <v>238</v>
      </c>
      <c r="K623" s="289"/>
      <c r="L623" s="39">
        <f>I627-I621</f>
        <v>576</v>
      </c>
      <c r="M623" s="195">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6"/>
    </row>
    <row r="624" spans="1:53" ht="16.5" customHeight="1" thickTop="1" thickBot="1" x14ac:dyDescent="0.3">
      <c r="A624" s="88"/>
      <c r="B624" s="40" t="s">
        <v>240</v>
      </c>
      <c r="C624" s="30">
        <v>0</v>
      </c>
      <c r="D624" s="41" t="s">
        <v>241</v>
      </c>
      <c r="E624" s="42">
        <v>12</v>
      </c>
      <c r="F624" s="88"/>
      <c r="G624" s="320" t="s">
        <v>242</v>
      </c>
      <c r="H624" s="43" t="s">
        <v>243</v>
      </c>
      <c r="I624" s="35">
        <f>IF(E624&lt;&gt;0,1,0)</f>
        <v>1</v>
      </c>
      <c r="J624" s="290" t="s">
        <v>244</v>
      </c>
      <c r="K624" s="291"/>
      <c r="L624" s="44">
        <f>'Cable Calculator'!CA3</f>
        <v>1426</v>
      </c>
      <c r="M624" s="195">
        <v>8</v>
      </c>
      <c r="N624" s="35">
        <f>SUM(AI624,AI635)</f>
        <v>0</v>
      </c>
      <c r="O624" s="35">
        <v>0</v>
      </c>
      <c r="P624" s="35">
        <f>SUM(AJ624,AJ635)</f>
        <v>0</v>
      </c>
      <c r="Q624" s="35">
        <v>0</v>
      </c>
      <c r="R624" s="35">
        <f>COUNTIFS($E632:$E656,"8",$F632:$F656,"Pole",$C632:$C656,"FST")</f>
        <v>0</v>
      </c>
      <c r="S624" s="35">
        <f>SUM(AL624,AK635)</f>
        <v>0</v>
      </c>
      <c r="T624" s="35">
        <v>0</v>
      </c>
      <c r="U624" s="35">
        <f>SUM(AK624,AL635)</f>
        <v>1</v>
      </c>
      <c r="V624" s="35">
        <v>0</v>
      </c>
      <c r="W624" s="34">
        <f>COUNTIFS($E632:$E656,"8",$F632:$F656,"HH",$C632:$C656,"FST")</f>
        <v>1</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1</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6"/>
    </row>
    <row r="625" spans="1:53" ht="16.5" thickTop="1" thickBot="1" x14ac:dyDescent="0.3">
      <c r="A625" s="88"/>
      <c r="B625" s="29" t="s">
        <v>246</v>
      </c>
      <c r="C625" s="37">
        <v>0</v>
      </c>
      <c r="D625" s="41" t="s">
        <v>247</v>
      </c>
      <c r="E625" s="42">
        <v>577</v>
      </c>
      <c r="F625" s="88"/>
      <c r="G625" s="321"/>
      <c r="H625" s="47" t="s">
        <v>248</v>
      </c>
      <c r="I625" s="35">
        <f>IF(E624&lt;&gt;0,E624,0)</f>
        <v>12</v>
      </c>
      <c r="J625" s="193"/>
      <c r="K625" s="194"/>
      <c r="L625" s="48"/>
      <c r="M625" s="195">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1</v>
      </c>
      <c r="V625" s="35">
        <f>IF($E622="EUC",SUM($AN657,AP657,AR657),"0")</f>
        <v>1</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6"/>
    </row>
    <row r="626" spans="1:53" ht="16.5" customHeight="1" thickTop="1" thickBot="1" x14ac:dyDescent="0.3">
      <c r="A626" s="88"/>
      <c r="B626" s="36" t="s">
        <v>249</v>
      </c>
      <c r="C626" s="30">
        <v>0</v>
      </c>
      <c r="D626" s="49" t="s">
        <v>250</v>
      </c>
      <c r="E626" s="50">
        <f>E623/12</f>
        <v>6</v>
      </c>
      <c r="F626" s="88"/>
      <c r="G626" s="320" t="s">
        <v>251</v>
      </c>
      <c r="H626" s="51" t="s">
        <v>252</v>
      </c>
      <c r="I626" s="112">
        <f>E625</f>
        <v>577</v>
      </c>
      <c r="J626" s="322" t="s">
        <v>253</v>
      </c>
      <c r="K626" s="323"/>
      <c r="L626" s="324"/>
      <c r="M626" s="52" t="s">
        <v>254</v>
      </c>
      <c r="N626" s="106"/>
      <c r="O626" s="106"/>
      <c r="P626" s="191"/>
      <c r="Q626" s="191"/>
      <c r="R626" s="191"/>
      <c r="S626" s="191"/>
      <c r="T626" s="191"/>
      <c r="U626" s="191"/>
      <c r="V626" s="191"/>
      <c r="W626" s="53">
        <f>SUM(P626:U626)</f>
        <v>0</v>
      </c>
      <c r="X626" s="54"/>
      <c r="Y626" s="25"/>
      <c r="Z626" s="45">
        <v>3</v>
      </c>
      <c r="AA626" s="46">
        <v>25</v>
      </c>
      <c r="AB626" s="46">
        <v>36</v>
      </c>
      <c r="AC626" s="25"/>
      <c r="AD626" s="25"/>
      <c r="BA626" s="226"/>
    </row>
    <row r="627" spans="1:53" ht="16.5" thickTop="1" thickBot="1" x14ac:dyDescent="0.3">
      <c r="A627" s="88"/>
      <c r="B627" s="36" t="s">
        <v>255</v>
      </c>
      <c r="C627" s="30">
        <v>0</v>
      </c>
      <c r="D627" s="31" t="s">
        <v>256</v>
      </c>
      <c r="E627" s="101" t="str">
        <f>IF('Cable Calculator'!CA5="","",'Cable Calculator'!CA5)</f>
        <v>N</v>
      </c>
      <c r="F627" s="88"/>
      <c r="G627" s="321"/>
      <c r="H627" s="47" t="s">
        <v>257</v>
      </c>
      <c r="I627" s="35">
        <f>IF(E625="","0",IF(AND(E622="EUC",E623=432), I626+(203-E624),IF(E625=0,0,(E625+(E623-E624)-1))))</f>
        <v>636</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6"/>
    </row>
    <row r="628" spans="1:53" ht="16.5" thickTop="1" thickBot="1" x14ac:dyDescent="0.3">
      <c r="A628" s="88"/>
      <c r="B628" s="55" t="s">
        <v>258</v>
      </c>
      <c r="C628" s="56">
        <f>SUM(C622:C627)+I621</f>
        <v>60</v>
      </c>
      <c r="D628" s="31" t="s">
        <v>259</v>
      </c>
      <c r="E628" s="101" t="str">
        <f>IF(AS622="Y","DBL",IF(AS623="Y","TRPL",IF(AS624="Y","QUAD","")))</f>
        <v/>
      </c>
      <c r="F628" s="88"/>
      <c r="G628" s="191"/>
      <c r="H628" s="57"/>
      <c r="I628" s="191"/>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6"/>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5"/>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7"/>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7"/>
    </row>
    <row r="632" spans="1:53" ht="15.75" thickBot="1" x14ac:dyDescent="0.3">
      <c r="A632" s="88"/>
      <c r="B632" s="66" t="s">
        <v>276</v>
      </c>
      <c r="C632" s="67" t="s">
        <v>484</v>
      </c>
      <c r="D632" s="102" t="s">
        <v>784</v>
      </c>
      <c r="E632" s="32">
        <v>4</v>
      </c>
      <c r="F632" s="32" t="s">
        <v>488</v>
      </c>
      <c r="G632" s="68" t="s">
        <v>277</v>
      </c>
      <c r="H632" s="69">
        <f>IF(I632=0,0,I632-(E632-1))</f>
        <v>633</v>
      </c>
      <c r="I632" s="70">
        <f>IF(E632=0,0,I627)</f>
        <v>636</v>
      </c>
      <c r="J632" s="71" t="s">
        <v>278</v>
      </c>
      <c r="K632" s="32"/>
      <c r="L632" s="232"/>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633-636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8">
        <f>MOD(E632,12)</f>
        <v>4</v>
      </c>
    </row>
    <row r="633" spans="1:53" ht="15.75" thickBot="1" x14ac:dyDescent="0.3">
      <c r="A633" s="88"/>
      <c r="B633" s="66" t="s">
        <v>279</v>
      </c>
      <c r="C633" s="67" t="s">
        <v>484</v>
      </c>
      <c r="D633" s="102" t="s">
        <v>829</v>
      </c>
      <c r="E633" s="32">
        <v>4</v>
      </c>
      <c r="F633" s="32" t="s">
        <v>488</v>
      </c>
      <c r="G633" s="68" t="s">
        <v>277</v>
      </c>
      <c r="H633" s="69">
        <f t="shared" ref="H633:H656" si="264">IF(E633=0,0,I633-(E633-1))</f>
        <v>629</v>
      </c>
      <c r="I633" s="70">
        <f t="shared" ref="I633:I656" si="265">IF(E633=0,0,H632-1)</f>
        <v>632</v>
      </c>
      <c r="J633" s="73" t="str">
        <f>IF(C633="","--",IF(AND(C633&lt;&gt;"FST",C633&lt;&gt;"TCF",BA632&lt;&gt;0),BA632,"--"))</f>
        <v>--</v>
      </c>
      <c r="K633" s="32"/>
      <c r="L633" s="232"/>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629-632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8">
        <f>MOD(SUM(E632:E633),12)</f>
        <v>8</v>
      </c>
    </row>
    <row r="634" spans="1:53" ht="15.75" thickBot="1" x14ac:dyDescent="0.3">
      <c r="A634" s="88"/>
      <c r="B634" s="74" t="s">
        <v>280</v>
      </c>
      <c r="C634" s="67" t="s">
        <v>484</v>
      </c>
      <c r="D634" s="102" t="s">
        <v>828</v>
      </c>
      <c r="E634" s="32">
        <v>4</v>
      </c>
      <c r="F634" s="32" t="s">
        <v>488</v>
      </c>
      <c r="G634" s="75" t="s">
        <v>277</v>
      </c>
      <c r="H634" s="69">
        <f t="shared" si="264"/>
        <v>625</v>
      </c>
      <c r="I634" s="70">
        <f t="shared" si="265"/>
        <v>628</v>
      </c>
      <c r="J634" s="73" t="str">
        <f t="shared" ref="J634:J656" si="266">IF(C634="","--",IF(AND(C634&lt;&gt;"FST",C634&lt;&gt;"TCF",BA633&lt;&gt;0),BA633,"--"))</f>
        <v>--</v>
      </c>
      <c r="K634" s="32"/>
      <c r="L634" s="232"/>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625-628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8">
        <f>MOD(SUM(E632:E635),12)</f>
        <v>0</v>
      </c>
    </row>
    <row r="635" spans="1:53" ht="15.75" thickBot="1" x14ac:dyDescent="0.3">
      <c r="A635" s="88"/>
      <c r="B635" s="66" t="s">
        <v>281</v>
      </c>
      <c r="C635" s="67" t="s">
        <v>499</v>
      </c>
      <c r="D635" s="102"/>
      <c r="E635" s="32">
        <v>12</v>
      </c>
      <c r="F635" s="32"/>
      <c r="G635" s="68" t="s">
        <v>277</v>
      </c>
      <c r="H635" s="69">
        <f t="shared" si="264"/>
        <v>613</v>
      </c>
      <c r="I635" s="70">
        <f t="shared" si="265"/>
        <v>624</v>
      </c>
      <c r="J635" s="73" t="str">
        <f t="shared" si="266"/>
        <v>--</v>
      </c>
      <c r="K635" s="32"/>
      <c r="L635" s="232"/>
      <c r="M635" s="277" t="s">
        <v>416</v>
      </c>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613-624</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0.5</v>
      </c>
      <c r="AN635" s="109">
        <f t="shared" si="261"/>
        <v>0.5</v>
      </c>
      <c r="AO635" s="109" t="str">
        <f t="shared" si="262"/>
        <v/>
      </c>
      <c r="AQ635" s="109" t="str">
        <f t="shared" si="263"/>
        <v/>
      </c>
      <c r="BA635" s="228">
        <f>MOD(SUM(E632:E636),12)</f>
        <v>0</v>
      </c>
    </row>
    <row r="636" spans="1:53" ht="15.75" thickBot="1" x14ac:dyDescent="0.3">
      <c r="A636" s="88"/>
      <c r="B636" s="66" t="s">
        <v>282</v>
      </c>
      <c r="C636" s="67" t="s">
        <v>499</v>
      </c>
      <c r="D636" s="102"/>
      <c r="E636" s="32">
        <v>12</v>
      </c>
      <c r="F636" s="32"/>
      <c r="G636" s="68" t="s">
        <v>277</v>
      </c>
      <c r="H636" s="69">
        <f t="shared" si="264"/>
        <v>601</v>
      </c>
      <c r="I636" s="70">
        <f t="shared" si="265"/>
        <v>612</v>
      </c>
      <c r="J636" s="73" t="str">
        <f t="shared" si="266"/>
        <v>--</v>
      </c>
      <c r="K636" s="32"/>
      <c r="L636" s="232"/>
      <c r="M636" s="277" t="s">
        <v>416</v>
      </c>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601-612</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0.5</v>
      </c>
      <c r="AN636" s="109">
        <f t="shared" si="261"/>
        <v>0.5</v>
      </c>
      <c r="AO636" s="109" t="str">
        <f t="shared" si="262"/>
        <v/>
      </c>
      <c r="AQ636" s="109" t="str">
        <f t="shared" si="263"/>
        <v/>
      </c>
      <c r="BA636" s="228">
        <f>MOD(SUM(E632:E637),12)</f>
        <v>4</v>
      </c>
    </row>
    <row r="637" spans="1:53" ht="15.75" thickBot="1" x14ac:dyDescent="0.3">
      <c r="A637" s="88"/>
      <c r="B637" s="66" t="s">
        <v>283</v>
      </c>
      <c r="C637" s="67" t="s">
        <v>484</v>
      </c>
      <c r="D637" s="102" t="s">
        <v>827</v>
      </c>
      <c r="E637" s="32">
        <v>4</v>
      </c>
      <c r="F637" s="32" t="s">
        <v>488</v>
      </c>
      <c r="G637" s="68" t="s">
        <v>277</v>
      </c>
      <c r="H637" s="69">
        <f t="shared" si="264"/>
        <v>597</v>
      </c>
      <c r="I637" s="70">
        <f t="shared" si="265"/>
        <v>600</v>
      </c>
      <c r="J637" s="73" t="str">
        <f t="shared" si="266"/>
        <v>--</v>
      </c>
      <c r="K637" s="32"/>
      <c r="L637" s="232"/>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0</v>
      </c>
      <c r="AE637" s="109" t="str">
        <f t="shared" si="257"/>
        <v>597-600</v>
      </c>
      <c r="AF637" s="109" t="str">
        <f t="shared" si="258"/>
        <v>Y</v>
      </c>
      <c r="AG637" s="109" t="str">
        <f t="shared" si="259"/>
        <v>B</v>
      </c>
      <c r="AM637" s="109">
        <f t="shared" si="260"/>
        <v>0</v>
      </c>
      <c r="AN637" s="109">
        <f t="shared" si="261"/>
        <v>0</v>
      </c>
      <c r="AO637" s="109" t="str">
        <f t="shared" si="262"/>
        <v/>
      </c>
      <c r="AQ637" s="109" t="str">
        <f t="shared" si="263"/>
        <v/>
      </c>
      <c r="BA637" s="228">
        <f>MOD(SUM(E632:E638),12)</f>
        <v>8</v>
      </c>
    </row>
    <row r="638" spans="1:53" ht="15.75" thickBot="1" x14ac:dyDescent="0.3">
      <c r="A638" s="88"/>
      <c r="B638" s="66" t="s">
        <v>284</v>
      </c>
      <c r="C638" s="67" t="s">
        <v>484</v>
      </c>
      <c r="D638" s="102" t="s">
        <v>826</v>
      </c>
      <c r="E638" s="32">
        <v>4</v>
      </c>
      <c r="F638" s="32" t="s">
        <v>488</v>
      </c>
      <c r="G638" s="68" t="s">
        <v>277</v>
      </c>
      <c r="H638" s="69">
        <f t="shared" si="264"/>
        <v>593</v>
      </c>
      <c r="I638" s="70">
        <f t="shared" si="265"/>
        <v>596</v>
      </c>
      <c r="J638" s="73" t="str">
        <f t="shared" si="266"/>
        <v>--</v>
      </c>
      <c r="K638" s="32"/>
      <c r="L638" s="232"/>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0</v>
      </c>
      <c r="AE638" s="109" t="str">
        <f t="shared" si="257"/>
        <v>593-596</v>
      </c>
      <c r="AF638" s="109" t="str">
        <f t="shared" si="258"/>
        <v>Y</v>
      </c>
      <c r="AG638" s="109" t="str">
        <f t="shared" si="259"/>
        <v>B</v>
      </c>
      <c r="AM638" s="109">
        <f t="shared" si="260"/>
        <v>0</v>
      </c>
      <c r="AN638" s="109">
        <f t="shared" si="261"/>
        <v>0</v>
      </c>
      <c r="AO638" s="109" t="str">
        <f t="shared" si="262"/>
        <v/>
      </c>
      <c r="AQ638" s="109" t="str">
        <f t="shared" si="263"/>
        <v/>
      </c>
      <c r="BA638" s="228">
        <f>MOD(SUM(E632:E639),12)</f>
        <v>4</v>
      </c>
    </row>
    <row r="639" spans="1:53" ht="15.75" thickBot="1" x14ac:dyDescent="0.3">
      <c r="A639" s="88"/>
      <c r="B639" s="66" t="s">
        <v>285</v>
      </c>
      <c r="C639" s="67" t="s">
        <v>484</v>
      </c>
      <c r="D639" s="102" t="s">
        <v>786</v>
      </c>
      <c r="E639" s="32">
        <v>8</v>
      </c>
      <c r="F639" s="32" t="s">
        <v>488</v>
      </c>
      <c r="G639" s="68" t="s">
        <v>277</v>
      </c>
      <c r="H639" s="69">
        <f t="shared" si="264"/>
        <v>585</v>
      </c>
      <c r="I639" s="70">
        <f t="shared" si="265"/>
        <v>592</v>
      </c>
      <c r="J639" s="73" t="str">
        <f t="shared" si="266"/>
        <v>--</v>
      </c>
      <c r="K639" s="32"/>
      <c r="L639" s="232"/>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0</v>
      </c>
      <c r="AE639" s="109" t="str">
        <f t="shared" si="257"/>
        <v>585-592</v>
      </c>
      <c r="AF639" s="109" t="str">
        <f t="shared" si="258"/>
        <v>Y</v>
      </c>
      <c r="AG639" s="109" t="str">
        <f t="shared" si="259"/>
        <v>B</v>
      </c>
      <c r="AM639" s="109">
        <f t="shared" si="260"/>
        <v>0</v>
      </c>
      <c r="AN639" s="109">
        <f t="shared" si="261"/>
        <v>0</v>
      </c>
      <c r="AO639" s="109" t="str">
        <f t="shared" si="262"/>
        <v/>
      </c>
      <c r="AQ639" s="109" t="str">
        <f t="shared" si="263"/>
        <v/>
      </c>
      <c r="BA639" s="228">
        <f>MOD(SUM(E632:E640),12)</f>
        <v>8</v>
      </c>
    </row>
    <row r="640" spans="1:53" ht="15.75" thickBot="1" x14ac:dyDescent="0.3">
      <c r="A640" s="88"/>
      <c r="B640" s="66" t="s">
        <v>286</v>
      </c>
      <c r="C640" s="67" t="s">
        <v>484</v>
      </c>
      <c r="D640" s="102" t="s">
        <v>825</v>
      </c>
      <c r="E640" s="32">
        <v>4</v>
      </c>
      <c r="F640" s="32" t="s">
        <v>488</v>
      </c>
      <c r="G640" s="68" t="s">
        <v>277</v>
      </c>
      <c r="H640" s="69">
        <f t="shared" si="264"/>
        <v>581</v>
      </c>
      <c r="I640" s="70">
        <f t="shared" si="265"/>
        <v>584</v>
      </c>
      <c r="J640" s="73" t="str">
        <f t="shared" si="266"/>
        <v>--</v>
      </c>
      <c r="K640" s="32"/>
      <c r="L640" s="232"/>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0</v>
      </c>
      <c r="AE640" s="109" t="str">
        <f t="shared" si="257"/>
        <v>581-584</v>
      </c>
      <c r="AF640" s="109" t="str">
        <f t="shared" si="258"/>
        <v>Y</v>
      </c>
      <c r="AG640" s="109" t="str">
        <f t="shared" si="259"/>
        <v>B</v>
      </c>
      <c r="AM640" s="109">
        <f t="shared" si="260"/>
        <v>0</v>
      </c>
      <c r="AN640" s="109">
        <f t="shared" si="261"/>
        <v>0</v>
      </c>
      <c r="AO640" s="109" t="str">
        <f t="shared" si="262"/>
        <v/>
      </c>
      <c r="AQ640" s="109" t="str">
        <f t="shared" si="263"/>
        <v/>
      </c>
      <c r="BA640" s="228">
        <f>MOD(SUM(E632:E641),12)</f>
        <v>0</v>
      </c>
    </row>
    <row r="641" spans="1:53" ht="15.75" thickBot="1" x14ac:dyDescent="0.3">
      <c r="A641" s="88"/>
      <c r="B641" s="66" t="s">
        <v>287</v>
      </c>
      <c r="C641" s="67" t="s">
        <v>484</v>
      </c>
      <c r="D641" s="102" t="s">
        <v>824</v>
      </c>
      <c r="E641" s="32">
        <v>4</v>
      </c>
      <c r="F641" s="32" t="s">
        <v>488</v>
      </c>
      <c r="G641" s="68" t="s">
        <v>277</v>
      </c>
      <c r="H641" s="69">
        <f t="shared" si="264"/>
        <v>577</v>
      </c>
      <c r="I641" s="70">
        <f t="shared" si="265"/>
        <v>580</v>
      </c>
      <c r="J641" s="73" t="str">
        <f t="shared" si="266"/>
        <v>--</v>
      </c>
      <c r="K641" s="32"/>
      <c r="L641" s="232"/>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0</v>
      </c>
      <c r="AE641" s="109" t="str">
        <f t="shared" si="257"/>
        <v>577-580</v>
      </c>
      <c r="AF641" s="109" t="str">
        <f t="shared" si="258"/>
        <v>Y</v>
      </c>
      <c r="AG641" s="109" t="str">
        <f t="shared" si="259"/>
        <v>B</v>
      </c>
      <c r="AM641" s="109">
        <f t="shared" si="260"/>
        <v>0</v>
      </c>
      <c r="AN641" s="109">
        <f t="shared" si="261"/>
        <v>0</v>
      </c>
      <c r="AO641" s="109" t="str">
        <f t="shared" si="262"/>
        <v/>
      </c>
      <c r="AQ641" s="109" t="str">
        <f t="shared" si="263"/>
        <v/>
      </c>
      <c r="BA641" s="228">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2"/>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8">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2"/>
      <c r="M643" s="277"/>
      <c r="N643" s="277"/>
      <c r="O643" s="277"/>
      <c r="P643" s="277"/>
      <c r="Q643" s="277"/>
      <c r="R643" s="277"/>
      <c r="S643" s="277"/>
      <c r="T643" s="277"/>
      <c r="U643" s="278"/>
      <c r="V643" s="103"/>
      <c r="W643" s="84">
        <f>Y643+1</f>
        <v>61</v>
      </c>
      <c r="X643" s="84"/>
      <c r="Y643" s="78">
        <f>SUM(E632:E643)</f>
        <v>60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8">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2"/>
      <c r="M644" s="277"/>
      <c r="N644" s="277"/>
      <c r="O644" s="277"/>
      <c r="P644" s="277"/>
      <c r="Q644" s="277"/>
      <c r="R644" s="277"/>
      <c r="S644" s="277"/>
      <c r="T644" s="277"/>
      <c r="U644" s="278"/>
      <c r="V644" s="103"/>
      <c r="W644" s="84">
        <f>Y644+1</f>
        <v>61</v>
      </c>
      <c r="X644" s="84"/>
      <c r="Y644" s="78">
        <f>SUM(E632:E644)</f>
        <v>60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8">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2"/>
      <c r="M645" s="277"/>
      <c r="N645" s="277"/>
      <c r="O645" s="277"/>
      <c r="P645" s="277"/>
      <c r="Q645" s="277"/>
      <c r="R645" s="277"/>
      <c r="S645" s="277"/>
      <c r="T645" s="277"/>
      <c r="U645" s="278"/>
      <c r="V645" s="103"/>
      <c r="W645" s="84">
        <f>Y645+1</f>
        <v>61</v>
      </c>
      <c r="X645" s="84"/>
      <c r="Y645" s="78">
        <f>SUM(E632:E645)</f>
        <v>60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8">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2"/>
      <c r="M646" s="277"/>
      <c r="N646" s="277"/>
      <c r="O646" s="277"/>
      <c r="P646" s="277"/>
      <c r="Q646" s="277"/>
      <c r="R646" s="277"/>
      <c r="S646" s="277"/>
      <c r="T646" s="277"/>
      <c r="U646" s="278"/>
      <c r="V646" s="103"/>
      <c r="W646" s="84">
        <f>Y646+1</f>
        <v>61</v>
      </c>
      <c r="X646" s="84"/>
      <c r="Y646" s="78">
        <f>SUM(E632:E646)</f>
        <v>60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8">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2"/>
      <c r="M647" s="277"/>
      <c r="N647" s="277"/>
      <c r="O647" s="277"/>
      <c r="P647" s="277"/>
      <c r="Q647" s="277"/>
      <c r="R647" s="277"/>
      <c r="S647" s="277"/>
      <c r="T647" s="277"/>
      <c r="U647" s="278"/>
      <c r="V647" s="103"/>
      <c r="W647" s="84">
        <f t="shared" ref="W647:W655" si="271">Y647+1</f>
        <v>61</v>
      </c>
      <c r="X647" s="84"/>
      <c r="Y647" s="78">
        <f>SUM(E632:E647)</f>
        <v>60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8">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2"/>
      <c r="M648" s="277"/>
      <c r="N648" s="277"/>
      <c r="O648" s="277"/>
      <c r="P648" s="277"/>
      <c r="Q648" s="277"/>
      <c r="R648" s="277"/>
      <c r="S648" s="277"/>
      <c r="T648" s="277"/>
      <c r="U648" s="278"/>
      <c r="V648" s="103"/>
      <c r="W648" s="84">
        <f t="shared" si="271"/>
        <v>61</v>
      </c>
      <c r="X648" s="84"/>
      <c r="Y648" s="78">
        <f>SUM(E632:E648)</f>
        <v>60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8">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2"/>
      <c r="M649" s="277"/>
      <c r="N649" s="277"/>
      <c r="O649" s="277"/>
      <c r="P649" s="277"/>
      <c r="Q649" s="277"/>
      <c r="R649" s="277"/>
      <c r="S649" s="277"/>
      <c r="T649" s="277"/>
      <c r="U649" s="278"/>
      <c r="V649" s="103"/>
      <c r="W649" s="84">
        <f t="shared" si="271"/>
        <v>61</v>
      </c>
      <c r="X649" s="84"/>
      <c r="Y649" s="78">
        <f>SUM(E632:E649)</f>
        <v>60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8">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2"/>
      <c r="M650" s="277"/>
      <c r="N650" s="277"/>
      <c r="O650" s="277"/>
      <c r="P650" s="277"/>
      <c r="Q650" s="277"/>
      <c r="R650" s="277"/>
      <c r="S650" s="277"/>
      <c r="T650" s="277"/>
      <c r="U650" s="278"/>
      <c r="V650" s="103"/>
      <c r="W650" s="84">
        <f t="shared" si="271"/>
        <v>61</v>
      </c>
      <c r="X650" s="84"/>
      <c r="Y650" s="78">
        <f>SUM(E632:E650)</f>
        <v>60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8">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2"/>
      <c r="M651" s="277"/>
      <c r="N651" s="277"/>
      <c r="O651" s="277"/>
      <c r="P651" s="277"/>
      <c r="Q651" s="277"/>
      <c r="R651" s="277"/>
      <c r="S651" s="277"/>
      <c r="T651" s="277"/>
      <c r="U651" s="278"/>
      <c r="V651" s="103"/>
      <c r="W651" s="84">
        <f t="shared" si="271"/>
        <v>61</v>
      </c>
      <c r="X651" s="84"/>
      <c r="Y651" s="78">
        <f>SUM(E632:E651)</f>
        <v>60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8">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2"/>
      <c r="M652" s="277"/>
      <c r="N652" s="277"/>
      <c r="O652" s="277"/>
      <c r="P652" s="277"/>
      <c r="Q652" s="277"/>
      <c r="R652" s="277"/>
      <c r="S652" s="277"/>
      <c r="T652" s="277"/>
      <c r="U652" s="278"/>
      <c r="V652" s="103"/>
      <c r="W652" s="84">
        <f t="shared" si="271"/>
        <v>61</v>
      </c>
      <c r="X652" s="84"/>
      <c r="Y652" s="78">
        <f>SUM(E632:E652)</f>
        <v>60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8">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2"/>
      <c r="M653" s="277"/>
      <c r="N653" s="277"/>
      <c r="O653" s="277"/>
      <c r="P653" s="277"/>
      <c r="Q653" s="277"/>
      <c r="R653" s="277"/>
      <c r="S653" s="277"/>
      <c r="T653" s="277"/>
      <c r="U653" s="278"/>
      <c r="V653" s="103"/>
      <c r="W653" s="84">
        <f t="shared" si="271"/>
        <v>61</v>
      </c>
      <c r="X653" s="84"/>
      <c r="Y653" s="78">
        <f>SUM(E632:E653)</f>
        <v>60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8">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2"/>
      <c r="M654" s="277"/>
      <c r="N654" s="277"/>
      <c r="O654" s="277"/>
      <c r="P654" s="277"/>
      <c r="Q654" s="277"/>
      <c r="R654" s="277"/>
      <c r="S654" s="277"/>
      <c r="T654" s="277"/>
      <c r="U654" s="278"/>
      <c r="V654" s="103"/>
      <c r="W654" s="84">
        <f t="shared" si="271"/>
        <v>61</v>
      </c>
      <c r="X654" s="84"/>
      <c r="Y654" s="78">
        <f>SUM(E632:E654)</f>
        <v>60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8">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2"/>
      <c r="M655" s="277"/>
      <c r="N655" s="277"/>
      <c r="O655" s="277"/>
      <c r="P655" s="277"/>
      <c r="Q655" s="277"/>
      <c r="R655" s="277"/>
      <c r="S655" s="277"/>
      <c r="T655" s="277"/>
      <c r="U655" s="278"/>
      <c r="V655" s="103"/>
      <c r="W655" s="84">
        <f t="shared" si="271"/>
        <v>61</v>
      </c>
      <c r="X655" s="84"/>
      <c r="Y655" s="78">
        <f>SUM(E632:E655)</f>
        <v>60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8">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3"/>
      <c r="M656" s="277"/>
      <c r="N656" s="277"/>
      <c r="O656" s="277"/>
      <c r="P656" s="277"/>
      <c r="Q656" s="277"/>
      <c r="R656" s="277"/>
      <c r="S656" s="277"/>
      <c r="T656" s="277"/>
      <c r="U656" s="278"/>
      <c r="V656" s="103"/>
      <c r="W656" s="72"/>
      <c r="X656" s="72"/>
      <c r="Y656" s="78">
        <f>SUM(E632:E656)</f>
        <v>60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7"/>
    </row>
    <row r="657" spans="1:53" ht="16.5" thickBot="1" x14ac:dyDescent="0.3">
      <c r="A657" s="88"/>
      <c r="B657" s="318" t="s">
        <v>335</v>
      </c>
      <c r="C657" s="319"/>
      <c r="D657" s="79"/>
      <c r="E657" s="80"/>
      <c r="F657" s="80"/>
      <c r="G657" s="81"/>
      <c r="H657" s="191"/>
      <c r="I657" s="191"/>
      <c r="J657" s="191"/>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17</v>
      </c>
      <c r="AM657" s="109">
        <f>SUM(AM632:AM656)</f>
        <v>1</v>
      </c>
      <c r="AN657" s="109">
        <f>SUM(AN632:AN656)</f>
        <v>1</v>
      </c>
      <c r="AO657" s="109">
        <f>((COUNTIF(AO632:AO656,"Y")/3)*2)</f>
        <v>0</v>
      </c>
      <c r="AP657" s="109">
        <f>(COUNTIF(AO632:AO656,"Y")/3)</f>
        <v>0</v>
      </c>
      <c r="AQ657" s="109">
        <f>(COUNTIF(AQ632:AQ656,"Y")/2)</f>
        <v>0</v>
      </c>
      <c r="AR657" s="109">
        <f>(COUNTIF(AQ632:AQ656,"Y")/2)</f>
        <v>0</v>
      </c>
      <c r="BA657" s="227"/>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5"/>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5" t="s">
        <v>210</v>
      </c>
      <c r="N661" s="195" t="s">
        <v>211</v>
      </c>
      <c r="O661" s="195" t="s">
        <v>212</v>
      </c>
      <c r="P661" s="195" t="s">
        <v>213</v>
      </c>
      <c r="Q661" s="195" t="s">
        <v>214</v>
      </c>
      <c r="R661" s="195" t="s">
        <v>215</v>
      </c>
      <c r="S661" s="195" t="s">
        <v>216</v>
      </c>
      <c r="T661" s="195" t="s">
        <v>217</v>
      </c>
      <c r="U661" s="195" t="s">
        <v>218</v>
      </c>
      <c r="V661" s="195" t="s">
        <v>219</v>
      </c>
      <c r="W661" s="113" t="s">
        <v>220</v>
      </c>
      <c r="X661" s="195" t="s">
        <v>221</v>
      </c>
      <c r="Y661" s="25"/>
      <c r="Z661" s="25"/>
      <c r="AA661" s="25"/>
      <c r="AB661" s="25"/>
      <c r="AC661" s="25"/>
      <c r="AD661" s="25"/>
      <c r="BA661" s="225"/>
    </row>
    <row r="662" spans="1:53" ht="16.5" thickTop="1" thickBot="1" x14ac:dyDescent="0.3">
      <c r="A662" s="88"/>
      <c r="B662" s="311" t="s">
        <v>222</v>
      </c>
      <c r="C662" s="312"/>
      <c r="D662" s="313" t="s">
        <v>223</v>
      </c>
      <c r="E662" s="304"/>
      <c r="F662" s="88"/>
      <c r="G662" s="314" t="s">
        <v>224</v>
      </c>
      <c r="H662" s="315"/>
      <c r="I662" s="28">
        <f>SUM(E673:E697)</f>
        <v>0</v>
      </c>
      <c r="J662" s="316" t="s">
        <v>225</v>
      </c>
      <c r="K662" s="317"/>
      <c r="L662" s="304"/>
      <c r="M662" s="195">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5"/>
    </row>
    <row r="663" spans="1:53" ht="16.5" customHeight="1" thickTop="1" thickBot="1" x14ac:dyDescent="0.3">
      <c r="A663" s="88"/>
      <c r="B663" s="29" t="s">
        <v>228</v>
      </c>
      <c r="C663" s="30">
        <v>0</v>
      </c>
      <c r="D663" s="31" t="s">
        <v>229</v>
      </c>
      <c r="E663" s="66" t="str">
        <f>TEXT(IF('Cable Calculator'!CF7="","",'Cable Calculator'!CF7),)</f>
        <v/>
      </c>
      <c r="F663" s="88"/>
      <c r="G663" s="303" t="s">
        <v>230</v>
      </c>
      <c r="H663" s="304"/>
      <c r="I663" s="33">
        <f>E664-I662</f>
        <v>0</v>
      </c>
      <c r="J663" s="288" t="s">
        <v>231</v>
      </c>
      <c r="K663" s="289"/>
      <c r="L663" s="34">
        <f>I667</f>
        <v>0</v>
      </c>
      <c r="M663" s="195">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6"/>
    </row>
    <row r="664" spans="1:53" ht="16.5" thickTop="1" thickBot="1" x14ac:dyDescent="0.3">
      <c r="A664" s="88"/>
      <c r="B664" s="36" t="s">
        <v>235</v>
      </c>
      <c r="C664" s="37">
        <v>0</v>
      </c>
      <c r="D664" s="38" t="s">
        <v>236</v>
      </c>
      <c r="E664" s="32"/>
      <c r="F664" s="88"/>
      <c r="G664" s="290" t="s">
        <v>237</v>
      </c>
      <c r="H664" s="291"/>
      <c r="I664" s="35">
        <f>IF(E664=0,0,12-(MOD(I662,12)))</f>
        <v>0</v>
      </c>
      <c r="J664" s="288" t="s">
        <v>238</v>
      </c>
      <c r="K664" s="289"/>
      <c r="L664" s="39">
        <f>I668-I662</f>
        <v>0</v>
      </c>
      <c r="M664" s="195">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6"/>
    </row>
    <row r="665" spans="1:53" ht="16.5" customHeight="1" thickTop="1" thickBot="1" x14ac:dyDescent="0.3">
      <c r="A665" s="88"/>
      <c r="B665" s="40" t="s">
        <v>240</v>
      </c>
      <c r="C665" s="30">
        <v>0</v>
      </c>
      <c r="D665" s="41" t="s">
        <v>241</v>
      </c>
      <c r="E665" s="42"/>
      <c r="F665" s="88"/>
      <c r="G665" s="320" t="s">
        <v>242</v>
      </c>
      <c r="H665" s="43" t="s">
        <v>243</v>
      </c>
      <c r="I665" s="35">
        <f>IF(E665&lt;&gt;0,1,0)</f>
        <v>0</v>
      </c>
      <c r="J665" s="290" t="s">
        <v>244</v>
      </c>
      <c r="K665" s="291"/>
      <c r="L665" s="44" t="str">
        <f>'Cable Calculator'!CF3</f>
        <v/>
      </c>
      <c r="M665" s="195">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6"/>
    </row>
    <row r="666" spans="1:53" ht="16.5" thickTop="1" thickBot="1" x14ac:dyDescent="0.3">
      <c r="A666" s="88"/>
      <c r="B666" s="29" t="s">
        <v>246</v>
      </c>
      <c r="C666" s="37">
        <v>0</v>
      </c>
      <c r="D666" s="41" t="s">
        <v>247</v>
      </c>
      <c r="E666" s="42"/>
      <c r="F666" s="88"/>
      <c r="G666" s="321"/>
      <c r="H666" s="47" t="s">
        <v>248</v>
      </c>
      <c r="I666" s="35">
        <f>IF(E665&lt;&gt;0,E665,0)</f>
        <v>0</v>
      </c>
      <c r="J666" s="193"/>
      <c r="K666" s="194"/>
      <c r="L666" s="48"/>
      <c r="M666" s="195">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6"/>
    </row>
    <row r="667" spans="1:53" ht="16.5" customHeight="1" thickTop="1" thickBot="1" x14ac:dyDescent="0.3">
      <c r="A667" s="88"/>
      <c r="B667" s="36" t="s">
        <v>249</v>
      </c>
      <c r="C667" s="30">
        <v>0</v>
      </c>
      <c r="D667" s="49" t="s">
        <v>250</v>
      </c>
      <c r="E667" s="50">
        <f>E664/12</f>
        <v>0</v>
      </c>
      <c r="F667" s="88"/>
      <c r="G667" s="320" t="s">
        <v>251</v>
      </c>
      <c r="H667" s="51" t="s">
        <v>252</v>
      </c>
      <c r="I667" s="112">
        <f>E666</f>
        <v>0</v>
      </c>
      <c r="J667" s="322" t="s">
        <v>253</v>
      </c>
      <c r="K667" s="323"/>
      <c r="L667" s="324"/>
      <c r="M667" s="52" t="s">
        <v>254</v>
      </c>
      <c r="N667" s="106"/>
      <c r="O667" s="106"/>
      <c r="P667" s="191"/>
      <c r="Q667" s="191"/>
      <c r="R667" s="191"/>
      <c r="S667" s="191"/>
      <c r="T667" s="191"/>
      <c r="U667" s="191"/>
      <c r="V667" s="191"/>
      <c r="W667" s="53">
        <f>SUM(P667:U667)</f>
        <v>0</v>
      </c>
      <c r="X667" s="54"/>
      <c r="Y667" s="25"/>
      <c r="Z667" s="45">
        <v>3</v>
      </c>
      <c r="AA667" s="46">
        <v>25</v>
      </c>
      <c r="AB667" s="46">
        <v>36</v>
      </c>
      <c r="AC667" s="25"/>
      <c r="AD667" s="25"/>
      <c r="BA667" s="226"/>
    </row>
    <row r="668" spans="1:53" ht="16.5" thickTop="1" thickBot="1" x14ac:dyDescent="0.3">
      <c r="A668" s="88"/>
      <c r="B668" s="36" t="s">
        <v>255</v>
      </c>
      <c r="C668" s="30">
        <v>0</v>
      </c>
      <c r="D668" s="31" t="s">
        <v>256</v>
      </c>
      <c r="E668" s="101" t="str">
        <f>IF('Cable Calculator'!CF5="","",'Cable Calculator'!CF5)</f>
        <v/>
      </c>
      <c r="F668" s="88"/>
      <c r="G668" s="321"/>
      <c r="H668" s="47" t="s">
        <v>257</v>
      </c>
      <c r="I668" s="35" t="str">
        <f>IF(E666="","0",IF(AND(E663="EUC",E664=432), I667+(203-E665),IF(E666=0,0,(E666+(E664-E665)-1))))</f>
        <v>0</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6"/>
    </row>
    <row r="669" spans="1:53" ht="16.5" thickTop="1" thickBot="1" x14ac:dyDescent="0.3">
      <c r="A669" s="88"/>
      <c r="B669" s="55" t="s">
        <v>258</v>
      </c>
      <c r="C669" s="56">
        <f>SUM(C663:C668)+I662</f>
        <v>0</v>
      </c>
      <c r="D669" s="31" t="s">
        <v>259</v>
      </c>
      <c r="E669" s="101" t="str">
        <f>IF(AS663="Y","DBL",IF(AS664="Y","TRPL",IF(AS665="Y","QUAD","")))</f>
        <v/>
      </c>
      <c r="F669" s="88"/>
      <c r="G669" s="191"/>
      <c r="H669" s="57"/>
      <c r="I669" s="191"/>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6"/>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5"/>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7"/>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7"/>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2"/>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8">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2"/>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8">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2"/>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8">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2"/>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8">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2"/>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8">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2"/>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8">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2"/>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8">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2"/>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8">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2"/>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8">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2"/>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8">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2"/>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8">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2"/>
      <c r="M684" s="277"/>
      <c r="N684" s="277"/>
      <c r="O684" s="277"/>
      <c r="P684" s="277"/>
      <c r="Q684" s="277"/>
      <c r="R684" s="277"/>
      <c r="S684" s="277"/>
      <c r="T684" s="277"/>
      <c r="U684" s="278"/>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8">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2"/>
      <c r="M685" s="277"/>
      <c r="N685" s="277"/>
      <c r="O685" s="277"/>
      <c r="P685" s="277"/>
      <c r="Q685" s="277"/>
      <c r="R685" s="277"/>
      <c r="S685" s="277"/>
      <c r="T685" s="277"/>
      <c r="U685" s="278"/>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8">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2"/>
      <c r="M686" s="277"/>
      <c r="N686" s="277"/>
      <c r="O686" s="277"/>
      <c r="P686" s="277"/>
      <c r="Q686" s="277"/>
      <c r="R686" s="277"/>
      <c r="S686" s="277"/>
      <c r="T686" s="277"/>
      <c r="U686" s="278"/>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8">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2"/>
      <c r="M687" s="277"/>
      <c r="N687" s="277"/>
      <c r="O687" s="277"/>
      <c r="P687" s="277"/>
      <c r="Q687" s="277"/>
      <c r="R687" s="277"/>
      <c r="S687" s="277"/>
      <c r="T687" s="277"/>
      <c r="U687" s="278"/>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8">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2"/>
      <c r="M688" s="277"/>
      <c r="N688" s="277"/>
      <c r="O688" s="277"/>
      <c r="P688" s="277"/>
      <c r="Q688" s="277"/>
      <c r="R688" s="277"/>
      <c r="S688" s="277"/>
      <c r="T688" s="277"/>
      <c r="U688" s="278"/>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8">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2"/>
      <c r="M689" s="277"/>
      <c r="N689" s="277"/>
      <c r="O689" s="277"/>
      <c r="P689" s="277"/>
      <c r="Q689" s="277"/>
      <c r="R689" s="277"/>
      <c r="S689" s="277"/>
      <c r="T689" s="277"/>
      <c r="U689" s="278"/>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8">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2"/>
      <c r="M690" s="277"/>
      <c r="N690" s="277"/>
      <c r="O690" s="277"/>
      <c r="P690" s="277"/>
      <c r="Q690" s="277"/>
      <c r="R690" s="277"/>
      <c r="S690" s="277"/>
      <c r="T690" s="277"/>
      <c r="U690" s="278"/>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8">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2"/>
      <c r="M691" s="277"/>
      <c r="N691" s="277"/>
      <c r="O691" s="277"/>
      <c r="P691" s="277"/>
      <c r="Q691" s="277"/>
      <c r="R691" s="277"/>
      <c r="S691" s="277"/>
      <c r="T691" s="277"/>
      <c r="U691" s="278"/>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8">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2"/>
      <c r="M692" s="277"/>
      <c r="N692" s="277"/>
      <c r="O692" s="277"/>
      <c r="P692" s="277"/>
      <c r="Q692" s="277"/>
      <c r="R692" s="277"/>
      <c r="S692" s="277"/>
      <c r="T692" s="277"/>
      <c r="U692" s="278"/>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8">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2"/>
      <c r="M693" s="277"/>
      <c r="N693" s="277"/>
      <c r="O693" s="277"/>
      <c r="P693" s="277"/>
      <c r="Q693" s="277"/>
      <c r="R693" s="277"/>
      <c r="S693" s="277"/>
      <c r="T693" s="277"/>
      <c r="U693" s="278"/>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8">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2"/>
      <c r="M694" s="277"/>
      <c r="N694" s="277"/>
      <c r="O694" s="277"/>
      <c r="P694" s="277"/>
      <c r="Q694" s="277"/>
      <c r="R694" s="277"/>
      <c r="S694" s="277"/>
      <c r="T694" s="277"/>
      <c r="U694" s="278"/>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8">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2"/>
      <c r="M695" s="277"/>
      <c r="N695" s="277"/>
      <c r="O695" s="277"/>
      <c r="P695" s="277"/>
      <c r="Q695" s="277"/>
      <c r="R695" s="277"/>
      <c r="S695" s="277"/>
      <c r="T695" s="277"/>
      <c r="U695" s="278"/>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8">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2"/>
      <c r="M696" s="277"/>
      <c r="N696" s="277"/>
      <c r="O696" s="277"/>
      <c r="P696" s="277"/>
      <c r="Q696" s="277"/>
      <c r="R696" s="277"/>
      <c r="S696" s="277"/>
      <c r="T696" s="277"/>
      <c r="U696" s="278"/>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8">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3"/>
      <c r="M697" s="277"/>
      <c r="N697" s="277"/>
      <c r="O697" s="277"/>
      <c r="P697" s="277"/>
      <c r="Q697" s="277"/>
      <c r="R697" s="277"/>
      <c r="S697" s="277"/>
      <c r="T697" s="277"/>
      <c r="U697" s="278"/>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7"/>
    </row>
    <row r="698" spans="1:53" ht="16.5" thickBot="1" x14ac:dyDescent="0.3">
      <c r="A698" s="88"/>
      <c r="B698" s="318" t="s">
        <v>337</v>
      </c>
      <c r="C698" s="319"/>
      <c r="D698" s="79"/>
      <c r="E698" s="80"/>
      <c r="F698" s="80"/>
      <c r="G698" s="81"/>
      <c r="H698" s="191"/>
      <c r="I698" s="191"/>
      <c r="J698" s="191"/>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7"/>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5"/>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5" t="s">
        <v>210</v>
      </c>
      <c r="N702" s="195" t="s">
        <v>211</v>
      </c>
      <c r="O702" s="195" t="s">
        <v>212</v>
      </c>
      <c r="P702" s="195" t="s">
        <v>213</v>
      </c>
      <c r="Q702" s="195" t="s">
        <v>214</v>
      </c>
      <c r="R702" s="195" t="s">
        <v>215</v>
      </c>
      <c r="S702" s="195" t="s">
        <v>216</v>
      </c>
      <c r="T702" s="195" t="s">
        <v>217</v>
      </c>
      <c r="U702" s="195" t="s">
        <v>218</v>
      </c>
      <c r="V702" s="195" t="s">
        <v>219</v>
      </c>
      <c r="W702" s="113" t="s">
        <v>220</v>
      </c>
      <c r="X702" s="195" t="s">
        <v>221</v>
      </c>
      <c r="Y702" s="25"/>
      <c r="Z702" s="25"/>
      <c r="AA702" s="25"/>
      <c r="AB702" s="25"/>
      <c r="AC702" s="25"/>
      <c r="AD702" s="25"/>
      <c r="BA702" s="225"/>
    </row>
    <row r="703" spans="1:53" ht="16.5" thickTop="1" thickBot="1" x14ac:dyDescent="0.3">
      <c r="A703" s="88"/>
      <c r="B703" s="311" t="s">
        <v>222</v>
      </c>
      <c r="C703" s="312"/>
      <c r="D703" s="313" t="s">
        <v>223</v>
      </c>
      <c r="E703" s="304"/>
      <c r="F703" s="88"/>
      <c r="G703" s="314" t="s">
        <v>224</v>
      </c>
      <c r="H703" s="315"/>
      <c r="I703" s="28">
        <f>SUM(E714:E738)</f>
        <v>0</v>
      </c>
      <c r="J703" s="316" t="s">
        <v>225</v>
      </c>
      <c r="K703" s="317"/>
      <c r="L703" s="304"/>
      <c r="M703" s="195">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5"/>
    </row>
    <row r="704" spans="1:53" ht="16.5" customHeight="1" thickTop="1" thickBot="1" x14ac:dyDescent="0.3">
      <c r="A704" s="88"/>
      <c r="B704" s="29" t="s">
        <v>228</v>
      </c>
      <c r="C704" s="30">
        <v>0</v>
      </c>
      <c r="D704" s="31" t="s">
        <v>229</v>
      </c>
      <c r="E704" s="66" t="str">
        <f>TEXT(IF('Cable Calculator'!CK7="","",'Cable Calculator'!CK7),)</f>
        <v/>
      </c>
      <c r="F704" s="88"/>
      <c r="G704" s="303" t="s">
        <v>230</v>
      </c>
      <c r="H704" s="304"/>
      <c r="I704" s="33">
        <f>E705-I703</f>
        <v>0</v>
      </c>
      <c r="J704" s="288" t="s">
        <v>231</v>
      </c>
      <c r="K704" s="289"/>
      <c r="L704" s="34">
        <f>I708</f>
        <v>0</v>
      </c>
      <c r="M704" s="195">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6"/>
    </row>
    <row r="705" spans="1:53" ht="16.5" thickTop="1" thickBot="1" x14ac:dyDescent="0.3">
      <c r="A705" s="88"/>
      <c r="B705" s="36" t="s">
        <v>235</v>
      </c>
      <c r="C705" s="37">
        <v>0</v>
      </c>
      <c r="D705" s="38" t="s">
        <v>236</v>
      </c>
      <c r="E705" s="32"/>
      <c r="F705" s="88"/>
      <c r="G705" s="290" t="s">
        <v>237</v>
      </c>
      <c r="H705" s="291"/>
      <c r="I705" s="35">
        <f>IF(E705=0,0,12-(MOD(I703,12)))</f>
        <v>0</v>
      </c>
      <c r="J705" s="288" t="s">
        <v>238</v>
      </c>
      <c r="K705" s="289"/>
      <c r="L705" s="39">
        <f>I709-I703</f>
        <v>0</v>
      </c>
      <c r="M705" s="195">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6"/>
    </row>
    <row r="706" spans="1:53" ht="16.5" customHeight="1" thickTop="1" thickBot="1" x14ac:dyDescent="0.3">
      <c r="A706" s="88"/>
      <c r="B706" s="40" t="s">
        <v>240</v>
      </c>
      <c r="C706" s="30">
        <v>0</v>
      </c>
      <c r="D706" s="41" t="s">
        <v>241</v>
      </c>
      <c r="E706" s="42"/>
      <c r="F706" s="88"/>
      <c r="G706" s="320" t="s">
        <v>242</v>
      </c>
      <c r="H706" s="43" t="s">
        <v>243</v>
      </c>
      <c r="I706" s="35">
        <f>IF(E706&lt;&gt;0,1,0)</f>
        <v>0</v>
      </c>
      <c r="J706" s="290" t="s">
        <v>244</v>
      </c>
      <c r="K706" s="291"/>
      <c r="L706" s="44" t="str">
        <f>'Cable Calculator'!CK3</f>
        <v/>
      </c>
      <c r="M706" s="195">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6"/>
    </row>
    <row r="707" spans="1:53" ht="16.5" thickTop="1" thickBot="1" x14ac:dyDescent="0.3">
      <c r="A707" s="88"/>
      <c r="B707" s="29" t="s">
        <v>246</v>
      </c>
      <c r="C707" s="37">
        <v>0</v>
      </c>
      <c r="D707" s="41" t="s">
        <v>247</v>
      </c>
      <c r="E707" s="42"/>
      <c r="F707" s="88"/>
      <c r="G707" s="321"/>
      <c r="H707" s="47" t="s">
        <v>248</v>
      </c>
      <c r="I707" s="35">
        <f>IF(E706&lt;&gt;0,E706,0)</f>
        <v>0</v>
      </c>
      <c r="J707" s="193"/>
      <c r="K707" s="194"/>
      <c r="L707" s="48"/>
      <c r="M707" s="195">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6"/>
    </row>
    <row r="708" spans="1:53" ht="16.5" customHeight="1" thickTop="1" thickBot="1" x14ac:dyDescent="0.3">
      <c r="A708" s="88"/>
      <c r="B708" s="36" t="s">
        <v>249</v>
      </c>
      <c r="C708" s="30">
        <v>0</v>
      </c>
      <c r="D708" s="49" t="s">
        <v>250</v>
      </c>
      <c r="E708" s="50">
        <f>E705/12</f>
        <v>0</v>
      </c>
      <c r="F708" s="88"/>
      <c r="G708" s="320" t="s">
        <v>251</v>
      </c>
      <c r="H708" s="51" t="s">
        <v>252</v>
      </c>
      <c r="I708" s="112">
        <f>E707</f>
        <v>0</v>
      </c>
      <c r="J708" s="322" t="s">
        <v>253</v>
      </c>
      <c r="K708" s="323"/>
      <c r="L708" s="324"/>
      <c r="M708" s="52" t="s">
        <v>254</v>
      </c>
      <c r="N708" s="106"/>
      <c r="O708" s="106"/>
      <c r="P708" s="191"/>
      <c r="Q708" s="191"/>
      <c r="R708" s="191"/>
      <c r="S708" s="191"/>
      <c r="T708" s="191"/>
      <c r="U708" s="191"/>
      <c r="V708" s="191"/>
      <c r="W708" s="53">
        <f>SUM(P708:U708)</f>
        <v>0</v>
      </c>
      <c r="X708" s="54"/>
      <c r="Y708" s="25"/>
      <c r="Z708" s="45">
        <v>3</v>
      </c>
      <c r="AA708" s="46">
        <v>25</v>
      </c>
      <c r="AB708" s="46">
        <v>36</v>
      </c>
      <c r="AC708" s="25"/>
      <c r="AD708" s="25"/>
      <c r="BA708" s="226"/>
    </row>
    <row r="709" spans="1:53" ht="16.5" thickTop="1" thickBot="1" x14ac:dyDescent="0.3">
      <c r="A709" s="88"/>
      <c r="B709" s="36" t="s">
        <v>255</v>
      </c>
      <c r="C709" s="30">
        <v>0</v>
      </c>
      <c r="D709" s="31" t="s">
        <v>256</v>
      </c>
      <c r="E709" s="101" t="str">
        <f>IF('Cable Calculator'!CK5="","",'Cable Calculator'!CK5)</f>
        <v/>
      </c>
      <c r="F709" s="88"/>
      <c r="G709" s="321"/>
      <c r="H709" s="47" t="s">
        <v>257</v>
      </c>
      <c r="I709" s="35" t="str">
        <f>IF(E707="","0",IF(AND(E704="EUC",E705=432), I708+(203-E706),IF(E707=0,0,(E707+(E705-E706)-1))))</f>
        <v>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6"/>
    </row>
    <row r="710" spans="1:53" ht="16.5" thickTop="1" thickBot="1" x14ac:dyDescent="0.3">
      <c r="A710" s="88"/>
      <c r="B710" s="55" t="s">
        <v>258</v>
      </c>
      <c r="C710" s="56">
        <f>SUM(C704:C709)+I703</f>
        <v>0</v>
      </c>
      <c r="D710" s="31" t="s">
        <v>259</v>
      </c>
      <c r="E710" s="101" t="str">
        <f>IF(AS704="Y","DBL",IF(AS705="Y","TRPL",IF(AS706="Y","QUAD","")))</f>
        <v/>
      </c>
      <c r="F710" s="88"/>
      <c r="G710" s="191"/>
      <c r="H710" s="57"/>
      <c r="I710" s="191"/>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6"/>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5"/>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7"/>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7"/>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2"/>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8">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2"/>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8">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2"/>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8">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2"/>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8">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2"/>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8">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2"/>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8">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2"/>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8">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2"/>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8">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2"/>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8">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2"/>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8">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2"/>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8">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2"/>
      <c r="M725" s="277"/>
      <c r="N725" s="277"/>
      <c r="O725" s="277"/>
      <c r="P725" s="277"/>
      <c r="Q725" s="277"/>
      <c r="R725" s="277"/>
      <c r="S725" s="277"/>
      <c r="T725" s="277"/>
      <c r="U725" s="278"/>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8">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2"/>
      <c r="M726" s="277"/>
      <c r="N726" s="277"/>
      <c r="O726" s="277"/>
      <c r="P726" s="277"/>
      <c r="Q726" s="277"/>
      <c r="R726" s="277"/>
      <c r="S726" s="277"/>
      <c r="T726" s="277"/>
      <c r="U726" s="278"/>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8">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2"/>
      <c r="M727" s="277"/>
      <c r="N727" s="277"/>
      <c r="O727" s="277"/>
      <c r="P727" s="277"/>
      <c r="Q727" s="277"/>
      <c r="R727" s="277"/>
      <c r="S727" s="277"/>
      <c r="T727" s="277"/>
      <c r="U727" s="278"/>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8">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2"/>
      <c r="M728" s="277"/>
      <c r="N728" s="277"/>
      <c r="O728" s="277"/>
      <c r="P728" s="277"/>
      <c r="Q728" s="277"/>
      <c r="R728" s="277"/>
      <c r="S728" s="277"/>
      <c r="T728" s="277"/>
      <c r="U728" s="278"/>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8">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2"/>
      <c r="M729" s="277"/>
      <c r="N729" s="277"/>
      <c r="O729" s="277"/>
      <c r="P729" s="277"/>
      <c r="Q729" s="277"/>
      <c r="R729" s="277"/>
      <c r="S729" s="277"/>
      <c r="T729" s="277"/>
      <c r="U729" s="278"/>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8">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2"/>
      <c r="M730" s="277"/>
      <c r="N730" s="277"/>
      <c r="O730" s="277"/>
      <c r="P730" s="277"/>
      <c r="Q730" s="277"/>
      <c r="R730" s="277"/>
      <c r="S730" s="277"/>
      <c r="T730" s="277"/>
      <c r="U730" s="278"/>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8">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2"/>
      <c r="M731" s="277"/>
      <c r="N731" s="277"/>
      <c r="O731" s="277"/>
      <c r="P731" s="277"/>
      <c r="Q731" s="277"/>
      <c r="R731" s="277"/>
      <c r="S731" s="277"/>
      <c r="T731" s="277"/>
      <c r="U731" s="278"/>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8">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2"/>
      <c r="M732" s="277"/>
      <c r="N732" s="277"/>
      <c r="O732" s="277"/>
      <c r="P732" s="277"/>
      <c r="Q732" s="277"/>
      <c r="R732" s="277"/>
      <c r="S732" s="277"/>
      <c r="T732" s="277"/>
      <c r="U732" s="278"/>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8">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2"/>
      <c r="M733" s="277"/>
      <c r="N733" s="277"/>
      <c r="O733" s="277"/>
      <c r="P733" s="277"/>
      <c r="Q733" s="277"/>
      <c r="R733" s="277"/>
      <c r="S733" s="277"/>
      <c r="T733" s="277"/>
      <c r="U733" s="278"/>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8">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2"/>
      <c r="M734" s="277"/>
      <c r="N734" s="277"/>
      <c r="O734" s="277"/>
      <c r="P734" s="277"/>
      <c r="Q734" s="277"/>
      <c r="R734" s="277"/>
      <c r="S734" s="277"/>
      <c r="T734" s="277"/>
      <c r="U734" s="278"/>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8">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2"/>
      <c r="M735" s="277"/>
      <c r="N735" s="277"/>
      <c r="O735" s="277"/>
      <c r="P735" s="277"/>
      <c r="Q735" s="277"/>
      <c r="R735" s="277"/>
      <c r="S735" s="277"/>
      <c r="T735" s="277"/>
      <c r="U735" s="278"/>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8">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2"/>
      <c r="M736" s="277"/>
      <c r="N736" s="277"/>
      <c r="O736" s="277"/>
      <c r="P736" s="277"/>
      <c r="Q736" s="277"/>
      <c r="R736" s="277"/>
      <c r="S736" s="277"/>
      <c r="T736" s="277"/>
      <c r="U736" s="278"/>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8">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2"/>
      <c r="M737" s="277"/>
      <c r="N737" s="277"/>
      <c r="O737" s="277"/>
      <c r="P737" s="277"/>
      <c r="Q737" s="277"/>
      <c r="R737" s="277"/>
      <c r="S737" s="277"/>
      <c r="T737" s="277"/>
      <c r="U737" s="278"/>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8">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3"/>
      <c r="M738" s="277"/>
      <c r="N738" s="277"/>
      <c r="O738" s="277"/>
      <c r="P738" s="277"/>
      <c r="Q738" s="277"/>
      <c r="R738" s="277"/>
      <c r="S738" s="277"/>
      <c r="T738" s="277"/>
      <c r="U738" s="278"/>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7"/>
    </row>
    <row r="739" spans="1:53" ht="16.5" thickBot="1" x14ac:dyDescent="0.3">
      <c r="A739" s="88"/>
      <c r="B739" s="318" t="s">
        <v>339</v>
      </c>
      <c r="C739" s="319"/>
      <c r="D739" s="79"/>
      <c r="E739" s="80"/>
      <c r="F739" s="80"/>
      <c r="G739" s="81"/>
      <c r="H739" s="191"/>
      <c r="I739" s="191"/>
      <c r="J739" s="191"/>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7"/>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5"/>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5" t="s">
        <v>210</v>
      </c>
      <c r="N743" s="195" t="s">
        <v>211</v>
      </c>
      <c r="O743" s="195" t="s">
        <v>212</v>
      </c>
      <c r="P743" s="195" t="s">
        <v>213</v>
      </c>
      <c r="Q743" s="195" t="s">
        <v>214</v>
      </c>
      <c r="R743" s="195" t="s">
        <v>215</v>
      </c>
      <c r="S743" s="195" t="s">
        <v>216</v>
      </c>
      <c r="T743" s="195" t="s">
        <v>217</v>
      </c>
      <c r="U743" s="195" t="s">
        <v>218</v>
      </c>
      <c r="V743" s="195" t="s">
        <v>219</v>
      </c>
      <c r="W743" s="113" t="s">
        <v>220</v>
      </c>
      <c r="X743" s="195" t="s">
        <v>221</v>
      </c>
      <c r="Y743" s="25"/>
      <c r="Z743" s="25"/>
      <c r="AA743" s="25"/>
      <c r="AB743" s="25"/>
      <c r="AC743" s="25"/>
      <c r="AD743" s="25"/>
      <c r="BA743" s="225"/>
    </row>
    <row r="744" spans="1:53" ht="16.5" thickTop="1" thickBot="1" x14ac:dyDescent="0.3">
      <c r="A744" s="88"/>
      <c r="B744" s="311" t="s">
        <v>222</v>
      </c>
      <c r="C744" s="312"/>
      <c r="D744" s="313" t="s">
        <v>223</v>
      </c>
      <c r="E744" s="304"/>
      <c r="F744" s="88"/>
      <c r="G744" s="314" t="s">
        <v>224</v>
      </c>
      <c r="H744" s="315"/>
      <c r="I744" s="28">
        <f>SUM(E755:E779)</f>
        <v>0</v>
      </c>
      <c r="J744" s="316" t="s">
        <v>225</v>
      </c>
      <c r="K744" s="317"/>
      <c r="L744" s="304"/>
      <c r="M744" s="195">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5"/>
    </row>
    <row r="745" spans="1:53" ht="16.5" customHeight="1" thickTop="1" thickBot="1" x14ac:dyDescent="0.3">
      <c r="A745" s="88"/>
      <c r="B745" s="29" t="s">
        <v>228</v>
      </c>
      <c r="C745" s="30">
        <v>0</v>
      </c>
      <c r="D745" s="31" t="s">
        <v>229</v>
      </c>
      <c r="E745" s="66" t="str">
        <f>TEXT(IF('Cable Calculator'!CP7="","",'Cable Calculator'!CP7),)</f>
        <v/>
      </c>
      <c r="F745" s="88"/>
      <c r="G745" s="303" t="s">
        <v>230</v>
      </c>
      <c r="H745" s="304"/>
      <c r="I745" s="33">
        <f>E746-I744</f>
        <v>0</v>
      </c>
      <c r="J745" s="288" t="s">
        <v>231</v>
      </c>
      <c r="K745" s="289"/>
      <c r="L745" s="34">
        <f>I749</f>
        <v>0</v>
      </c>
      <c r="M745" s="195">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6"/>
    </row>
    <row r="746" spans="1:53" ht="16.5" thickTop="1" thickBot="1" x14ac:dyDescent="0.3">
      <c r="A746" s="88"/>
      <c r="B746" s="36" t="s">
        <v>235</v>
      </c>
      <c r="C746" s="37">
        <v>0</v>
      </c>
      <c r="D746" s="38" t="s">
        <v>236</v>
      </c>
      <c r="E746" s="32"/>
      <c r="F746" s="88"/>
      <c r="G746" s="290" t="s">
        <v>237</v>
      </c>
      <c r="H746" s="291"/>
      <c r="I746" s="35">
        <f>IF(E746=0,0,12-(MOD(I744,12)))</f>
        <v>0</v>
      </c>
      <c r="J746" s="288" t="s">
        <v>238</v>
      </c>
      <c r="K746" s="289"/>
      <c r="L746" s="39">
        <f>I750-I744</f>
        <v>0</v>
      </c>
      <c r="M746" s="195">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6"/>
    </row>
    <row r="747" spans="1:53" ht="16.5" customHeight="1" thickTop="1" thickBot="1" x14ac:dyDescent="0.3">
      <c r="A747" s="88"/>
      <c r="B747" s="40" t="s">
        <v>240</v>
      </c>
      <c r="C747" s="30">
        <v>0</v>
      </c>
      <c r="D747" s="41" t="s">
        <v>241</v>
      </c>
      <c r="E747" s="42"/>
      <c r="F747" s="88"/>
      <c r="G747" s="320" t="s">
        <v>242</v>
      </c>
      <c r="H747" s="43" t="s">
        <v>243</v>
      </c>
      <c r="I747" s="35">
        <f>IF(E747&lt;&gt;0,1,0)</f>
        <v>0</v>
      </c>
      <c r="J747" s="290" t="s">
        <v>244</v>
      </c>
      <c r="K747" s="291"/>
      <c r="L747" s="44" t="str">
        <f>'Cable Calculator'!CP3</f>
        <v/>
      </c>
      <c r="M747" s="195">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6"/>
    </row>
    <row r="748" spans="1:53" ht="16.5" thickTop="1" thickBot="1" x14ac:dyDescent="0.3">
      <c r="A748" s="88"/>
      <c r="B748" s="29" t="s">
        <v>246</v>
      </c>
      <c r="C748" s="37">
        <v>0</v>
      </c>
      <c r="D748" s="41" t="s">
        <v>247</v>
      </c>
      <c r="E748" s="42"/>
      <c r="F748" s="88"/>
      <c r="G748" s="321"/>
      <c r="H748" s="47" t="s">
        <v>248</v>
      </c>
      <c r="I748" s="35">
        <f>IF(E747&lt;&gt;0,E747,0)</f>
        <v>0</v>
      </c>
      <c r="J748" s="193"/>
      <c r="K748" s="194"/>
      <c r="L748" s="48"/>
      <c r="M748" s="195">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6"/>
    </row>
    <row r="749" spans="1:53" ht="16.5" customHeight="1" thickTop="1" thickBot="1" x14ac:dyDescent="0.3">
      <c r="A749" s="88"/>
      <c r="B749" s="36" t="s">
        <v>249</v>
      </c>
      <c r="C749" s="30">
        <v>0</v>
      </c>
      <c r="D749" s="49" t="s">
        <v>250</v>
      </c>
      <c r="E749" s="50">
        <f>E746/12</f>
        <v>0</v>
      </c>
      <c r="F749" s="88"/>
      <c r="G749" s="320" t="s">
        <v>251</v>
      </c>
      <c r="H749" s="51" t="s">
        <v>252</v>
      </c>
      <c r="I749" s="112">
        <f>E748</f>
        <v>0</v>
      </c>
      <c r="J749" s="322" t="s">
        <v>253</v>
      </c>
      <c r="K749" s="323"/>
      <c r="L749" s="324"/>
      <c r="M749" s="52" t="s">
        <v>254</v>
      </c>
      <c r="N749" s="106"/>
      <c r="O749" s="106"/>
      <c r="P749" s="191"/>
      <c r="Q749" s="191"/>
      <c r="R749" s="191"/>
      <c r="S749" s="191"/>
      <c r="T749" s="191"/>
      <c r="U749" s="191"/>
      <c r="V749" s="191"/>
      <c r="W749" s="53">
        <f>SUM(P749:U749)</f>
        <v>0</v>
      </c>
      <c r="X749" s="54"/>
      <c r="Y749" s="25"/>
      <c r="Z749" s="45">
        <v>3</v>
      </c>
      <c r="AA749" s="46">
        <v>25</v>
      </c>
      <c r="AB749" s="46">
        <v>36</v>
      </c>
      <c r="AC749" s="25"/>
      <c r="AD749" s="25"/>
      <c r="BA749" s="226"/>
    </row>
    <row r="750" spans="1:53" ht="16.5" thickTop="1" thickBot="1" x14ac:dyDescent="0.3">
      <c r="A750" s="88"/>
      <c r="B750" s="36" t="s">
        <v>255</v>
      </c>
      <c r="C750" s="30">
        <v>0</v>
      </c>
      <c r="D750" s="31" t="s">
        <v>256</v>
      </c>
      <c r="E750" s="101" t="str">
        <f>IF('Cable Calculator'!CP5="","",'Cable Calculator'!CP5)</f>
        <v/>
      </c>
      <c r="F750" s="88"/>
      <c r="G750" s="321"/>
      <c r="H750" s="47" t="s">
        <v>257</v>
      </c>
      <c r="I750" s="35" t="str">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6"/>
    </row>
    <row r="751" spans="1:53" ht="16.5" thickTop="1" thickBot="1" x14ac:dyDescent="0.3">
      <c r="A751" s="88"/>
      <c r="B751" s="55" t="s">
        <v>258</v>
      </c>
      <c r="C751" s="56">
        <f>SUM(C745:C750)+I744</f>
        <v>0</v>
      </c>
      <c r="D751" s="31" t="s">
        <v>259</v>
      </c>
      <c r="E751" s="101" t="str">
        <f>IF(AS745="Y","DBL",IF(AS746="Y","TRPL",IF(AS747="Y","QUAD","")))</f>
        <v/>
      </c>
      <c r="F751" s="88"/>
      <c r="G751" s="191"/>
      <c r="H751" s="57"/>
      <c r="I751" s="191"/>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6"/>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5"/>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7"/>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7"/>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2"/>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8">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2"/>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8">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2"/>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8">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2"/>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8">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2"/>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8">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2"/>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8">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2"/>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8">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2"/>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8">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2"/>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8">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2"/>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8">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2"/>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8">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2"/>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8">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2"/>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8">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2"/>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8">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2"/>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8">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2"/>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8">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2"/>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8">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2"/>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8">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2"/>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8">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2"/>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8">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2"/>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8">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2"/>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8">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2"/>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8">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2"/>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8">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3"/>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7"/>
    </row>
    <row r="780" spans="1:53" ht="16.5" thickBot="1" x14ac:dyDescent="0.3">
      <c r="A780" s="88"/>
      <c r="B780" s="318" t="s">
        <v>341</v>
      </c>
      <c r="C780" s="319"/>
      <c r="D780" s="79"/>
      <c r="E780" s="80"/>
      <c r="F780" s="80"/>
      <c r="G780" s="81"/>
      <c r="H780" s="191"/>
      <c r="I780" s="191"/>
      <c r="J780" s="191"/>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7"/>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5"/>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5" t="s">
        <v>210</v>
      </c>
      <c r="N784" s="195" t="s">
        <v>211</v>
      </c>
      <c r="O784" s="195" t="s">
        <v>212</v>
      </c>
      <c r="P784" s="195" t="s">
        <v>213</v>
      </c>
      <c r="Q784" s="195" t="s">
        <v>214</v>
      </c>
      <c r="R784" s="195" t="s">
        <v>215</v>
      </c>
      <c r="S784" s="195" t="s">
        <v>216</v>
      </c>
      <c r="T784" s="195" t="s">
        <v>217</v>
      </c>
      <c r="U784" s="195" t="s">
        <v>218</v>
      </c>
      <c r="V784" s="195" t="s">
        <v>219</v>
      </c>
      <c r="W784" s="113" t="s">
        <v>220</v>
      </c>
      <c r="X784" s="195" t="s">
        <v>221</v>
      </c>
      <c r="Y784" s="25"/>
      <c r="Z784" s="25"/>
      <c r="AA784" s="25"/>
      <c r="AB784" s="25"/>
      <c r="AC784" s="25"/>
      <c r="AD784" s="25"/>
      <c r="BA784" s="225"/>
    </row>
    <row r="785" spans="1:53" ht="16.5" thickTop="1" thickBot="1" x14ac:dyDescent="0.3">
      <c r="A785" s="88"/>
      <c r="B785" s="311" t="s">
        <v>222</v>
      </c>
      <c r="C785" s="312"/>
      <c r="D785" s="313" t="s">
        <v>223</v>
      </c>
      <c r="E785" s="304"/>
      <c r="F785" s="88"/>
      <c r="G785" s="314" t="s">
        <v>224</v>
      </c>
      <c r="H785" s="315"/>
      <c r="I785" s="28">
        <f>SUM(E796:E820)</f>
        <v>0</v>
      </c>
      <c r="J785" s="316" t="s">
        <v>225</v>
      </c>
      <c r="K785" s="317"/>
      <c r="L785" s="304"/>
      <c r="M785" s="195">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5"/>
    </row>
    <row r="786" spans="1:53" ht="16.5" customHeight="1" thickTop="1" thickBot="1" x14ac:dyDescent="0.3">
      <c r="A786" s="88"/>
      <c r="B786" s="29" t="s">
        <v>228</v>
      </c>
      <c r="C786" s="30">
        <v>0</v>
      </c>
      <c r="D786" s="31" t="s">
        <v>229</v>
      </c>
      <c r="E786" s="66" t="str">
        <f>TEXT(IF('Cable Calculator'!CU7="","",'Cable Calculator'!CU7),)</f>
        <v/>
      </c>
      <c r="F786" s="88"/>
      <c r="G786" s="303" t="s">
        <v>230</v>
      </c>
      <c r="H786" s="304"/>
      <c r="I786" s="33">
        <f>E787-I785</f>
        <v>0</v>
      </c>
      <c r="J786" s="288" t="s">
        <v>231</v>
      </c>
      <c r="K786" s="289"/>
      <c r="L786" s="34">
        <f>I790</f>
        <v>0</v>
      </c>
      <c r="M786" s="195">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6"/>
    </row>
    <row r="787" spans="1:53" ht="16.5" thickTop="1" thickBot="1" x14ac:dyDescent="0.3">
      <c r="A787" s="88"/>
      <c r="B787" s="36" t="s">
        <v>235</v>
      </c>
      <c r="C787" s="37">
        <v>0</v>
      </c>
      <c r="D787" s="38" t="s">
        <v>236</v>
      </c>
      <c r="E787" s="32"/>
      <c r="F787" s="88"/>
      <c r="G787" s="290" t="s">
        <v>237</v>
      </c>
      <c r="H787" s="291"/>
      <c r="I787" s="35">
        <f>IF(E787=0,0,12-(MOD(I785,12)))</f>
        <v>0</v>
      </c>
      <c r="J787" s="288" t="s">
        <v>238</v>
      </c>
      <c r="K787" s="289"/>
      <c r="L787" s="39">
        <f>I791-I785</f>
        <v>0</v>
      </c>
      <c r="M787" s="195">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6"/>
    </row>
    <row r="788" spans="1:53" ht="16.5" customHeight="1" thickTop="1" thickBot="1" x14ac:dyDescent="0.3">
      <c r="A788" s="88"/>
      <c r="B788" s="40" t="s">
        <v>240</v>
      </c>
      <c r="C788" s="30">
        <v>0</v>
      </c>
      <c r="D788" s="41" t="s">
        <v>241</v>
      </c>
      <c r="E788" s="42"/>
      <c r="F788" s="88"/>
      <c r="G788" s="320" t="s">
        <v>242</v>
      </c>
      <c r="H788" s="43" t="s">
        <v>243</v>
      </c>
      <c r="I788" s="35">
        <f>IF(E788&lt;&gt;0,1,0)</f>
        <v>0</v>
      </c>
      <c r="J788" s="290" t="s">
        <v>244</v>
      </c>
      <c r="K788" s="291"/>
      <c r="L788" s="44" t="str">
        <f>'Cable Calculator'!CU3</f>
        <v/>
      </c>
      <c r="M788" s="195">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6"/>
    </row>
    <row r="789" spans="1:53" ht="16.5" thickTop="1" thickBot="1" x14ac:dyDescent="0.3">
      <c r="A789" s="88"/>
      <c r="B789" s="29" t="s">
        <v>246</v>
      </c>
      <c r="C789" s="37">
        <v>0</v>
      </c>
      <c r="D789" s="41" t="s">
        <v>247</v>
      </c>
      <c r="E789" s="42"/>
      <c r="F789" s="88"/>
      <c r="G789" s="321"/>
      <c r="H789" s="47" t="s">
        <v>248</v>
      </c>
      <c r="I789" s="35">
        <f>IF(E788&lt;&gt;0,E788,0)</f>
        <v>0</v>
      </c>
      <c r="J789" s="193"/>
      <c r="K789" s="194"/>
      <c r="L789" s="48"/>
      <c r="M789" s="195">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6"/>
    </row>
    <row r="790" spans="1:53" ht="16.5" customHeight="1" thickTop="1" thickBot="1" x14ac:dyDescent="0.3">
      <c r="A790" s="88"/>
      <c r="B790" s="36" t="s">
        <v>249</v>
      </c>
      <c r="C790" s="30">
        <v>0</v>
      </c>
      <c r="D790" s="49" t="s">
        <v>250</v>
      </c>
      <c r="E790" s="50">
        <f>E787/12</f>
        <v>0</v>
      </c>
      <c r="F790" s="88"/>
      <c r="G790" s="320" t="s">
        <v>251</v>
      </c>
      <c r="H790" s="51" t="s">
        <v>252</v>
      </c>
      <c r="I790" s="112">
        <f>E789</f>
        <v>0</v>
      </c>
      <c r="J790" s="322" t="s">
        <v>253</v>
      </c>
      <c r="K790" s="323"/>
      <c r="L790" s="324"/>
      <c r="M790" s="52" t="s">
        <v>254</v>
      </c>
      <c r="N790" s="106"/>
      <c r="O790" s="106"/>
      <c r="P790" s="191"/>
      <c r="Q790" s="191"/>
      <c r="R790" s="191"/>
      <c r="S790" s="191"/>
      <c r="T790" s="191"/>
      <c r="U790" s="191"/>
      <c r="V790" s="191"/>
      <c r="W790" s="53">
        <f>SUM(P790:U790)</f>
        <v>0</v>
      </c>
      <c r="X790" s="54"/>
      <c r="Y790" s="25"/>
      <c r="Z790" s="45">
        <v>3</v>
      </c>
      <c r="AA790" s="46">
        <v>25</v>
      </c>
      <c r="AB790" s="46">
        <v>36</v>
      </c>
      <c r="AC790" s="25"/>
      <c r="AD790" s="25"/>
      <c r="BA790" s="226"/>
    </row>
    <row r="791" spans="1:53" ht="16.5" thickTop="1" thickBot="1" x14ac:dyDescent="0.3">
      <c r="A791" s="88"/>
      <c r="B791" s="36" t="s">
        <v>255</v>
      </c>
      <c r="C791" s="30">
        <v>0</v>
      </c>
      <c r="D791" s="31" t="s">
        <v>256</v>
      </c>
      <c r="E791" s="101" t="str">
        <f>IF('Cable Calculator'!CU5="","",'Cable Calculator'!CU5)</f>
        <v/>
      </c>
      <c r="F791" s="88"/>
      <c r="G791" s="321"/>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6"/>
    </row>
    <row r="792" spans="1:53" ht="16.5" thickTop="1" thickBot="1" x14ac:dyDescent="0.3">
      <c r="A792" s="88"/>
      <c r="B792" s="55" t="s">
        <v>258</v>
      </c>
      <c r="C792" s="56">
        <f>SUM(C786:C791)+I785</f>
        <v>0</v>
      </c>
      <c r="D792" s="31" t="s">
        <v>259</v>
      </c>
      <c r="E792" s="101" t="str">
        <f>IF(AS786="Y","DBL",IF(AS787="Y","TRPL",IF(AS788="Y","QUAD","")))</f>
        <v/>
      </c>
      <c r="F792" s="88"/>
      <c r="G792" s="191"/>
      <c r="H792" s="57"/>
      <c r="I792" s="191"/>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6"/>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5"/>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7"/>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7"/>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2"/>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8">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2"/>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8">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2"/>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8">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2"/>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8">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2"/>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8">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2"/>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8">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2"/>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8">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2"/>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8">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2"/>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8">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2"/>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8">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2"/>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8">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2"/>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8">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2"/>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8">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2"/>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8">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2"/>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8">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2"/>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8">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2"/>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8">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2"/>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8">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2"/>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8">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2"/>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8">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2"/>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8">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2"/>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8">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2"/>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8">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2"/>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8">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3"/>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7"/>
    </row>
    <row r="821" spans="1:53" ht="16.5" thickBot="1" x14ac:dyDescent="0.3">
      <c r="A821" s="88"/>
      <c r="B821" s="318" t="s">
        <v>343</v>
      </c>
      <c r="C821" s="319"/>
      <c r="D821" s="79"/>
      <c r="E821" s="80"/>
      <c r="F821" s="80"/>
      <c r="G821" s="81"/>
      <c r="H821" s="191"/>
      <c r="I821" s="191"/>
      <c r="J821" s="191"/>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7"/>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5"/>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5" t="s">
        <v>210</v>
      </c>
      <c r="N825" s="195" t="s">
        <v>211</v>
      </c>
      <c r="O825" s="195" t="s">
        <v>212</v>
      </c>
      <c r="P825" s="195" t="s">
        <v>213</v>
      </c>
      <c r="Q825" s="195" t="s">
        <v>214</v>
      </c>
      <c r="R825" s="195" t="s">
        <v>215</v>
      </c>
      <c r="S825" s="195" t="s">
        <v>216</v>
      </c>
      <c r="T825" s="195" t="s">
        <v>217</v>
      </c>
      <c r="U825" s="195" t="s">
        <v>218</v>
      </c>
      <c r="V825" s="195" t="s">
        <v>219</v>
      </c>
      <c r="W825" s="113" t="s">
        <v>220</v>
      </c>
      <c r="X825" s="195" t="s">
        <v>221</v>
      </c>
      <c r="Y825" s="25"/>
      <c r="Z825" s="25"/>
      <c r="AA825" s="25"/>
      <c r="AB825" s="25"/>
      <c r="AC825" s="25"/>
      <c r="AD825" s="25"/>
      <c r="BA825" s="225"/>
    </row>
    <row r="826" spans="1:53" ht="16.5" thickTop="1" thickBot="1" x14ac:dyDescent="0.3">
      <c r="A826" s="88"/>
      <c r="B826" s="311" t="s">
        <v>222</v>
      </c>
      <c r="C826" s="312"/>
      <c r="D826" s="313" t="s">
        <v>223</v>
      </c>
      <c r="E826" s="304"/>
      <c r="F826" s="88"/>
      <c r="G826" s="314" t="s">
        <v>224</v>
      </c>
      <c r="H826" s="315"/>
      <c r="I826" s="28">
        <f>SUM(E837:E861)</f>
        <v>0</v>
      </c>
      <c r="J826" s="316" t="s">
        <v>225</v>
      </c>
      <c r="K826" s="317"/>
      <c r="L826" s="304"/>
      <c r="M826" s="195">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5"/>
    </row>
    <row r="827" spans="1:53" ht="16.5" customHeight="1" thickTop="1" thickBot="1" x14ac:dyDescent="0.3">
      <c r="A827" s="88"/>
      <c r="B827" s="29" t="s">
        <v>228</v>
      </c>
      <c r="C827" s="30">
        <v>0</v>
      </c>
      <c r="D827" s="31" t="s">
        <v>229</v>
      </c>
      <c r="E827" s="66" t="str">
        <f>TEXT(IF('Cable Calculator'!CZ7="","",'Cable Calculator'!CZ7),)</f>
        <v/>
      </c>
      <c r="F827" s="88"/>
      <c r="G827" s="303" t="s">
        <v>230</v>
      </c>
      <c r="H827" s="304"/>
      <c r="I827" s="33">
        <f>E828-I826</f>
        <v>0</v>
      </c>
      <c r="J827" s="288" t="s">
        <v>231</v>
      </c>
      <c r="K827" s="289"/>
      <c r="L827" s="34">
        <f>I831</f>
        <v>0</v>
      </c>
      <c r="M827" s="195">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6"/>
    </row>
    <row r="828" spans="1:53" ht="16.5" thickTop="1" thickBot="1" x14ac:dyDescent="0.3">
      <c r="A828" s="88"/>
      <c r="B828" s="36" t="s">
        <v>235</v>
      </c>
      <c r="C828" s="37">
        <v>0</v>
      </c>
      <c r="D828" s="38" t="s">
        <v>236</v>
      </c>
      <c r="E828" s="32"/>
      <c r="F828" s="88"/>
      <c r="G828" s="290" t="s">
        <v>237</v>
      </c>
      <c r="H828" s="291"/>
      <c r="I828" s="35">
        <f>IF(E828=0,0,12-(MOD(I826,12)))</f>
        <v>0</v>
      </c>
      <c r="J828" s="288" t="s">
        <v>238</v>
      </c>
      <c r="K828" s="289"/>
      <c r="L828" s="39">
        <f>I832-I826</f>
        <v>0</v>
      </c>
      <c r="M828" s="195">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6"/>
    </row>
    <row r="829" spans="1:53" ht="16.5" customHeight="1" thickTop="1" thickBot="1" x14ac:dyDescent="0.3">
      <c r="A829" s="88"/>
      <c r="B829" s="40" t="s">
        <v>240</v>
      </c>
      <c r="C829" s="30">
        <v>0</v>
      </c>
      <c r="D829" s="41" t="s">
        <v>241</v>
      </c>
      <c r="E829" s="42"/>
      <c r="F829" s="88"/>
      <c r="G829" s="320" t="s">
        <v>242</v>
      </c>
      <c r="H829" s="43" t="s">
        <v>243</v>
      </c>
      <c r="I829" s="35">
        <f>IF(E829&lt;&gt;0,1,0)</f>
        <v>0</v>
      </c>
      <c r="J829" s="290" t="s">
        <v>244</v>
      </c>
      <c r="K829" s="291"/>
      <c r="L829" s="44" t="str">
        <f>'Cable Calculator'!CZ3</f>
        <v/>
      </c>
      <c r="M829" s="195">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6"/>
    </row>
    <row r="830" spans="1:53" ht="16.5" thickTop="1" thickBot="1" x14ac:dyDescent="0.3">
      <c r="A830" s="88"/>
      <c r="B830" s="29" t="s">
        <v>246</v>
      </c>
      <c r="C830" s="37">
        <v>0</v>
      </c>
      <c r="D830" s="41" t="s">
        <v>247</v>
      </c>
      <c r="E830" s="42"/>
      <c r="F830" s="88"/>
      <c r="G830" s="321"/>
      <c r="H830" s="47" t="s">
        <v>248</v>
      </c>
      <c r="I830" s="35">
        <f>IF(E829&lt;&gt;0,E829,0)</f>
        <v>0</v>
      </c>
      <c r="J830" s="193"/>
      <c r="K830" s="194"/>
      <c r="L830" s="48"/>
      <c r="M830" s="195">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6"/>
    </row>
    <row r="831" spans="1:53" ht="16.5" customHeight="1" thickTop="1" thickBot="1" x14ac:dyDescent="0.3">
      <c r="A831" s="88"/>
      <c r="B831" s="36" t="s">
        <v>249</v>
      </c>
      <c r="C831" s="30">
        <v>0</v>
      </c>
      <c r="D831" s="49" t="s">
        <v>250</v>
      </c>
      <c r="E831" s="50">
        <f>E828/12</f>
        <v>0</v>
      </c>
      <c r="F831" s="88"/>
      <c r="G831" s="320" t="s">
        <v>251</v>
      </c>
      <c r="H831" s="51" t="s">
        <v>252</v>
      </c>
      <c r="I831" s="112">
        <f>E830</f>
        <v>0</v>
      </c>
      <c r="J831" s="322" t="s">
        <v>253</v>
      </c>
      <c r="K831" s="323"/>
      <c r="L831" s="324"/>
      <c r="M831" s="52" t="s">
        <v>254</v>
      </c>
      <c r="N831" s="106"/>
      <c r="O831" s="106"/>
      <c r="P831" s="191"/>
      <c r="Q831" s="191"/>
      <c r="R831" s="191"/>
      <c r="S831" s="191"/>
      <c r="T831" s="191"/>
      <c r="U831" s="191"/>
      <c r="V831" s="191"/>
      <c r="W831" s="53">
        <f>SUM(P831:U831)</f>
        <v>0</v>
      </c>
      <c r="X831" s="54"/>
      <c r="Y831" s="25"/>
      <c r="Z831" s="45">
        <v>3</v>
      </c>
      <c r="AA831" s="46">
        <v>25</v>
      </c>
      <c r="AB831" s="46">
        <v>36</v>
      </c>
      <c r="AC831" s="25"/>
      <c r="AD831" s="25"/>
      <c r="BA831" s="226"/>
    </row>
    <row r="832" spans="1:53" ht="16.5" thickTop="1" thickBot="1" x14ac:dyDescent="0.3">
      <c r="A832" s="88"/>
      <c r="B832" s="36" t="s">
        <v>255</v>
      </c>
      <c r="C832" s="30">
        <v>0</v>
      </c>
      <c r="D832" s="31" t="s">
        <v>256</v>
      </c>
      <c r="E832" s="101" t="str">
        <f>IF('Cable Calculator'!CZ5="","",'Cable Calculator'!CZ5)</f>
        <v/>
      </c>
      <c r="F832" s="88"/>
      <c r="G832" s="321"/>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6"/>
    </row>
    <row r="833" spans="1:53" ht="16.5" thickTop="1" thickBot="1" x14ac:dyDescent="0.3">
      <c r="A833" s="88"/>
      <c r="B833" s="55" t="s">
        <v>258</v>
      </c>
      <c r="C833" s="56">
        <f>SUM(C827:C832)+I826</f>
        <v>0</v>
      </c>
      <c r="D833" s="31" t="s">
        <v>259</v>
      </c>
      <c r="E833" s="101" t="str">
        <f>IF(AS827="Y","DBL",IF(AS828="Y","TRPL",IF(AS829="Y","QUAD","")))</f>
        <v/>
      </c>
      <c r="F833" s="88"/>
      <c r="G833" s="191"/>
      <c r="H833" s="57"/>
      <c r="I833" s="191"/>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6"/>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5"/>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7"/>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7"/>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2"/>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8">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2"/>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8">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2"/>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8">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2"/>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8">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2"/>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8">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2"/>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8">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2"/>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8">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2"/>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8">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2"/>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8">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2"/>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8">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2"/>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8">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2"/>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8">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2"/>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8">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2"/>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8">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2"/>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8">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2"/>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8">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2"/>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8">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2"/>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8">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2"/>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8">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2"/>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8">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2"/>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8">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2"/>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8">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2"/>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8">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2"/>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8">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3"/>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7"/>
    </row>
    <row r="862" spans="1:53" ht="16.5" thickBot="1" x14ac:dyDescent="0.3">
      <c r="A862" s="88"/>
      <c r="B862" s="318" t="s">
        <v>345</v>
      </c>
      <c r="C862" s="319"/>
      <c r="D862" s="79"/>
      <c r="E862" s="80"/>
      <c r="F862" s="80"/>
      <c r="G862" s="81"/>
      <c r="H862" s="191"/>
      <c r="I862" s="191"/>
      <c r="J862" s="191"/>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7"/>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5"/>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5" t="s">
        <v>210</v>
      </c>
      <c r="N866" s="195" t="s">
        <v>211</v>
      </c>
      <c r="O866" s="195" t="s">
        <v>212</v>
      </c>
      <c r="P866" s="195" t="s">
        <v>213</v>
      </c>
      <c r="Q866" s="195" t="s">
        <v>214</v>
      </c>
      <c r="R866" s="195" t="s">
        <v>215</v>
      </c>
      <c r="S866" s="195" t="s">
        <v>216</v>
      </c>
      <c r="T866" s="195" t="s">
        <v>217</v>
      </c>
      <c r="U866" s="195" t="s">
        <v>218</v>
      </c>
      <c r="V866" s="195" t="s">
        <v>219</v>
      </c>
      <c r="W866" s="113" t="s">
        <v>220</v>
      </c>
      <c r="X866" s="195" t="s">
        <v>221</v>
      </c>
      <c r="Y866" s="25"/>
      <c r="Z866" s="25"/>
      <c r="AA866" s="25"/>
      <c r="AB866" s="25"/>
      <c r="AC866" s="25"/>
      <c r="AD866" s="25"/>
      <c r="BA866" s="225"/>
    </row>
    <row r="867" spans="1:53" ht="16.5" thickTop="1" thickBot="1" x14ac:dyDescent="0.3">
      <c r="A867" s="88"/>
      <c r="B867" s="311" t="s">
        <v>222</v>
      </c>
      <c r="C867" s="312"/>
      <c r="D867" s="313" t="s">
        <v>223</v>
      </c>
      <c r="E867" s="304"/>
      <c r="F867" s="88"/>
      <c r="G867" s="314" t="s">
        <v>224</v>
      </c>
      <c r="H867" s="315"/>
      <c r="I867" s="28">
        <f>SUM(E878:E902)</f>
        <v>0</v>
      </c>
      <c r="J867" s="316" t="s">
        <v>225</v>
      </c>
      <c r="K867" s="317"/>
      <c r="L867" s="304"/>
      <c r="M867" s="195">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5"/>
    </row>
    <row r="868" spans="1:53" ht="16.5" customHeight="1" thickTop="1" thickBot="1" x14ac:dyDescent="0.3">
      <c r="A868" s="88"/>
      <c r="B868" s="29" t="s">
        <v>228</v>
      </c>
      <c r="C868" s="30">
        <v>0</v>
      </c>
      <c r="D868" s="31" t="s">
        <v>229</v>
      </c>
      <c r="E868" s="66" t="str">
        <f>TEXT(IF('Cable Calculator'!DE7="","",'Cable Calculator'!DE7),)</f>
        <v/>
      </c>
      <c r="F868" s="88"/>
      <c r="G868" s="303" t="s">
        <v>230</v>
      </c>
      <c r="H868" s="304"/>
      <c r="I868" s="33">
        <f>E869-I867</f>
        <v>0</v>
      </c>
      <c r="J868" s="288" t="s">
        <v>231</v>
      </c>
      <c r="K868" s="289"/>
      <c r="L868" s="34">
        <f>I872</f>
        <v>0</v>
      </c>
      <c r="M868" s="195">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6"/>
    </row>
    <row r="869" spans="1:53" ht="16.5" thickTop="1" thickBot="1" x14ac:dyDescent="0.3">
      <c r="A869" s="88"/>
      <c r="B869" s="36" t="s">
        <v>235</v>
      </c>
      <c r="C869" s="37">
        <v>0</v>
      </c>
      <c r="D869" s="38" t="s">
        <v>236</v>
      </c>
      <c r="E869" s="32"/>
      <c r="F869" s="88"/>
      <c r="G869" s="290" t="s">
        <v>237</v>
      </c>
      <c r="H869" s="291"/>
      <c r="I869" s="35">
        <f>IF(E869=0,0,12-(MOD(I867,12)))</f>
        <v>0</v>
      </c>
      <c r="J869" s="288" t="s">
        <v>238</v>
      </c>
      <c r="K869" s="289"/>
      <c r="L869" s="39">
        <f>I873-I867</f>
        <v>0</v>
      </c>
      <c r="M869" s="195">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6"/>
    </row>
    <row r="870" spans="1:53" ht="16.5" customHeight="1" thickTop="1" thickBot="1" x14ac:dyDescent="0.3">
      <c r="A870" s="88"/>
      <c r="B870" s="40" t="s">
        <v>240</v>
      </c>
      <c r="C870" s="30">
        <v>0</v>
      </c>
      <c r="D870" s="41" t="s">
        <v>241</v>
      </c>
      <c r="E870" s="42"/>
      <c r="F870" s="88"/>
      <c r="G870" s="320" t="s">
        <v>242</v>
      </c>
      <c r="H870" s="43" t="s">
        <v>243</v>
      </c>
      <c r="I870" s="35">
        <f>IF(E870&lt;&gt;0,1,0)</f>
        <v>0</v>
      </c>
      <c r="J870" s="290" t="s">
        <v>244</v>
      </c>
      <c r="K870" s="291"/>
      <c r="L870" s="44" t="str">
        <f>'Cable Calculator'!DE3</f>
        <v/>
      </c>
      <c r="M870" s="195">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6"/>
    </row>
    <row r="871" spans="1:53" ht="16.5" thickTop="1" thickBot="1" x14ac:dyDescent="0.3">
      <c r="A871" s="88"/>
      <c r="B871" s="29" t="s">
        <v>246</v>
      </c>
      <c r="C871" s="37">
        <v>0</v>
      </c>
      <c r="D871" s="41" t="s">
        <v>247</v>
      </c>
      <c r="E871" s="42"/>
      <c r="F871" s="88"/>
      <c r="G871" s="321"/>
      <c r="H871" s="47" t="s">
        <v>248</v>
      </c>
      <c r="I871" s="35">
        <f>IF(E870&lt;&gt;0,E870,0)</f>
        <v>0</v>
      </c>
      <c r="J871" s="193"/>
      <c r="K871" s="194"/>
      <c r="L871" s="48"/>
      <c r="M871" s="195">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6"/>
    </row>
    <row r="872" spans="1:53" ht="16.5" customHeight="1" thickTop="1" thickBot="1" x14ac:dyDescent="0.3">
      <c r="A872" s="88"/>
      <c r="B872" s="36" t="s">
        <v>249</v>
      </c>
      <c r="C872" s="30">
        <v>0</v>
      </c>
      <c r="D872" s="49" t="s">
        <v>250</v>
      </c>
      <c r="E872" s="50">
        <f>E869/12</f>
        <v>0</v>
      </c>
      <c r="F872" s="88"/>
      <c r="G872" s="320" t="s">
        <v>251</v>
      </c>
      <c r="H872" s="51" t="s">
        <v>252</v>
      </c>
      <c r="I872" s="112">
        <f>E871</f>
        <v>0</v>
      </c>
      <c r="J872" s="322" t="s">
        <v>253</v>
      </c>
      <c r="K872" s="323"/>
      <c r="L872" s="324"/>
      <c r="M872" s="52" t="s">
        <v>254</v>
      </c>
      <c r="N872" s="106"/>
      <c r="O872" s="106"/>
      <c r="P872" s="191"/>
      <c r="Q872" s="191"/>
      <c r="R872" s="191"/>
      <c r="S872" s="191"/>
      <c r="T872" s="191"/>
      <c r="U872" s="191"/>
      <c r="V872" s="191"/>
      <c r="W872" s="53">
        <f>SUM(P872:U872)</f>
        <v>0</v>
      </c>
      <c r="X872" s="54"/>
      <c r="Y872" s="25"/>
      <c r="Z872" s="45">
        <v>3</v>
      </c>
      <c r="AA872" s="46">
        <v>25</v>
      </c>
      <c r="AB872" s="46">
        <v>36</v>
      </c>
      <c r="AC872" s="25"/>
      <c r="AD872" s="25"/>
      <c r="BA872" s="226"/>
    </row>
    <row r="873" spans="1:53" ht="16.5" thickTop="1" thickBot="1" x14ac:dyDescent="0.3">
      <c r="A873" s="88"/>
      <c r="B873" s="36" t="s">
        <v>255</v>
      </c>
      <c r="C873" s="30">
        <v>0</v>
      </c>
      <c r="D873" s="31" t="s">
        <v>256</v>
      </c>
      <c r="E873" s="101" t="str">
        <f>IF('Cable Calculator'!DE5="","",'Cable Calculator'!DE5)</f>
        <v/>
      </c>
      <c r="F873" s="88"/>
      <c r="G873" s="321"/>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6"/>
    </row>
    <row r="874" spans="1:53" ht="16.5" thickTop="1" thickBot="1" x14ac:dyDescent="0.3">
      <c r="A874" s="88"/>
      <c r="B874" s="55" t="s">
        <v>258</v>
      </c>
      <c r="C874" s="56">
        <f>SUM(C868:C873)+I867</f>
        <v>0</v>
      </c>
      <c r="D874" s="31" t="s">
        <v>259</v>
      </c>
      <c r="E874" s="101" t="str">
        <f>IF(AS868="Y","DBL",IF(AS869="Y","TRPL",IF(AS870="Y","QUAD","")))</f>
        <v/>
      </c>
      <c r="F874" s="88"/>
      <c r="G874" s="191"/>
      <c r="H874" s="57"/>
      <c r="I874" s="191"/>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6"/>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5"/>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7"/>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7"/>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2"/>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8">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2"/>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8">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2"/>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8">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2"/>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8">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2"/>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8">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2"/>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8">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2"/>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8">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2"/>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8">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2"/>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8">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2"/>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8">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2"/>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8">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2"/>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8">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2"/>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8">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2"/>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8">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2"/>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8">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2"/>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8">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2"/>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8">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2"/>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8">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2"/>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8">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2"/>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8">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2"/>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8">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2"/>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8">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2"/>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8">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2"/>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8">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3"/>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7"/>
    </row>
    <row r="903" spans="1:53" ht="16.5" thickBot="1" x14ac:dyDescent="0.3">
      <c r="A903" s="88"/>
      <c r="B903" s="318" t="s">
        <v>347</v>
      </c>
      <c r="C903" s="319"/>
      <c r="D903" s="79"/>
      <c r="E903" s="80"/>
      <c r="F903" s="80"/>
      <c r="G903" s="81"/>
      <c r="H903" s="191"/>
      <c r="I903" s="191"/>
      <c r="J903" s="191"/>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7"/>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5"/>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5" t="s">
        <v>210</v>
      </c>
      <c r="N907" s="195" t="s">
        <v>211</v>
      </c>
      <c r="O907" s="195" t="s">
        <v>212</v>
      </c>
      <c r="P907" s="195" t="s">
        <v>213</v>
      </c>
      <c r="Q907" s="195" t="s">
        <v>214</v>
      </c>
      <c r="R907" s="195" t="s">
        <v>215</v>
      </c>
      <c r="S907" s="195" t="s">
        <v>216</v>
      </c>
      <c r="T907" s="195" t="s">
        <v>217</v>
      </c>
      <c r="U907" s="195" t="s">
        <v>218</v>
      </c>
      <c r="V907" s="195" t="s">
        <v>219</v>
      </c>
      <c r="W907" s="113" t="s">
        <v>220</v>
      </c>
      <c r="X907" s="195" t="s">
        <v>221</v>
      </c>
      <c r="Y907" s="25"/>
      <c r="Z907" s="25"/>
      <c r="AA907" s="25"/>
      <c r="AB907" s="25"/>
      <c r="AC907" s="25"/>
      <c r="AD907" s="25"/>
      <c r="BA907" s="225"/>
    </row>
    <row r="908" spans="1:53" ht="16.5" thickTop="1" thickBot="1" x14ac:dyDescent="0.3">
      <c r="A908" s="88"/>
      <c r="B908" s="311" t="s">
        <v>222</v>
      </c>
      <c r="C908" s="312"/>
      <c r="D908" s="313" t="s">
        <v>223</v>
      </c>
      <c r="E908" s="304"/>
      <c r="F908" s="88"/>
      <c r="G908" s="314" t="s">
        <v>224</v>
      </c>
      <c r="H908" s="315"/>
      <c r="I908" s="28">
        <f>SUM(E919:E943)</f>
        <v>0</v>
      </c>
      <c r="J908" s="316" t="s">
        <v>225</v>
      </c>
      <c r="K908" s="317"/>
      <c r="L908" s="304"/>
      <c r="M908" s="195">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5"/>
    </row>
    <row r="909" spans="1:53" ht="16.5" customHeight="1" thickTop="1" thickBot="1" x14ac:dyDescent="0.3">
      <c r="A909" s="88"/>
      <c r="B909" s="29" t="s">
        <v>228</v>
      </c>
      <c r="C909" s="30">
        <v>0</v>
      </c>
      <c r="D909" s="31" t="s">
        <v>229</v>
      </c>
      <c r="E909" s="66" t="str">
        <f>TEXT(IF('Cable Calculator'!DJ7="","",'Cable Calculator'!DJ7),)</f>
        <v/>
      </c>
      <c r="F909" s="88"/>
      <c r="G909" s="303" t="s">
        <v>230</v>
      </c>
      <c r="H909" s="304"/>
      <c r="I909" s="33">
        <f>E910-I908</f>
        <v>0</v>
      </c>
      <c r="J909" s="288" t="s">
        <v>231</v>
      </c>
      <c r="K909" s="289"/>
      <c r="L909" s="34">
        <f>I913</f>
        <v>0</v>
      </c>
      <c r="M909" s="195">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6"/>
    </row>
    <row r="910" spans="1:53" ht="16.5" thickTop="1" thickBot="1" x14ac:dyDescent="0.3">
      <c r="A910" s="88"/>
      <c r="B910" s="36" t="s">
        <v>235</v>
      </c>
      <c r="C910" s="37">
        <v>0</v>
      </c>
      <c r="D910" s="38" t="s">
        <v>236</v>
      </c>
      <c r="E910" s="32"/>
      <c r="F910" s="88"/>
      <c r="G910" s="290" t="s">
        <v>237</v>
      </c>
      <c r="H910" s="291"/>
      <c r="I910" s="35">
        <f>IF(E910=0,0,12-(MOD(I908,12)))</f>
        <v>0</v>
      </c>
      <c r="J910" s="288" t="s">
        <v>238</v>
      </c>
      <c r="K910" s="289"/>
      <c r="L910" s="39">
        <f>I914-I908</f>
        <v>0</v>
      </c>
      <c r="M910" s="195">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6"/>
    </row>
    <row r="911" spans="1:53" ht="16.5" customHeight="1" thickTop="1" thickBot="1" x14ac:dyDescent="0.3">
      <c r="A911" s="88"/>
      <c r="B911" s="40" t="s">
        <v>240</v>
      </c>
      <c r="C911" s="30">
        <v>0</v>
      </c>
      <c r="D911" s="41" t="s">
        <v>241</v>
      </c>
      <c r="E911" s="42"/>
      <c r="F911" s="88"/>
      <c r="G911" s="320" t="s">
        <v>242</v>
      </c>
      <c r="H911" s="43" t="s">
        <v>243</v>
      </c>
      <c r="I911" s="35">
        <f>IF(E911&lt;&gt;0,1,0)</f>
        <v>0</v>
      </c>
      <c r="J911" s="290" t="s">
        <v>244</v>
      </c>
      <c r="K911" s="291"/>
      <c r="L911" s="44" t="str">
        <f>'Cable Calculator'!DJ3</f>
        <v/>
      </c>
      <c r="M911" s="195">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6"/>
    </row>
    <row r="912" spans="1:53" ht="16.5" thickTop="1" thickBot="1" x14ac:dyDescent="0.3">
      <c r="A912" s="88"/>
      <c r="B912" s="29" t="s">
        <v>246</v>
      </c>
      <c r="C912" s="37">
        <v>0</v>
      </c>
      <c r="D912" s="41" t="s">
        <v>247</v>
      </c>
      <c r="E912" s="42"/>
      <c r="F912" s="88"/>
      <c r="G912" s="321"/>
      <c r="H912" s="47" t="s">
        <v>248</v>
      </c>
      <c r="I912" s="35">
        <f>IF(E911&lt;&gt;0,E911,0)</f>
        <v>0</v>
      </c>
      <c r="J912" s="193"/>
      <c r="K912" s="194"/>
      <c r="L912" s="48"/>
      <c r="M912" s="195">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6"/>
    </row>
    <row r="913" spans="1:53" ht="16.5" customHeight="1" thickTop="1" thickBot="1" x14ac:dyDescent="0.3">
      <c r="A913" s="88"/>
      <c r="B913" s="36" t="s">
        <v>249</v>
      </c>
      <c r="C913" s="30">
        <v>0</v>
      </c>
      <c r="D913" s="49" t="s">
        <v>250</v>
      </c>
      <c r="E913" s="50">
        <f>E910/12</f>
        <v>0</v>
      </c>
      <c r="F913" s="88"/>
      <c r="G913" s="320" t="s">
        <v>251</v>
      </c>
      <c r="H913" s="51" t="s">
        <v>252</v>
      </c>
      <c r="I913" s="112">
        <f>E912</f>
        <v>0</v>
      </c>
      <c r="J913" s="322" t="s">
        <v>253</v>
      </c>
      <c r="K913" s="323"/>
      <c r="L913" s="324"/>
      <c r="M913" s="52" t="s">
        <v>254</v>
      </c>
      <c r="N913" s="106"/>
      <c r="O913" s="106"/>
      <c r="P913" s="191"/>
      <c r="Q913" s="191"/>
      <c r="R913" s="191"/>
      <c r="S913" s="191"/>
      <c r="T913" s="191"/>
      <c r="U913" s="191"/>
      <c r="V913" s="191"/>
      <c r="W913" s="53">
        <f>SUM(P913:U913)</f>
        <v>0</v>
      </c>
      <c r="X913" s="54"/>
      <c r="Y913" s="25"/>
      <c r="Z913" s="45">
        <v>3</v>
      </c>
      <c r="AA913" s="46">
        <v>25</v>
      </c>
      <c r="AB913" s="46">
        <v>36</v>
      </c>
      <c r="AC913" s="25"/>
      <c r="AD913" s="25"/>
      <c r="BA913" s="226"/>
    </row>
    <row r="914" spans="1:53" ht="16.5" thickTop="1" thickBot="1" x14ac:dyDescent="0.3">
      <c r="A914" s="88"/>
      <c r="B914" s="36" t="s">
        <v>255</v>
      </c>
      <c r="C914" s="30">
        <v>0</v>
      </c>
      <c r="D914" s="31" t="s">
        <v>256</v>
      </c>
      <c r="E914" s="101" t="str">
        <f>IF('Cable Calculator'!DJ5="","",'Cable Calculator'!DJ5)</f>
        <v/>
      </c>
      <c r="F914" s="88"/>
      <c r="G914" s="321"/>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6"/>
    </row>
    <row r="915" spans="1:53" ht="16.5" thickTop="1" thickBot="1" x14ac:dyDescent="0.3">
      <c r="A915" s="88"/>
      <c r="B915" s="55" t="s">
        <v>258</v>
      </c>
      <c r="C915" s="56">
        <f>SUM(C909:C914)+I908</f>
        <v>0</v>
      </c>
      <c r="D915" s="31" t="s">
        <v>259</v>
      </c>
      <c r="E915" s="101" t="str">
        <f>IF(AS909="Y","DBL",IF(AS910="Y","TRPL",IF(AS911="Y","QUAD","")))</f>
        <v/>
      </c>
      <c r="F915" s="88"/>
      <c r="G915" s="191"/>
      <c r="H915" s="57"/>
      <c r="I915" s="191"/>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6"/>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5"/>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7"/>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7"/>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2"/>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8">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2"/>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8">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2"/>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8">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2"/>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8">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2"/>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8">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2"/>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8">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2"/>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8">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2"/>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8">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2"/>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8">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2"/>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8">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2"/>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8">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2"/>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8">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2"/>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8">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2"/>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8">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2"/>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8">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2"/>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8">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2"/>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8">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2"/>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8">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2"/>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8">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2"/>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8">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2"/>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8">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2"/>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8">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2"/>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8">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2"/>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8">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3"/>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7"/>
    </row>
    <row r="944" spans="1:53" ht="16.5" thickBot="1" x14ac:dyDescent="0.3">
      <c r="A944" s="88"/>
      <c r="B944" s="189" t="s">
        <v>349</v>
      </c>
      <c r="C944" s="190"/>
      <c r="D944" s="79"/>
      <c r="E944" s="80"/>
      <c r="F944" s="80"/>
      <c r="G944" s="81"/>
      <c r="H944" s="191"/>
      <c r="I944" s="191"/>
      <c r="J944" s="191"/>
      <c r="K944" s="82"/>
      <c r="L944" s="189" t="s">
        <v>306</v>
      </c>
      <c r="M944" s="192"/>
      <c r="N944" s="192"/>
      <c r="O944" s="192"/>
      <c r="P944" s="192"/>
      <c r="Q944" s="192"/>
      <c r="R944" s="192"/>
      <c r="S944" s="192"/>
      <c r="T944" s="192"/>
      <c r="U944" s="190"/>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7"/>
    </row>
    <row r="945" spans="1:53" ht="16.5" thickBot="1" x14ac:dyDescent="0.3">
      <c r="A945" s="88"/>
      <c r="B945" s="189" t="s">
        <v>307</v>
      </c>
      <c r="C945" s="190"/>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5"/>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5" t="s">
        <v>210</v>
      </c>
      <c r="N948" s="195" t="s">
        <v>211</v>
      </c>
      <c r="O948" s="195" t="s">
        <v>212</v>
      </c>
      <c r="P948" s="195" t="s">
        <v>213</v>
      </c>
      <c r="Q948" s="195" t="s">
        <v>214</v>
      </c>
      <c r="R948" s="195" t="s">
        <v>215</v>
      </c>
      <c r="S948" s="195" t="s">
        <v>216</v>
      </c>
      <c r="T948" s="195" t="s">
        <v>217</v>
      </c>
      <c r="U948" s="195" t="s">
        <v>218</v>
      </c>
      <c r="V948" s="195" t="s">
        <v>219</v>
      </c>
      <c r="W948" s="113" t="s">
        <v>220</v>
      </c>
      <c r="X948" s="195" t="s">
        <v>221</v>
      </c>
      <c r="Y948" s="25"/>
      <c r="Z948" s="25"/>
      <c r="AA948" s="25"/>
      <c r="AB948" s="25"/>
      <c r="AC948" s="25"/>
      <c r="AD948" s="25"/>
      <c r="BA948" s="225"/>
    </row>
    <row r="949" spans="1:53" ht="16.5" thickTop="1" thickBot="1" x14ac:dyDescent="0.3">
      <c r="A949" s="88"/>
      <c r="B949" s="311" t="s">
        <v>222</v>
      </c>
      <c r="C949" s="312"/>
      <c r="D949" s="313" t="s">
        <v>223</v>
      </c>
      <c r="E949" s="304"/>
      <c r="F949" s="88"/>
      <c r="G949" s="314" t="s">
        <v>224</v>
      </c>
      <c r="H949" s="315"/>
      <c r="I949" s="28">
        <f>SUM(E960:E984)</f>
        <v>0</v>
      </c>
      <c r="J949" s="316" t="s">
        <v>225</v>
      </c>
      <c r="K949" s="317"/>
      <c r="L949" s="304"/>
      <c r="M949" s="195">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5"/>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0</v>
      </c>
      <c r="M950" s="195">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6"/>
    </row>
    <row r="951" spans="1:53" ht="16.5" thickTop="1" thickBot="1" x14ac:dyDescent="0.3">
      <c r="A951" s="88"/>
      <c r="B951" s="36" t="s">
        <v>235</v>
      </c>
      <c r="C951" s="37">
        <v>0</v>
      </c>
      <c r="D951" s="38" t="s">
        <v>236</v>
      </c>
      <c r="E951" s="32"/>
      <c r="F951" s="88"/>
      <c r="G951" s="290" t="s">
        <v>237</v>
      </c>
      <c r="H951" s="291"/>
      <c r="I951" s="35">
        <f>IF(E951=0,0,12-(MOD(I949,12)))</f>
        <v>0</v>
      </c>
      <c r="J951" s="288" t="s">
        <v>238</v>
      </c>
      <c r="K951" s="289"/>
      <c r="L951" s="39">
        <f>I955-I949</f>
        <v>0</v>
      </c>
      <c r="M951" s="195">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6"/>
    </row>
    <row r="952" spans="1:53" ht="16.5" customHeight="1" thickTop="1" thickBot="1" x14ac:dyDescent="0.3">
      <c r="A952" s="88"/>
      <c r="B952" s="40" t="s">
        <v>240</v>
      </c>
      <c r="C952" s="30">
        <v>0</v>
      </c>
      <c r="D952" s="41" t="s">
        <v>241</v>
      </c>
      <c r="E952" s="42"/>
      <c r="F952" s="88"/>
      <c r="G952" s="320" t="s">
        <v>242</v>
      </c>
      <c r="H952" s="43" t="s">
        <v>243</v>
      </c>
      <c r="I952" s="35">
        <f>IF(E952&lt;&gt;0,1,0)</f>
        <v>0</v>
      </c>
      <c r="J952" s="290" t="s">
        <v>244</v>
      </c>
      <c r="K952" s="291"/>
      <c r="L952" s="44" t="str">
        <f>'Cable Calculator'!DO3</f>
        <v/>
      </c>
      <c r="M952" s="195">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6"/>
    </row>
    <row r="953" spans="1:53" ht="16.5" thickTop="1" thickBot="1" x14ac:dyDescent="0.3">
      <c r="A953" s="88"/>
      <c r="B953" s="29" t="s">
        <v>246</v>
      </c>
      <c r="C953" s="37">
        <v>0</v>
      </c>
      <c r="D953" s="41" t="s">
        <v>247</v>
      </c>
      <c r="E953" s="42"/>
      <c r="F953" s="88"/>
      <c r="G953" s="321"/>
      <c r="H953" s="47" t="s">
        <v>248</v>
      </c>
      <c r="I953" s="35">
        <f>IF(E952&lt;&gt;0,E952,0)</f>
        <v>0</v>
      </c>
      <c r="J953" s="193"/>
      <c r="K953" s="194"/>
      <c r="L953" s="48"/>
      <c r="M953" s="195">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6"/>
    </row>
    <row r="954" spans="1:53" ht="16.5" customHeight="1" thickTop="1" thickBot="1" x14ac:dyDescent="0.3">
      <c r="A954" s="88"/>
      <c r="B954" s="36" t="s">
        <v>249</v>
      </c>
      <c r="C954" s="30">
        <v>0</v>
      </c>
      <c r="D954" s="49" t="s">
        <v>250</v>
      </c>
      <c r="E954" s="50">
        <f>E951/12</f>
        <v>0</v>
      </c>
      <c r="F954" s="88"/>
      <c r="G954" s="320" t="s">
        <v>251</v>
      </c>
      <c r="H954" s="51" t="s">
        <v>252</v>
      </c>
      <c r="I954" s="112">
        <f>E953</f>
        <v>0</v>
      </c>
      <c r="J954" s="322" t="s">
        <v>253</v>
      </c>
      <c r="K954" s="323"/>
      <c r="L954" s="324"/>
      <c r="M954" s="52" t="s">
        <v>254</v>
      </c>
      <c r="N954" s="106"/>
      <c r="O954" s="106"/>
      <c r="P954" s="191"/>
      <c r="Q954" s="191"/>
      <c r="R954" s="191"/>
      <c r="S954" s="191"/>
      <c r="T954" s="191"/>
      <c r="U954" s="191"/>
      <c r="V954" s="191"/>
      <c r="W954" s="53">
        <f>SUM(P954:U954)</f>
        <v>0</v>
      </c>
      <c r="X954" s="54"/>
      <c r="Y954" s="25"/>
      <c r="Z954" s="45">
        <v>3</v>
      </c>
      <c r="AA954" s="46">
        <v>25</v>
      </c>
      <c r="AB954" s="46">
        <v>36</v>
      </c>
      <c r="AC954" s="25"/>
      <c r="AD954" s="25"/>
      <c r="BA954" s="226"/>
    </row>
    <row r="955" spans="1:53" ht="16.5" thickTop="1" thickBot="1" x14ac:dyDescent="0.3">
      <c r="A955" s="88"/>
      <c r="B955" s="36" t="s">
        <v>255</v>
      </c>
      <c r="C955" s="30">
        <v>0</v>
      </c>
      <c r="D955" s="31" t="s">
        <v>256</v>
      </c>
      <c r="E955" s="101" t="str">
        <f>IF('Cable Calculator'!DO5="","",'Cable Calculator'!DO5)</f>
        <v/>
      </c>
      <c r="F955" s="88"/>
      <c r="G955" s="321"/>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6"/>
    </row>
    <row r="956" spans="1:53" ht="16.5" thickTop="1" thickBot="1" x14ac:dyDescent="0.3">
      <c r="A956" s="88"/>
      <c r="B956" s="55" t="s">
        <v>258</v>
      </c>
      <c r="C956" s="56">
        <f>SUM(C950:C955)+I949</f>
        <v>0</v>
      </c>
      <c r="D956" s="31" t="s">
        <v>259</v>
      </c>
      <c r="E956" s="101" t="str">
        <f>IF(AS950="Y","DBL",IF(AS951="Y","TRPL",IF(AS952="Y","QUAD","")))</f>
        <v/>
      </c>
      <c r="F956" s="88"/>
      <c r="G956" s="191"/>
      <c r="H956" s="57"/>
      <c r="I956" s="191"/>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6"/>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5"/>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7"/>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7"/>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2"/>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8">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2"/>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8">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2"/>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8">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2"/>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8">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2"/>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8">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2"/>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8">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2"/>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8">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2"/>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8">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2"/>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8">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2"/>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8">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2"/>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8">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2"/>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8">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2"/>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8">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2"/>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8">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2"/>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8">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2"/>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8">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2"/>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8">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2"/>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8">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2"/>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8">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2"/>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8">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2"/>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8">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2"/>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8">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2"/>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8">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2"/>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8">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3"/>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7"/>
    </row>
    <row r="985" spans="1:53" ht="16.5" thickBot="1" x14ac:dyDescent="0.3">
      <c r="A985" s="88"/>
      <c r="B985" s="318" t="s">
        <v>351</v>
      </c>
      <c r="C985" s="319"/>
      <c r="D985" s="79"/>
      <c r="E985" s="80"/>
      <c r="F985" s="80"/>
      <c r="G985" s="81"/>
      <c r="H985" s="191"/>
      <c r="I985" s="191"/>
      <c r="J985" s="191"/>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7"/>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5"/>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5" t="s">
        <v>210</v>
      </c>
      <c r="N989" s="195" t="s">
        <v>211</v>
      </c>
      <c r="O989" s="195" t="s">
        <v>212</v>
      </c>
      <c r="P989" s="195" t="s">
        <v>213</v>
      </c>
      <c r="Q989" s="195" t="s">
        <v>214</v>
      </c>
      <c r="R989" s="195" t="s">
        <v>215</v>
      </c>
      <c r="S989" s="195" t="s">
        <v>216</v>
      </c>
      <c r="T989" s="195" t="s">
        <v>217</v>
      </c>
      <c r="U989" s="195" t="s">
        <v>218</v>
      </c>
      <c r="V989" s="195" t="s">
        <v>219</v>
      </c>
      <c r="W989" s="113" t="s">
        <v>220</v>
      </c>
      <c r="X989" s="195" t="s">
        <v>221</v>
      </c>
      <c r="Y989" s="25"/>
      <c r="Z989" s="25"/>
      <c r="AA989" s="25"/>
      <c r="AB989" s="25"/>
      <c r="AC989" s="25"/>
      <c r="AD989" s="25"/>
      <c r="BA989" s="225"/>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5">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5"/>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5">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6"/>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5">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6"/>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t="str">
        <f>'Cable Calculator'!DT3</f>
        <v/>
      </c>
      <c r="M993" s="195">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6"/>
    </row>
    <row r="994" spans="1:53" ht="16.5" thickTop="1" thickBot="1" x14ac:dyDescent="0.3">
      <c r="A994" s="88"/>
      <c r="B994" s="29" t="s">
        <v>246</v>
      </c>
      <c r="C994" s="37">
        <v>0</v>
      </c>
      <c r="D994" s="41" t="s">
        <v>247</v>
      </c>
      <c r="E994" s="42"/>
      <c r="F994" s="88"/>
      <c r="G994" s="321"/>
      <c r="H994" s="47" t="s">
        <v>248</v>
      </c>
      <c r="I994" s="35">
        <f>IF(E993&lt;&gt;0,E993,0)</f>
        <v>0</v>
      </c>
      <c r="J994" s="193"/>
      <c r="K994" s="194"/>
      <c r="L994" s="48"/>
      <c r="M994" s="195">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6"/>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1"/>
      <c r="Q995" s="191"/>
      <c r="R995" s="191"/>
      <c r="S995" s="191"/>
      <c r="T995" s="191"/>
      <c r="U995" s="191"/>
      <c r="V995" s="191"/>
      <c r="W995" s="53">
        <f>SUM(P995:U995)</f>
        <v>0</v>
      </c>
      <c r="X995" s="54"/>
      <c r="Y995" s="25"/>
      <c r="Z995" s="45">
        <v>3</v>
      </c>
      <c r="AA995" s="46">
        <v>25</v>
      </c>
      <c r="AB995" s="46">
        <v>36</v>
      </c>
      <c r="AC995" s="25"/>
      <c r="AD995" s="25"/>
      <c r="BA995" s="226"/>
    </row>
    <row r="996" spans="1:53" ht="16.5" thickTop="1" thickBot="1" x14ac:dyDescent="0.3">
      <c r="A996" s="88"/>
      <c r="B996" s="36" t="s">
        <v>255</v>
      </c>
      <c r="C996" s="30">
        <v>0</v>
      </c>
      <c r="D996" s="31" t="s">
        <v>256</v>
      </c>
      <c r="E996" s="101" t="str">
        <f>IF('Cable Calculator'!DT5="","",'Cable Calculator'!DT5)</f>
        <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6"/>
    </row>
    <row r="997" spans="1:53" ht="16.5" thickTop="1" thickBot="1" x14ac:dyDescent="0.3">
      <c r="A997" s="88"/>
      <c r="B997" s="55" t="s">
        <v>258</v>
      </c>
      <c r="C997" s="56">
        <f>SUM(C991:C996)+I990</f>
        <v>0</v>
      </c>
      <c r="D997" s="31" t="s">
        <v>259</v>
      </c>
      <c r="E997" s="101" t="str">
        <f>IF(AS991="Y","DBL",IF(AS992="Y","TRPL",IF(AS993="Y","QUAD","")))</f>
        <v/>
      </c>
      <c r="F997" s="88"/>
      <c r="G997" s="191"/>
      <c r="H997" s="57"/>
      <c r="I997" s="191"/>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6"/>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5"/>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7"/>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7"/>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2"/>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8">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2"/>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8">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2"/>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8">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2"/>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8">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2"/>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8">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2"/>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8">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2"/>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8">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2"/>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8">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2"/>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8">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2"/>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8">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2"/>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8">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2"/>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8">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2"/>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8">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2"/>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8">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2"/>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8">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2"/>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8">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2"/>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8">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2"/>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8">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2"/>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8">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2"/>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8">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2"/>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8">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2"/>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8">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2"/>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8">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2"/>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8">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3"/>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7"/>
    </row>
    <row r="1026" spans="1:53" ht="16.5" thickBot="1" x14ac:dyDescent="0.3">
      <c r="A1026" s="88"/>
      <c r="B1026" s="318" t="s">
        <v>353</v>
      </c>
      <c r="C1026" s="319"/>
      <c r="D1026" s="79"/>
      <c r="E1026" s="80"/>
      <c r="F1026" s="80"/>
      <c r="G1026" s="81"/>
      <c r="H1026" s="191"/>
      <c r="I1026" s="191"/>
      <c r="J1026" s="191"/>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7"/>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5"/>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5" t="s">
        <v>210</v>
      </c>
      <c r="N1030" s="195" t="s">
        <v>211</v>
      </c>
      <c r="O1030" s="195" t="s">
        <v>212</v>
      </c>
      <c r="P1030" s="195" t="s">
        <v>213</v>
      </c>
      <c r="Q1030" s="195" t="s">
        <v>214</v>
      </c>
      <c r="R1030" s="195" t="s">
        <v>215</v>
      </c>
      <c r="S1030" s="195" t="s">
        <v>216</v>
      </c>
      <c r="T1030" s="195" t="s">
        <v>217</v>
      </c>
      <c r="U1030" s="195" t="s">
        <v>218</v>
      </c>
      <c r="V1030" s="195" t="s">
        <v>219</v>
      </c>
      <c r="W1030" s="113" t="s">
        <v>220</v>
      </c>
      <c r="X1030" s="195" t="s">
        <v>221</v>
      </c>
      <c r="Y1030" s="25"/>
      <c r="Z1030" s="25"/>
      <c r="AA1030" s="25"/>
      <c r="AB1030" s="25"/>
      <c r="AC1030" s="25"/>
      <c r="AD1030" s="25"/>
      <c r="BA1030" s="225"/>
    </row>
    <row r="1031" spans="1:53" ht="16.5" thickTop="1" thickBot="1" x14ac:dyDescent="0.3">
      <c r="A1031" s="88"/>
      <c r="B1031" s="311" t="s">
        <v>222</v>
      </c>
      <c r="C1031" s="312"/>
      <c r="D1031" s="313" t="s">
        <v>223</v>
      </c>
      <c r="E1031" s="304"/>
      <c r="F1031" s="88"/>
      <c r="G1031" s="314" t="s">
        <v>224</v>
      </c>
      <c r="H1031" s="315"/>
      <c r="I1031" s="28">
        <f>SUM(E1042:E1066)</f>
        <v>0</v>
      </c>
      <c r="J1031" s="316" t="s">
        <v>225</v>
      </c>
      <c r="K1031" s="317"/>
      <c r="L1031" s="304"/>
      <c r="M1031" s="195">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5"/>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0</v>
      </c>
      <c r="J1032" s="288" t="s">
        <v>231</v>
      </c>
      <c r="K1032" s="289"/>
      <c r="L1032" s="34">
        <f>I1036</f>
        <v>0</v>
      </c>
      <c r="M1032" s="195">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6"/>
    </row>
    <row r="1033" spans="1:53" ht="16.5" thickTop="1" thickBot="1" x14ac:dyDescent="0.3">
      <c r="A1033" s="88"/>
      <c r="B1033" s="36" t="s">
        <v>235</v>
      </c>
      <c r="C1033" s="37">
        <v>0</v>
      </c>
      <c r="D1033" s="38" t="s">
        <v>236</v>
      </c>
      <c r="E1033" s="32"/>
      <c r="F1033" s="88"/>
      <c r="G1033" s="290" t="s">
        <v>237</v>
      </c>
      <c r="H1033" s="291"/>
      <c r="I1033" s="35">
        <f>IF(E1033=0,0,12-(MOD(I1031,12)))</f>
        <v>0</v>
      </c>
      <c r="J1033" s="288" t="s">
        <v>238</v>
      </c>
      <c r="K1033" s="289"/>
      <c r="L1033" s="39">
        <f>I1037-I1031</f>
        <v>0</v>
      </c>
      <c r="M1033" s="195">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6"/>
    </row>
    <row r="1034" spans="1:53" ht="16.5" customHeight="1" thickTop="1" thickBot="1" x14ac:dyDescent="0.3">
      <c r="A1034" s="88"/>
      <c r="B1034" s="40" t="s">
        <v>240</v>
      </c>
      <c r="C1034" s="30">
        <v>0</v>
      </c>
      <c r="D1034" s="41" t="s">
        <v>241</v>
      </c>
      <c r="E1034" s="42"/>
      <c r="F1034" s="88"/>
      <c r="G1034" s="320" t="s">
        <v>242</v>
      </c>
      <c r="H1034" s="43" t="s">
        <v>243</v>
      </c>
      <c r="I1034" s="35">
        <f>IF(E1034&lt;&gt;0,1,0)</f>
        <v>0</v>
      </c>
      <c r="J1034" s="290" t="s">
        <v>244</v>
      </c>
      <c r="K1034" s="291"/>
      <c r="L1034" s="44" t="str">
        <f>'Cable Calculator'!DY3</f>
        <v/>
      </c>
      <c r="M1034" s="195">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6"/>
    </row>
    <row r="1035" spans="1:53" ht="16.5" thickTop="1" thickBot="1" x14ac:dyDescent="0.3">
      <c r="A1035" s="88"/>
      <c r="B1035" s="29" t="s">
        <v>246</v>
      </c>
      <c r="C1035" s="37">
        <v>0</v>
      </c>
      <c r="D1035" s="41" t="s">
        <v>247</v>
      </c>
      <c r="E1035" s="42"/>
      <c r="F1035" s="88"/>
      <c r="G1035" s="321"/>
      <c r="H1035" s="47" t="s">
        <v>248</v>
      </c>
      <c r="I1035" s="35">
        <f>IF(E1034&lt;&gt;0,E1034,0)</f>
        <v>0</v>
      </c>
      <c r="J1035" s="193"/>
      <c r="K1035" s="194"/>
      <c r="L1035" s="48"/>
      <c r="M1035" s="195">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6"/>
    </row>
    <row r="1036" spans="1:53" ht="16.5" customHeight="1" thickTop="1" thickBot="1" x14ac:dyDescent="0.3">
      <c r="A1036" s="88"/>
      <c r="B1036" s="36" t="s">
        <v>249</v>
      </c>
      <c r="C1036" s="30">
        <v>0</v>
      </c>
      <c r="D1036" s="49" t="s">
        <v>250</v>
      </c>
      <c r="E1036" s="50">
        <f>E1033/12</f>
        <v>0</v>
      </c>
      <c r="F1036" s="88"/>
      <c r="G1036" s="320" t="s">
        <v>251</v>
      </c>
      <c r="H1036" s="51" t="s">
        <v>252</v>
      </c>
      <c r="I1036" s="112">
        <f>E1035</f>
        <v>0</v>
      </c>
      <c r="J1036" s="322" t="s">
        <v>253</v>
      </c>
      <c r="K1036" s="323"/>
      <c r="L1036" s="324"/>
      <c r="M1036" s="52" t="s">
        <v>254</v>
      </c>
      <c r="N1036" s="106"/>
      <c r="O1036" s="106"/>
      <c r="P1036" s="191"/>
      <c r="Q1036" s="191"/>
      <c r="R1036" s="191"/>
      <c r="S1036" s="191"/>
      <c r="T1036" s="191"/>
      <c r="U1036" s="191"/>
      <c r="V1036" s="191"/>
      <c r="W1036" s="53">
        <f>SUM(P1036:U1036)</f>
        <v>0</v>
      </c>
      <c r="X1036" s="54"/>
      <c r="Y1036" s="25"/>
      <c r="Z1036" s="45">
        <v>3</v>
      </c>
      <c r="AA1036" s="46">
        <v>25</v>
      </c>
      <c r="AB1036" s="46">
        <v>36</v>
      </c>
      <c r="AC1036" s="25"/>
      <c r="AD1036" s="25"/>
      <c r="BA1036" s="226"/>
    </row>
    <row r="1037" spans="1:53" ht="16.5" thickTop="1" thickBot="1" x14ac:dyDescent="0.3">
      <c r="A1037" s="88"/>
      <c r="B1037" s="36" t="s">
        <v>255</v>
      </c>
      <c r="C1037" s="30">
        <v>0</v>
      </c>
      <c r="D1037" s="31" t="s">
        <v>256</v>
      </c>
      <c r="E1037" s="101" t="str">
        <f>IF('Cable Calculator'!DY5="","",'Cable Calculator'!DY5)</f>
        <v/>
      </c>
      <c r="F1037" s="88"/>
      <c r="G1037" s="321"/>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6"/>
    </row>
    <row r="1038" spans="1:53" ht="16.5" thickTop="1" thickBot="1" x14ac:dyDescent="0.3">
      <c r="A1038" s="88"/>
      <c r="B1038" s="55" t="s">
        <v>258</v>
      </c>
      <c r="C1038" s="56">
        <f>SUM(C1032:C1037)+I1031</f>
        <v>0</v>
      </c>
      <c r="D1038" s="31" t="s">
        <v>259</v>
      </c>
      <c r="E1038" s="101" t="str">
        <f>IF(AS1032="Y","DBL",IF(AS1033="Y","TRPL",IF(AS1034="Y","QUAD","")))</f>
        <v/>
      </c>
      <c r="F1038" s="88"/>
      <c r="G1038" s="191"/>
      <c r="H1038" s="57"/>
      <c r="I1038" s="191"/>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6"/>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5"/>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7"/>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7"/>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2"/>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8">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2"/>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8">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2"/>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8">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2"/>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8">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2"/>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8">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2"/>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8">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2"/>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8">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2"/>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8">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2"/>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8">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2"/>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8">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2"/>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8">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2"/>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8">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2"/>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8">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2"/>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8">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2"/>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8">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2"/>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8">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2"/>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8">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2"/>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8">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2"/>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8">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2"/>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8">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2"/>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8">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2"/>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8">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2"/>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8">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2"/>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8">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3"/>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7"/>
    </row>
    <row r="1067" spans="1:53" ht="16.5" thickBot="1" x14ac:dyDescent="0.3">
      <c r="A1067" s="88"/>
      <c r="B1067" s="318" t="s">
        <v>355</v>
      </c>
      <c r="C1067" s="319"/>
      <c r="D1067" s="79"/>
      <c r="E1067" s="80"/>
      <c r="F1067" s="80"/>
      <c r="G1067" s="81"/>
      <c r="H1067" s="191"/>
      <c r="I1067" s="191"/>
      <c r="J1067" s="191"/>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7"/>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5"/>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5" t="s">
        <v>210</v>
      </c>
      <c r="N1071" s="195" t="s">
        <v>211</v>
      </c>
      <c r="O1071" s="195" t="s">
        <v>212</v>
      </c>
      <c r="P1071" s="195" t="s">
        <v>213</v>
      </c>
      <c r="Q1071" s="195" t="s">
        <v>214</v>
      </c>
      <c r="R1071" s="195" t="s">
        <v>215</v>
      </c>
      <c r="S1071" s="195" t="s">
        <v>216</v>
      </c>
      <c r="T1071" s="195" t="s">
        <v>217</v>
      </c>
      <c r="U1071" s="195" t="s">
        <v>218</v>
      </c>
      <c r="V1071" s="195" t="s">
        <v>219</v>
      </c>
      <c r="W1071" s="113" t="s">
        <v>220</v>
      </c>
      <c r="X1071" s="195" t="s">
        <v>221</v>
      </c>
      <c r="Y1071" s="25"/>
      <c r="Z1071" s="25"/>
      <c r="AA1071" s="25"/>
      <c r="AB1071" s="25"/>
      <c r="AC1071" s="25"/>
      <c r="AD1071" s="25"/>
      <c r="BA1071" s="225"/>
    </row>
    <row r="1072" spans="1:53" ht="16.5" thickTop="1" thickBot="1" x14ac:dyDescent="0.3">
      <c r="A1072" s="88"/>
      <c r="B1072" s="311" t="s">
        <v>222</v>
      </c>
      <c r="C1072" s="312"/>
      <c r="D1072" s="313" t="s">
        <v>223</v>
      </c>
      <c r="E1072" s="304"/>
      <c r="F1072" s="88"/>
      <c r="G1072" s="314" t="s">
        <v>224</v>
      </c>
      <c r="H1072" s="315"/>
      <c r="I1072" s="28">
        <f>SUM(E1083:E1107)</f>
        <v>0</v>
      </c>
      <c r="J1072" s="316" t="s">
        <v>225</v>
      </c>
      <c r="K1072" s="317"/>
      <c r="L1072" s="304"/>
      <c r="M1072" s="195">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5"/>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0</v>
      </c>
      <c r="J1073" s="288" t="s">
        <v>231</v>
      </c>
      <c r="K1073" s="289"/>
      <c r="L1073" s="34">
        <f>I1077</f>
        <v>0</v>
      </c>
      <c r="M1073" s="195">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6"/>
    </row>
    <row r="1074" spans="1:53" ht="16.5" thickTop="1" thickBot="1" x14ac:dyDescent="0.3">
      <c r="A1074" s="88"/>
      <c r="B1074" s="36" t="s">
        <v>235</v>
      </c>
      <c r="C1074" s="37">
        <v>0</v>
      </c>
      <c r="D1074" s="38" t="s">
        <v>236</v>
      </c>
      <c r="E1074" s="32"/>
      <c r="F1074" s="88"/>
      <c r="G1074" s="290" t="s">
        <v>237</v>
      </c>
      <c r="H1074" s="291"/>
      <c r="I1074" s="35">
        <f>IF(E1074=0,0,12-(MOD(I1072,12)))</f>
        <v>0</v>
      </c>
      <c r="J1074" s="288" t="s">
        <v>238</v>
      </c>
      <c r="K1074" s="289"/>
      <c r="L1074" s="39">
        <f>I1078-I1072</f>
        <v>0</v>
      </c>
      <c r="M1074" s="195">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6"/>
    </row>
    <row r="1075" spans="1:53" ht="16.5" customHeight="1" thickTop="1" thickBot="1" x14ac:dyDescent="0.3">
      <c r="A1075" s="88"/>
      <c r="B1075" s="40" t="s">
        <v>240</v>
      </c>
      <c r="C1075" s="30">
        <v>0</v>
      </c>
      <c r="D1075" s="41" t="s">
        <v>241</v>
      </c>
      <c r="E1075" s="42"/>
      <c r="F1075" s="88"/>
      <c r="G1075" s="320" t="s">
        <v>242</v>
      </c>
      <c r="H1075" s="43" t="s">
        <v>243</v>
      </c>
      <c r="I1075" s="35">
        <f>IF(E1075&lt;&gt;0,1,0)</f>
        <v>0</v>
      </c>
      <c r="J1075" s="290" t="s">
        <v>244</v>
      </c>
      <c r="K1075" s="291"/>
      <c r="L1075" s="44" t="str">
        <f>'Cable Calculator'!ED3</f>
        <v/>
      </c>
      <c r="M1075" s="195">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6"/>
    </row>
    <row r="1076" spans="1:53" ht="16.5" thickTop="1" thickBot="1" x14ac:dyDescent="0.3">
      <c r="A1076" s="88"/>
      <c r="B1076" s="29" t="s">
        <v>246</v>
      </c>
      <c r="C1076" s="37">
        <v>0</v>
      </c>
      <c r="D1076" s="41" t="s">
        <v>247</v>
      </c>
      <c r="E1076" s="42"/>
      <c r="F1076" s="88"/>
      <c r="G1076" s="321"/>
      <c r="H1076" s="47" t="s">
        <v>248</v>
      </c>
      <c r="I1076" s="35">
        <f>IF(E1075&lt;&gt;0,E1075,0)</f>
        <v>0</v>
      </c>
      <c r="J1076" s="193"/>
      <c r="K1076" s="194"/>
      <c r="L1076" s="48"/>
      <c r="M1076" s="195">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6"/>
    </row>
    <row r="1077" spans="1:53" ht="16.5" customHeight="1" thickTop="1" thickBot="1" x14ac:dyDescent="0.3">
      <c r="A1077" s="88"/>
      <c r="B1077" s="36" t="s">
        <v>249</v>
      </c>
      <c r="C1077" s="30">
        <v>0</v>
      </c>
      <c r="D1077" s="49" t="s">
        <v>250</v>
      </c>
      <c r="E1077" s="50">
        <f>E1074/12</f>
        <v>0</v>
      </c>
      <c r="F1077" s="88"/>
      <c r="G1077" s="320" t="s">
        <v>251</v>
      </c>
      <c r="H1077" s="51" t="s">
        <v>252</v>
      </c>
      <c r="I1077" s="112">
        <f>E1076</f>
        <v>0</v>
      </c>
      <c r="J1077" s="322" t="s">
        <v>253</v>
      </c>
      <c r="K1077" s="323"/>
      <c r="L1077" s="324"/>
      <c r="M1077" s="52" t="s">
        <v>254</v>
      </c>
      <c r="N1077" s="106"/>
      <c r="O1077" s="106"/>
      <c r="P1077" s="191"/>
      <c r="Q1077" s="191"/>
      <c r="R1077" s="191"/>
      <c r="S1077" s="191"/>
      <c r="T1077" s="191"/>
      <c r="U1077" s="191"/>
      <c r="V1077" s="191"/>
      <c r="W1077" s="53">
        <f>SUM(P1077:U1077)</f>
        <v>0</v>
      </c>
      <c r="X1077" s="54"/>
      <c r="Y1077" s="25"/>
      <c r="Z1077" s="45">
        <v>3</v>
      </c>
      <c r="AA1077" s="46">
        <v>25</v>
      </c>
      <c r="AB1077" s="46">
        <v>36</v>
      </c>
      <c r="AC1077" s="25"/>
      <c r="AD1077" s="25"/>
      <c r="BA1077" s="226"/>
    </row>
    <row r="1078" spans="1:53" ht="16.5" thickTop="1" thickBot="1" x14ac:dyDescent="0.3">
      <c r="A1078" s="88"/>
      <c r="B1078" s="36" t="s">
        <v>255</v>
      </c>
      <c r="C1078" s="30">
        <v>0</v>
      </c>
      <c r="D1078" s="31" t="s">
        <v>256</v>
      </c>
      <c r="E1078" s="101" t="str">
        <f>IF('Cable Calculator'!ED5="","",'Cable Calculator'!ED5)</f>
        <v/>
      </c>
      <c r="F1078" s="88"/>
      <c r="G1078" s="321"/>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6"/>
    </row>
    <row r="1079" spans="1:53" ht="16.5" thickTop="1" thickBot="1" x14ac:dyDescent="0.3">
      <c r="A1079" s="88"/>
      <c r="B1079" s="55" t="s">
        <v>258</v>
      </c>
      <c r="C1079" s="56">
        <f>SUM(C1073:C1078)+I1072</f>
        <v>0</v>
      </c>
      <c r="D1079" s="31" t="s">
        <v>259</v>
      </c>
      <c r="E1079" s="101" t="str">
        <f>IF(AS1073="Y","DBL",IF(AS1074="Y","TRPL",IF(AS1075="Y","QUAD","")))</f>
        <v/>
      </c>
      <c r="F1079" s="88"/>
      <c r="G1079" s="191"/>
      <c r="H1079" s="57"/>
      <c r="I1079" s="191"/>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6"/>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5"/>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7"/>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7"/>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2"/>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8">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2"/>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8">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2"/>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8">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2"/>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8">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2"/>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8">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2"/>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8">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2"/>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8">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2"/>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8">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2"/>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8">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2"/>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8">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2"/>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8">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2"/>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8">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2"/>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8">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2"/>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8">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2"/>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8">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2"/>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8">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2"/>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8">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2"/>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8">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2"/>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8">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2"/>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8">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2"/>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8">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2"/>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8">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2"/>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8">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2"/>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8">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3"/>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7"/>
    </row>
    <row r="1108" spans="1:53" ht="16.5" thickBot="1" x14ac:dyDescent="0.3">
      <c r="A1108" s="88"/>
      <c r="B1108" s="318" t="s">
        <v>357</v>
      </c>
      <c r="C1108" s="319"/>
      <c r="D1108" s="79"/>
      <c r="E1108" s="80"/>
      <c r="F1108" s="80"/>
      <c r="G1108" s="81"/>
      <c r="H1108" s="191"/>
      <c r="I1108" s="191"/>
      <c r="J1108" s="191"/>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7"/>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5"/>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5" t="s">
        <v>210</v>
      </c>
      <c r="N1112" s="195" t="s">
        <v>211</v>
      </c>
      <c r="O1112" s="195" t="s">
        <v>212</v>
      </c>
      <c r="P1112" s="195" t="s">
        <v>213</v>
      </c>
      <c r="Q1112" s="195" t="s">
        <v>214</v>
      </c>
      <c r="R1112" s="195" t="s">
        <v>215</v>
      </c>
      <c r="S1112" s="195" t="s">
        <v>216</v>
      </c>
      <c r="T1112" s="195" t="s">
        <v>217</v>
      </c>
      <c r="U1112" s="195" t="s">
        <v>218</v>
      </c>
      <c r="V1112" s="195" t="s">
        <v>219</v>
      </c>
      <c r="W1112" s="113" t="s">
        <v>220</v>
      </c>
      <c r="X1112" s="195" t="s">
        <v>221</v>
      </c>
      <c r="Y1112" s="25"/>
      <c r="Z1112" s="25"/>
      <c r="AA1112" s="25"/>
      <c r="AB1112" s="25"/>
      <c r="AC1112" s="25"/>
      <c r="AD1112" s="25"/>
      <c r="BA1112" s="225"/>
    </row>
    <row r="1113" spans="1:53" ht="16.5" thickTop="1" thickBot="1" x14ac:dyDescent="0.3">
      <c r="A1113" s="88"/>
      <c r="B1113" s="311" t="s">
        <v>222</v>
      </c>
      <c r="C1113" s="312"/>
      <c r="D1113" s="313" t="s">
        <v>223</v>
      </c>
      <c r="E1113" s="304"/>
      <c r="F1113" s="88"/>
      <c r="G1113" s="314" t="s">
        <v>224</v>
      </c>
      <c r="H1113" s="315"/>
      <c r="I1113" s="28">
        <f>SUM(E1124:E1148)</f>
        <v>0</v>
      </c>
      <c r="J1113" s="316" t="s">
        <v>225</v>
      </c>
      <c r="K1113" s="317"/>
      <c r="L1113" s="304"/>
      <c r="M1113" s="195">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5"/>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0</v>
      </c>
      <c r="M1114" s="195">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6"/>
    </row>
    <row r="1115" spans="1:53" ht="16.5" thickTop="1" thickBot="1" x14ac:dyDescent="0.3">
      <c r="A1115" s="88"/>
      <c r="B1115" s="36" t="s">
        <v>235</v>
      </c>
      <c r="C1115" s="37">
        <v>0</v>
      </c>
      <c r="D1115" s="38" t="s">
        <v>236</v>
      </c>
      <c r="E1115" s="32"/>
      <c r="F1115" s="88"/>
      <c r="G1115" s="290" t="s">
        <v>237</v>
      </c>
      <c r="H1115" s="291"/>
      <c r="I1115" s="35">
        <f>IF(E1115=0,0,12-(MOD(I1113,12)))</f>
        <v>0</v>
      </c>
      <c r="J1115" s="288" t="s">
        <v>238</v>
      </c>
      <c r="K1115" s="289"/>
      <c r="L1115" s="39">
        <f>I1119-I1113</f>
        <v>0</v>
      </c>
      <c r="M1115" s="195">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6"/>
    </row>
    <row r="1116" spans="1:53" ht="16.5" customHeight="1" thickTop="1" thickBot="1" x14ac:dyDescent="0.3">
      <c r="A1116" s="88"/>
      <c r="B1116" s="40" t="s">
        <v>240</v>
      </c>
      <c r="C1116" s="30">
        <v>0</v>
      </c>
      <c r="D1116" s="41" t="s">
        <v>241</v>
      </c>
      <c r="E1116" s="42"/>
      <c r="F1116" s="88"/>
      <c r="G1116" s="320" t="s">
        <v>242</v>
      </c>
      <c r="H1116" s="43" t="s">
        <v>243</v>
      </c>
      <c r="I1116" s="35">
        <f>IF(E1116&lt;&gt;0,1,0)</f>
        <v>0</v>
      </c>
      <c r="J1116" s="290" t="s">
        <v>244</v>
      </c>
      <c r="K1116" s="291"/>
      <c r="L1116" s="44" t="str">
        <f>'Cable Calculator'!EI3</f>
        <v/>
      </c>
      <c r="M1116" s="195">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6"/>
    </row>
    <row r="1117" spans="1:53" ht="16.5" thickTop="1" thickBot="1" x14ac:dyDescent="0.3">
      <c r="A1117" s="88"/>
      <c r="B1117" s="29" t="s">
        <v>246</v>
      </c>
      <c r="C1117" s="37">
        <v>0</v>
      </c>
      <c r="D1117" s="41" t="s">
        <v>247</v>
      </c>
      <c r="E1117" s="42"/>
      <c r="F1117" s="88"/>
      <c r="G1117" s="321"/>
      <c r="H1117" s="47" t="s">
        <v>248</v>
      </c>
      <c r="I1117" s="35">
        <f>IF(E1116&lt;&gt;0,E1116,0)</f>
        <v>0</v>
      </c>
      <c r="J1117" s="193"/>
      <c r="K1117" s="194"/>
      <c r="L1117" s="48"/>
      <c r="M1117" s="195">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6"/>
    </row>
    <row r="1118" spans="1:53" ht="16.5" customHeight="1" thickTop="1" thickBot="1" x14ac:dyDescent="0.3">
      <c r="A1118" s="88"/>
      <c r="B1118" s="36" t="s">
        <v>249</v>
      </c>
      <c r="C1118" s="30">
        <v>0</v>
      </c>
      <c r="D1118" s="49" t="s">
        <v>250</v>
      </c>
      <c r="E1118" s="50">
        <f>E1115/12</f>
        <v>0</v>
      </c>
      <c r="F1118" s="88"/>
      <c r="G1118" s="320" t="s">
        <v>251</v>
      </c>
      <c r="H1118" s="51" t="s">
        <v>252</v>
      </c>
      <c r="I1118" s="112">
        <f>E1117</f>
        <v>0</v>
      </c>
      <c r="J1118" s="322" t="s">
        <v>253</v>
      </c>
      <c r="K1118" s="323"/>
      <c r="L1118" s="324"/>
      <c r="M1118" s="52" t="s">
        <v>254</v>
      </c>
      <c r="N1118" s="106"/>
      <c r="O1118" s="106"/>
      <c r="P1118" s="191"/>
      <c r="Q1118" s="191"/>
      <c r="R1118" s="191"/>
      <c r="S1118" s="191"/>
      <c r="T1118" s="191"/>
      <c r="U1118" s="191"/>
      <c r="V1118" s="191"/>
      <c r="W1118" s="53">
        <f>SUM(P1118:U1118)</f>
        <v>0</v>
      </c>
      <c r="X1118" s="54"/>
      <c r="Y1118" s="25"/>
      <c r="Z1118" s="45">
        <v>3</v>
      </c>
      <c r="AA1118" s="46">
        <v>25</v>
      </c>
      <c r="AB1118" s="46">
        <v>36</v>
      </c>
      <c r="AC1118" s="25"/>
      <c r="AD1118" s="25"/>
      <c r="BA1118" s="226"/>
    </row>
    <row r="1119" spans="1:53" ht="16.5" thickTop="1" thickBot="1" x14ac:dyDescent="0.3">
      <c r="A1119" s="88"/>
      <c r="B1119" s="36" t="s">
        <v>255</v>
      </c>
      <c r="C1119" s="30">
        <v>0</v>
      </c>
      <c r="D1119" s="31" t="s">
        <v>256</v>
      </c>
      <c r="E1119" s="101" t="str">
        <f>IF('Cable Calculator'!EI5="","",'Cable Calculator'!EI5)</f>
        <v/>
      </c>
      <c r="F1119" s="88"/>
      <c r="G1119" s="321"/>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6"/>
    </row>
    <row r="1120" spans="1:53" ht="16.5" thickTop="1" thickBot="1" x14ac:dyDescent="0.3">
      <c r="A1120" s="88"/>
      <c r="B1120" s="55" t="s">
        <v>258</v>
      </c>
      <c r="C1120" s="56">
        <f>SUM(C1114:C1119)+I1113</f>
        <v>0</v>
      </c>
      <c r="D1120" s="31" t="s">
        <v>259</v>
      </c>
      <c r="E1120" s="101" t="str">
        <f>IF(AS1114="Y","DBL",IF(AS1115="Y","TRPL",IF(AS1116="Y","QUAD","")))</f>
        <v/>
      </c>
      <c r="F1120" s="88"/>
      <c r="G1120" s="191"/>
      <c r="H1120" s="57"/>
      <c r="I1120" s="191"/>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6"/>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5"/>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7"/>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7"/>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2"/>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8">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2"/>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8">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2"/>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8">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2"/>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8">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2"/>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8">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2"/>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8">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2"/>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8">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2"/>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8">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2"/>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8">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2"/>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8">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2"/>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8">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2"/>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8">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2"/>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8">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2"/>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8">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2"/>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8">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2"/>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8">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2"/>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8">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2"/>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8">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2"/>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8">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2"/>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8">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2"/>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8">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2"/>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8">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2"/>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8">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2"/>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8">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3"/>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7"/>
    </row>
    <row r="1149" spans="1:53" ht="16.5" thickBot="1" x14ac:dyDescent="0.3">
      <c r="A1149" s="88"/>
      <c r="B1149" s="318" t="s">
        <v>359</v>
      </c>
      <c r="C1149" s="319"/>
      <c r="D1149" s="79"/>
      <c r="E1149" s="80"/>
      <c r="F1149" s="80"/>
      <c r="G1149" s="81"/>
      <c r="H1149" s="191"/>
      <c r="I1149" s="191"/>
      <c r="J1149" s="191"/>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7"/>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5"/>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5" t="s">
        <v>210</v>
      </c>
      <c r="N1153" s="195" t="s">
        <v>211</v>
      </c>
      <c r="O1153" s="195" t="s">
        <v>212</v>
      </c>
      <c r="P1153" s="195" t="s">
        <v>213</v>
      </c>
      <c r="Q1153" s="195" t="s">
        <v>214</v>
      </c>
      <c r="R1153" s="195" t="s">
        <v>215</v>
      </c>
      <c r="S1153" s="195" t="s">
        <v>216</v>
      </c>
      <c r="T1153" s="195" t="s">
        <v>217</v>
      </c>
      <c r="U1153" s="195" t="s">
        <v>218</v>
      </c>
      <c r="V1153" s="195" t="s">
        <v>219</v>
      </c>
      <c r="W1153" s="113" t="s">
        <v>220</v>
      </c>
      <c r="X1153" s="195" t="s">
        <v>221</v>
      </c>
      <c r="Y1153" s="25"/>
      <c r="Z1153" s="25"/>
      <c r="AA1153" s="25"/>
      <c r="AB1153" s="25"/>
      <c r="AC1153" s="25"/>
      <c r="AD1153" s="25"/>
      <c r="BA1153" s="225"/>
    </row>
    <row r="1154" spans="1:53" ht="16.5" thickTop="1" thickBot="1" x14ac:dyDescent="0.3">
      <c r="A1154" s="88"/>
      <c r="B1154" s="311" t="s">
        <v>222</v>
      </c>
      <c r="C1154" s="312"/>
      <c r="D1154" s="313" t="s">
        <v>223</v>
      </c>
      <c r="E1154" s="304"/>
      <c r="F1154" s="88"/>
      <c r="G1154" s="314" t="s">
        <v>224</v>
      </c>
      <c r="H1154" s="315"/>
      <c r="I1154" s="28">
        <f>SUM(E1165:E1189)</f>
        <v>0</v>
      </c>
      <c r="J1154" s="316" t="s">
        <v>225</v>
      </c>
      <c r="K1154" s="317"/>
      <c r="L1154" s="304"/>
      <c r="M1154" s="195">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5"/>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0</v>
      </c>
      <c r="J1155" s="288" t="s">
        <v>231</v>
      </c>
      <c r="K1155" s="289"/>
      <c r="L1155" s="34">
        <f>I1159</f>
        <v>0</v>
      </c>
      <c r="M1155" s="195">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6"/>
    </row>
    <row r="1156" spans="1:53" ht="16.5" thickTop="1" thickBot="1" x14ac:dyDescent="0.3">
      <c r="A1156" s="88"/>
      <c r="B1156" s="36" t="s">
        <v>235</v>
      </c>
      <c r="C1156" s="37">
        <v>0</v>
      </c>
      <c r="D1156" s="38" t="s">
        <v>236</v>
      </c>
      <c r="E1156" s="32"/>
      <c r="F1156" s="88"/>
      <c r="G1156" s="290" t="s">
        <v>237</v>
      </c>
      <c r="H1156" s="291"/>
      <c r="I1156" s="35">
        <f>IF(E1156=0,0,12-(MOD(I1154,12)))</f>
        <v>0</v>
      </c>
      <c r="J1156" s="288" t="s">
        <v>238</v>
      </c>
      <c r="K1156" s="289"/>
      <c r="L1156" s="39">
        <f>I1160-I1154</f>
        <v>0</v>
      </c>
      <c r="M1156" s="195">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6"/>
    </row>
    <row r="1157" spans="1:53" ht="16.5" customHeight="1" thickTop="1" thickBot="1" x14ac:dyDescent="0.3">
      <c r="A1157" s="88"/>
      <c r="B1157" s="40" t="s">
        <v>240</v>
      </c>
      <c r="C1157" s="30">
        <v>0</v>
      </c>
      <c r="D1157" s="41" t="s">
        <v>241</v>
      </c>
      <c r="E1157" s="42"/>
      <c r="F1157" s="88"/>
      <c r="G1157" s="320" t="s">
        <v>242</v>
      </c>
      <c r="H1157" s="43" t="s">
        <v>243</v>
      </c>
      <c r="I1157" s="35">
        <f>IF(E1157&lt;&gt;0,1,0)</f>
        <v>0</v>
      </c>
      <c r="J1157" s="290" t="s">
        <v>244</v>
      </c>
      <c r="K1157" s="291"/>
      <c r="L1157" s="44" t="str">
        <f>'Cable Calculator'!EN3</f>
        <v/>
      </c>
      <c r="M1157" s="195">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6"/>
    </row>
    <row r="1158" spans="1:53" ht="16.5" thickTop="1" thickBot="1" x14ac:dyDescent="0.3">
      <c r="A1158" s="88"/>
      <c r="B1158" s="29" t="s">
        <v>246</v>
      </c>
      <c r="C1158" s="37">
        <v>0</v>
      </c>
      <c r="D1158" s="41" t="s">
        <v>247</v>
      </c>
      <c r="E1158" s="42"/>
      <c r="F1158" s="88"/>
      <c r="G1158" s="321"/>
      <c r="H1158" s="47" t="s">
        <v>248</v>
      </c>
      <c r="I1158" s="35">
        <f>IF(E1157&lt;&gt;0,E1157,0)</f>
        <v>0</v>
      </c>
      <c r="J1158" s="193"/>
      <c r="K1158" s="194"/>
      <c r="L1158" s="48"/>
      <c r="M1158" s="195">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6"/>
    </row>
    <row r="1159" spans="1:53" ht="16.5" customHeight="1" thickTop="1" thickBot="1" x14ac:dyDescent="0.3">
      <c r="A1159" s="88"/>
      <c r="B1159" s="36" t="s">
        <v>249</v>
      </c>
      <c r="C1159" s="30">
        <v>0</v>
      </c>
      <c r="D1159" s="49" t="s">
        <v>250</v>
      </c>
      <c r="E1159" s="50">
        <f>E1156/12</f>
        <v>0</v>
      </c>
      <c r="F1159" s="88"/>
      <c r="G1159" s="320" t="s">
        <v>251</v>
      </c>
      <c r="H1159" s="51" t="s">
        <v>252</v>
      </c>
      <c r="I1159" s="112">
        <f>E1158</f>
        <v>0</v>
      </c>
      <c r="J1159" s="322" t="s">
        <v>253</v>
      </c>
      <c r="K1159" s="323"/>
      <c r="L1159" s="324"/>
      <c r="M1159" s="52" t="s">
        <v>254</v>
      </c>
      <c r="N1159" s="106"/>
      <c r="O1159" s="106"/>
      <c r="P1159" s="191"/>
      <c r="Q1159" s="191"/>
      <c r="R1159" s="191"/>
      <c r="S1159" s="191"/>
      <c r="T1159" s="191"/>
      <c r="U1159" s="191"/>
      <c r="V1159" s="191"/>
      <c r="W1159" s="53">
        <f>SUM(P1159:U1159)</f>
        <v>0</v>
      </c>
      <c r="X1159" s="54"/>
      <c r="Y1159" s="25"/>
      <c r="Z1159" s="45">
        <v>3</v>
      </c>
      <c r="AA1159" s="46">
        <v>25</v>
      </c>
      <c r="AB1159" s="46">
        <v>36</v>
      </c>
      <c r="AC1159" s="25"/>
      <c r="AD1159" s="25"/>
      <c r="BA1159" s="226"/>
    </row>
    <row r="1160" spans="1:53" ht="16.5" thickTop="1" thickBot="1" x14ac:dyDescent="0.3">
      <c r="A1160" s="88"/>
      <c r="B1160" s="36" t="s">
        <v>255</v>
      </c>
      <c r="C1160" s="30">
        <v>0</v>
      </c>
      <c r="D1160" s="31" t="s">
        <v>256</v>
      </c>
      <c r="E1160" s="101" t="str">
        <f>IF('Cable Calculator'!EN5="","",'Cable Calculator'!EN5)</f>
        <v/>
      </c>
      <c r="F1160" s="88"/>
      <c r="G1160" s="321"/>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6"/>
    </row>
    <row r="1161" spans="1:53" ht="16.5" thickTop="1" thickBot="1" x14ac:dyDescent="0.3">
      <c r="A1161" s="88"/>
      <c r="B1161" s="55" t="s">
        <v>258</v>
      </c>
      <c r="C1161" s="56">
        <f>SUM(C1155:C1160)+I1154</f>
        <v>0</v>
      </c>
      <c r="D1161" s="31" t="s">
        <v>259</v>
      </c>
      <c r="E1161" s="101" t="str">
        <f>IF(AS1155="Y","DBL",IF(AS1156="Y","TRPL",IF(AS1157="Y","QUAD","")))</f>
        <v/>
      </c>
      <c r="F1161" s="88"/>
      <c r="G1161" s="191"/>
      <c r="H1161" s="57"/>
      <c r="I1161" s="191"/>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6"/>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5"/>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7"/>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7"/>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2"/>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8">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2"/>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8">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2"/>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8">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2"/>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8">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2"/>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8">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2"/>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8">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2"/>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8">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2"/>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8">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2"/>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8">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2"/>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8">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2"/>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8">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2"/>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8">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2"/>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8">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2"/>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8">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2"/>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8">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2"/>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8">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2"/>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8">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2"/>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8">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2"/>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8">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2"/>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8">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2"/>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8">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2"/>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8">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2"/>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8">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2"/>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8">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3"/>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7"/>
    </row>
    <row r="1190" spans="1:53" ht="16.5" thickBot="1" x14ac:dyDescent="0.3">
      <c r="A1190" s="88"/>
      <c r="B1190" s="318" t="s">
        <v>361</v>
      </c>
      <c r="C1190" s="319"/>
      <c r="D1190" s="79"/>
      <c r="E1190" s="80"/>
      <c r="F1190" s="80"/>
      <c r="G1190" s="81"/>
      <c r="H1190" s="191"/>
      <c r="I1190" s="191"/>
      <c r="J1190" s="191"/>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7"/>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5"/>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5" t="s">
        <v>210</v>
      </c>
      <c r="N1194" s="195" t="s">
        <v>211</v>
      </c>
      <c r="O1194" s="195" t="s">
        <v>212</v>
      </c>
      <c r="P1194" s="195" t="s">
        <v>213</v>
      </c>
      <c r="Q1194" s="195" t="s">
        <v>214</v>
      </c>
      <c r="R1194" s="195" t="s">
        <v>215</v>
      </c>
      <c r="S1194" s="195" t="s">
        <v>216</v>
      </c>
      <c r="T1194" s="195" t="s">
        <v>217</v>
      </c>
      <c r="U1194" s="195" t="s">
        <v>218</v>
      </c>
      <c r="V1194" s="195" t="s">
        <v>219</v>
      </c>
      <c r="W1194" s="113" t="s">
        <v>220</v>
      </c>
      <c r="X1194" s="195" t="s">
        <v>221</v>
      </c>
      <c r="Y1194" s="25"/>
      <c r="Z1194" s="25"/>
      <c r="AA1194" s="25"/>
      <c r="AB1194" s="25"/>
      <c r="AC1194" s="25"/>
      <c r="AD1194" s="25"/>
      <c r="BA1194" s="225"/>
    </row>
    <row r="1195" spans="1:53" ht="16.5" thickTop="1" thickBot="1" x14ac:dyDescent="0.3">
      <c r="A1195" s="88"/>
      <c r="B1195" s="311" t="s">
        <v>222</v>
      </c>
      <c r="C1195" s="312"/>
      <c r="D1195" s="313" t="s">
        <v>223</v>
      </c>
      <c r="E1195" s="304"/>
      <c r="F1195" s="88"/>
      <c r="G1195" s="314" t="s">
        <v>224</v>
      </c>
      <c r="H1195" s="315"/>
      <c r="I1195" s="28">
        <f>SUM(E1206:E1230)</f>
        <v>0</v>
      </c>
      <c r="J1195" s="316" t="s">
        <v>225</v>
      </c>
      <c r="K1195" s="317"/>
      <c r="L1195" s="304"/>
      <c r="M1195" s="195">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5"/>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0</v>
      </c>
      <c r="J1196" s="288" t="s">
        <v>231</v>
      </c>
      <c r="K1196" s="289"/>
      <c r="L1196" s="34">
        <f>I1200</f>
        <v>0</v>
      </c>
      <c r="M1196" s="195">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6"/>
    </row>
    <row r="1197" spans="1:53" ht="16.5" thickTop="1" thickBot="1" x14ac:dyDescent="0.3">
      <c r="A1197" s="88"/>
      <c r="B1197" s="36" t="s">
        <v>235</v>
      </c>
      <c r="C1197" s="37">
        <v>0</v>
      </c>
      <c r="D1197" s="38" t="s">
        <v>236</v>
      </c>
      <c r="E1197" s="32"/>
      <c r="F1197" s="88"/>
      <c r="G1197" s="290" t="s">
        <v>237</v>
      </c>
      <c r="H1197" s="291"/>
      <c r="I1197" s="35">
        <f>IF(E1197=0,0,12-(MOD(I1195,12)))</f>
        <v>0</v>
      </c>
      <c r="J1197" s="288" t="s">
        <v>238</v>
      </c>
      <c r="K1197" s="289"/>
      <c r="L1197" s="39">
        <f>I1201-I1195</f>
        <v>0</v>
      </c>
      <c r="M1197" s="195">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6"/>
    </row>
    <row r="1198" spans="1:53" ht="16.5" customHeight="1" thickTop="1" thickBot="1" x14ac:dyDescent="0.3">
      <c r="A1198" s="88"/>
      <c r="B1198" s="40" t="s">
        <v>240</v>
      </c>
      <c r="C1198" s="30">
        <v>0</v>
      </c>
      <c r="D1198" s="41" t="s">
        <v>241</v>
      </c>
      <c r="E1198" s="42"/>
      <c r="F1198" s="88"/>
      <c r="G1198" s="320" t="s">
        <v>242</v>
      </c>
      <c r="H1198" s="43" t="s">
        <v>243</v>
      </c>
      <c r="I1198" s="35">
        <f>IF(E1198&lt;&gt;0,1,0)</f>
        <v>0</v>
      </c>
      <c r="J1198" s="290" t="s">
        <v>244</v>
      </c>
      <c r="K1198" s="291"/>
      <c r="L1198" s="44" t="str">
        <f>'Cable Calculator'!ES3</f>
        <v/>
      </c>
      <c r="M1198" s="195">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6"/>
    </row>
    <row r="1199" spans="1:53" ht="16.5" thickTop="1" thickBot="1" x14ac:dyDescent="0.3">
      <c r="A1199" s="88"/>
      <c r="B1199" s="29" t="s">
        <v>246</v>
      </c>
      <c r="C1199" s="37">
        <v>0</v>
      </c>
      <c r="D1199" s="41" t="s">
        <v>247</v>
      </c>
      <c r="E1199" s="42"/>
      <c r="F1199" s="88"/>
      <c r="G1199" s="321"/>
      <c r="H1199" s="47" t="s">
        <v>248</v>
      </c>
      <c r="I1199" s="35">
        <f>IF(E1198&lt;&gt;0,E1198,0)</f>
        <v>0</v>
      </c>
      <c r="J1199" s="193"/>
      <c r="K1199" s="194"/>
      <c r="L1199" s="48"/>
      <c r="M1199" s="195">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6"/>
    </row>
    <row r="1200" spans="1:53" ht="16.5" customHeight="1" thickTop="1" thickBot="1" x14ac:dyDescent="0.3">
      <c r="A1200" s="88"/>
      <c r="B1200" s="36" t="s">
        <v>249</v>
      </c>
      <c r="C1200" s="30">
        <v>0</v>
      </c>
      <c r="D1200" s="49" t="s">
        <v>250</v>
      </c>
      <c r="E1200" s="50">
        <f>E1197/12</f>
        <v>0</v>
      </c>
      <c r="F1200" s="88"/>
      <c r="G1200" s="320" t="s">
        <v>251</v>
      </c>
      <c r="H1200" s="51" t="s">
        <v>252</v>
      </c>
      <c r="I1200" s="112">
        <f>E1199</f>
        <v>0</v>
      </c>
      <c r="J1200" s="322" t="s">
        <v>253</v>
      </c>
      <c r="K1200" s="323"/>
      <c r="L1200" s="324"/>
      <c r="M1200" s="52" t="s">
        <v>254</v>
      </c>
      <c r="N1200" s="106"/>
      <c r="O1200" s="106"/>
      <c r="P1200" s="191"/>
      <c r="Q1200" s="191"/>
      <c r="R1200" s="191"/>
      <c r="S1200" s="191"/>
      <c r="T1200" s="191"/>
      <c r="U1200" s="191"/>
      <c r="V1200" s="191"/>
      <c r="W1200" s="53">
        <f>SUM(P1200:U1200)</f>
        <v>0</v>
      </c>
      <c r="X1200" s="54"/>
      <c r="Y1200" s="25"/>
      <c r="Z1200" s="45">
        <v>3</v>
      </c>
      <c r="AA1200" s="46">
        <v>25</v>
      </c>
      <c r="AB1200" s="46">
        <v>36</v>
      </c>
      <c r="AC1200" s="25"/>
      <c r="AD1200" s="25"/>
      <c r="BA1200" s="226"/>
    </row>
    <row r="1201" spans="1:53" ht="16.5" thickTop="1" thickBot="1" x14ac:dyDescent="0.3">
      <c r="A1201" s="88"/>
      <c r="B1201" s="36" t="s">
        <v>255</v>
      </c>
      <c r="C1201" s="30">
        <v>0</v>
      </c>
      <c r="D1201" s="31" t="s">
        <v>256</v>
      </c>
      <c r="E1201" s="101" t="str">
        <f>IF('Cable Calculator'!ES5="","",'Cable Calculator'!ES5)</f>
        <v/>
      </c>
      <c r="F1201" s="88"/>
      <c r="G1201" s="321"/>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6"/>
    </row>
    <row r="1202" spans="1:53" ht="16.5" thickTop="1" thickBot="1" x14ac:dyDescent="0.3">
      <c r="A1202" s="88"/>
      <c r="B1202" s="55" t="s">
        <v>258</v>
      </c>
      <c r="C1202" s="56">
        <f>SUM(C1196:C1201)+I1195</f>
        <v>0</v>
      </c>
      <c r="D1202" s="31" t="s">
        <v>259</v>
      </c>
      <c r="E1202" s="101" t="str">
        <f>IF(AS1196="Y","DBL",IF(AS1197="Y","TRPL",IF(AS1198="Y","QUAD","")))</f>
        <v/>
      </c>
      <c r="F1202" s="88"/>
      <c r="G1202" s="191"/>
      <c r="H1202" s="57"/>
      <c r="I1202" s="191"/>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6"/>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5"/>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7"/>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7"/>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2"/>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8">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2"/>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8">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2"/>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8">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2"/>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8">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2"/>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8">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2"/>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8">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2"/>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8">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2"/>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8">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2"/>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8">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2"/>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8">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2"/>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8">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2"/>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8">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2"/>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8">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2"/>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8">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2"/>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8">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2"/>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8">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2"/>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8">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2"/>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8">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2"/>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8">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2"/>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8">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2"/>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8">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2"/>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8">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2"/>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8">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2"/>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8">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3"/>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7"/>
    </row>
    <row r="1231" spans="1:53" ht="16.5" thickBot="1" x14ac:dyDescent="0.3">
      <c r="A1231" s="88"/>
      <c r="B1231" s="318" t="s">
        <v>363</v>
      </c>
      <c r="C1231" s="319"/>
      <c r="D1231" s="79"/>
      <c r="E1231" s="80"/>
      <c r="F1231" s="80"/>
      <c r="G1231" s="81"/>
      <c r="H1231" s="191"/>
      <c r="I1231" s="191"/>
      <c r="J1231" s="191"/>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7"/>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5"/>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5" t="s">
        <v>210</v>
      </c>
      <c r="N1235" s="195" t="s">
        <v>211</v>
      </c>
      <c r="O1235" s="195" t="s">
        <v>212</v>
      </c>
      <c r="P1235" s="195" t="s">
        <v>213</v>
      </c>
      <c r="Q1235" s="195" t="s">
        <v>214</v>
      </c>
      <c r="R1235" s="195" t="s">
        <v>215</v>
      </c>
      <c r="S1235" s="195" t="s">
        <v>216</v>
      </c>
      <c r="T1235" s="195" t="s">
        <v>217</v>
      </c>
      <c r="U1235" s="195" t="s">
        <v>218</v>
      </c>
      <c r="V1235" s="195" t="s">
        <v>219</v>
      </c>
      <c r="W1235" s="113" t="s">
        <v>220</v>
      </c>
      <c r="X1235" s="195" t="s">
        <v>221</v>
      </c>
      <c r="Y1235" s="25"/>
      <c r="Z1235" s="25"/>
      <c r="AA1235" s="25"/>
      <c r="AB1235" s="25"/>
      <c r="AC1235" s="25"/>
      <c r="AD1235" s="25"/>
      <c r="BA1235" s="225"/>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5">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5"/>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5">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6"/>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5">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6"/>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5">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6"/>
    </row>
    <row r="1240" spans="1:53" ht="16.5" thickTop="1" thickBot="1" x14ac:dyDescent="0.3">
      <c r="A1240" s="88"/>
      <c r="B1240" s="29" t="s">
        <v>246</v>
      </c>
      <c r="C1240" s="37">
        <v>0</v>
      </c>
      <c r="D1240" s="41" t="s">
        <v>247</v>
      </c>
      <c r="E1240" s="42"/>
      <c r="F1240" s="88"/>
      <c r="G1240" s="321"/>
      <c r="H1240" s="47" t="s">
        <v>248</v>
      </c>
      <c r="I1240" s="35">
        <f>IF(E1239&lt;&gt;0,E1239,0)</f>
        <v>0</v>
      </c>
      <c r="J1240" s="193"/>
      <c r="K1240" s="194"/>
      <c r="L1240" s="48"/>
      <c r="M1240" s="195">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6"/>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1"/>
      <c r="Q1241" s="191"/>
      <c r="R1241" s="191"/>
      <c r="S1241" s="191"/>
      <c r="T1241" s="191"/>
      <c r="U1241" s="191"/>
      <c r="V1241" s="191"/>
      <c r="W1241" s="53">
        <f>SUM(P1241:U1241)</f>
        <v>0</v>
      </c>
      <c r="X1241" s="54"/>
      <c r="Y1241" s="25"/>
      <c r="Z1241" s="45">
        <v>3</v>
      </c>
      <c r="AA1241" s="46">
        <v>25</v>
      </c>
      <c r="AB1241" s="46">
        <v>36</v>
      </c>
      <c r="AC1241" s="25"/>
      <c r="AD1241" s="25"/>
      <c r="BA1241" s="226"/>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6"/>
    </row>
    <row r="1243" spans="1:53" ht="16.5" thickTop="1" thickBot="1" x14ac:dyDescent="0.3">
      <c r="A1243" s="88"/>
      <c r="B1243" s="55" t="s">
        <v>258</v>
      </c>
      <c r="C1243" s="56">
        <f>SUM(C1237:C1242)+I1236</f>
        <v>0</v>
      </c>
      <c r="D1243" s="31" t="s">
        <v>259</v>
      </c>
      <c r="E1243" s="101" t="str">
        <f>IF(AS1237="Y","DBL",IF(AS1238="Y","TRPL",IF(AS1239="Y","QUAD","")))</f>
        <v/>
      </c>
      <c r="F1243" s="88"/>
      <c r="G1243" s="191"/>
      <c r="H1243" s="57"/>
      <c r="I1243" s="191"/>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6"/>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5"/>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7"/>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7"/>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2"/>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8">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2"/>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8">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2"/>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8">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2"/>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8">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2"/>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8">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2"/>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8">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2"/>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8">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2"/>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8">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2"/>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8">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2"/>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8">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2"/>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8">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2"/>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8">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2"/>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8">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2"/>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8">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2"/>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8">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2"/>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8">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2"/>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8">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2"/>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8">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2"/>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8">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2"/>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8">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2"/>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8">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2"/>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8">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2"/>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8">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2"/>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8">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3"/>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7"/>
    </row>
    <row r="1272" spans="1:53" ht="16.5" thickBot="1" x14ac:dyDescent="0.3">
      <c r="A1272" s="88"/>
      <c r="B1272" s="318" t="s">
        <v>365</v>
      </c>
      <c r="C1272" s="319"/>
      <c r="D1272" s="79"/>
      <c r="E1272" s="80"/>
      <c r="F1272" s="80"/>
      <c r="G1272" s="81"/>
      <c r="H1272" s="191"/>
      <c r="I1272" s="191"/>
      <c r="J1272" s="191"/>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7"/>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5"/>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5" t="s">
        <v>210</v>
      </c>
      <c r="N1276" s="195" t="s">
        <v>211</v>
      </c>
      <c r="O1276" s="195" t="s">
        <v>212</v>
      </c>
      <c r="P1276" s="195" t="s">
        <v>213</v>
      </c>
      <c r="Q1276" s="195" t="s">
        <v>214</v>
      </c>
      <c r="R1276" s="195" t="s">
        <v>215</v>
      </c>
      <c r="S1276" s="195" t="s">
        <v>216</v>
      </c>
      <c r="T1276" s="195" t="s">
        <v>217</v>
      </c>
      <c r="U1276" s="195" t="s">
        <v>218</v>
      </c>
      <c r="V1276" s="195" t="s">
        <v>219</v>
      </c>
      <c r="W1276" s="113" t="s">
        <v>220</v>
      </c>
      <c r="X1276" s="195" t="s">
        <v>221</v>
      </c>
      <c r="Y1276" s="25"/>
      <c r="Z1276" s="25"/>
      <c r="AA1276" s="25"/>
      <c r="AB1276" s="25"/>
      <c r="AC1276" s="25"/>
      <c r="AD1276" s="25"/>
      <c r="BA1276" s="225"/>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5">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5"/>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5">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6"/>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5">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6"/>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5">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6"/>
    </row>
    <row r="1281" spans="1:53" ht="16.5" thickTop="1" thickBot="1" x14ac:dyDescent="0.3">
      <c r="A1281" s="88"/>
      <c r="B1281" s="29" t="s">
        <v>246</v>
      </c>
      <c r="C1281" s="37">
        <v>0</v>
      </c>
      <c r="D1281" s="41" t="s">
        <v>247</v>
      </c>
      <c r="E1281" s="42"/>
      <c r="F1281" s="88"/>
      <c r="G1281" s="321"/>
      <c r="H1281" s="47" t="s">
        <v>248</v>
      </c>
      <c r="I1281" s="35">
        <f>IF(E1280&lt;&gt;0,E1280,0)</f>
        <v>0</v>
      </c>
      <c r="J1281" s="193"/>
      <c r="K1281" s="194"/>
      <c r="L1281" s="48"/>
      <c r="M1281" s="195">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6"/>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1"/>
      <c r="Q1282" s="191"/>
      <c r="R1282" s="191"/>
      <c r="S1282" s="191"/>
      <c r="T1282" s="191"/>
      <c r="U1282" s="191"/>
      <c r="V1282" s="191"/>
      <c r="W1282" s="53">
        <f>SUM(P1282:U1282)</f>
        <v>0</v>
      </c>
      <c r="X1282" s="54"/>
      <c r="Y1282" s="25"/>
      <c r="Z1282" s="45">
        <v>3</v>
      </c>
      <c r="AA1282" s="46">
        <v>25</v>
      </c>
      <c r="AB1282" s="46">
        <v>36</v>
      </c>
      <c r="AC1282" s="25"/>
      <c r="AD1282" s="25"/>
      <c r="BA1282" s="226"/>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6"/>
    </row>
    <row r="1284" spans="1:53" ht="16.5" thickTop="1" thickBot="1" x14ac:dyDescent="0.3">
      <c r="A1284" s="88"/>
      <c r="B1284" s="55" t="s">
        <v>258</v>
      </c>
      <c r="C1284" s="56">
        <f>SUM(C1278:C1283)+I1277</f>
        <v>0</v>
      </c>
      <c r="D1284" s="31" t="s">
        <v>259</v>
      </c>
      <c r="E1284" s="101" t="str">
        <f>IF(AS1278="Y","DBL",IF(AS1279="Y","TRPL",IF(AS1280="Y","QUAD","")))</f>
        <v/>
      </c>
      <c r="F1284" s="88"/>
      <c r="G1284" s="191"/>
      <c r="H1284" s="57"/>
      <c r="I1284" s="191"/>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6"/>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5"/>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7"/>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7"/>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2"/>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8">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2"/>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8">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2"/>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8">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2"/>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8">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2"/>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8">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2"/>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8">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2"/>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8">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2"/>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8">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2"/>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8">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2"/>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8">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2"/>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8">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2"/>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8">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2"/>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8">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2"/>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8">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2"/>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8">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2"/>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8">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2"/>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8">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2"/>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8">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2"/>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8">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2"/>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8">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2"/>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8">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2"/>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8">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2"/>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8">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2"/>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8">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3"/>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7"/>
    </row>
    <row r="1313" spans="1:53" ht="16.5" thickBot="1" x14ac:dyDescent="0.3">
      <c r="A1313" s="88"/>
      <c r="B1313" s="318" t="s">
        <v>367</v>
      </c>
      <c r="C1313" s="319"/>
      <c r="D1313" s="79"/>
      <c r="E1313" s="80"/>
      <c r="F1313" s="80"/>
      <c r="G1313" s="81"/>
      <c r="H1313" s="191"/>
      <c r="I1313" s="191"/>
      <c r="J1313" s="191"/>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7"/>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5"/>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5" t="s">
        <v>210</v>
      </c>
      <c r="N1317" s="195" t="s">
        <v>211</v>
      </c>
      <c r="O1317" s="195" t="s">
        <v>212</v>
      </c>
      <c r="P1317" s="195" t="s">
        <v>213</v>
      </c>
      <c r="Q1317" s="195" t="s">
        <v>214</v>
      </c>
      <c r="R1317" s="195" t="s">
        <v>215</v>
      </c>
      <c r="S1317" s="195" t="s">
        <v>216</v>
      </c>
      <c r="T1317" s="195" t="s">
        <v>217</v>
      </c>
      <c r="U1317" s="195" t="s">
        <v>218</v>
      </c>
      <c r="V1317" s="195" t="s">
        <v>219</v>
      </c>
      <c r="W1317" s="113" t="s">
        <v>220</v>
      </c>
      <c r="X1317" s="195" t="s">
        <v>221</v>
      </c>
      <c r="Y1317" s="25"/>
      <c r="Z1317" s="25"/>
      <c r="AA1317" s="25"/>
      <c r="AB1317" s="25"/>
      <c r="AC1317" s="25"/>
      <c r="AD1317" s="25"/>
      <c r="BA1317" s="225"/>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5">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5"/>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5">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6"/>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5">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6"/>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5">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6"/>
    </row>
    <row r="1322" spans="1:53" ht="16.5" thickTop="1" thickBot="1" x14ac:dyDescent="0.3">
      <c r="A1322" s="88"/>
      <c r="B1322" s="29" t="s">
        <v>246</v>
      </c>
      <c r="C1322" s="37">
        <v>0</v>
      </c>
      <c r="D1322" s="41" t="s">
        <v>247</v>
      </c>
      <c r="E1322" s="42"/>
      <c r="F1322" s="88"/>
      <c r="G1322" s="321"/>
      <c r="H1322" s="47" t="s">
        <v>248</v>
      </c>
      <c r="I1322" s="35">
        <f>IF(E1321&lt;&gt;0,E1321,0)</f>
        <v>0</v>
      </c>
      <c r="J1322" s="193"/>
      <c r="K1322" s="194"/>
      <c r="L1322" s="48"/>
      <c r="M1322" s="195">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6"/>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1"/>
      <c r="Q1323" s="191"/>
      <c r="R1323" s="191"/>
      <c r="S1323" s="191"/>
      <c r="T1323" s="191"/>
      <c r="U1323" s="191"/>
      <c r="V1323" s="191"/>
      <c r="W1323" s="53">
        <f>SUM(P1323:U1323)</f>
        <v>0</v>
      </c>
      <c r="X1323" s="54"/>
      <c r="Y1323" s="25"/>
      <c r="Z1323" s="45">
        <v>3</v>
      </c>
      <c r="AA1323" s="46">
        <v>25</v>
      </c>
      <c r="AB1323" s="46">
        <v>36</v>
      </c>
      <c r="AC1323" s="25"/>
      <c r="AD1323" s="25"/>
      <c r="BA1323" s="226"/>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6"/>
    </row>
    <row r="1325" spans="1:53" ht="16.5" thickTop="1" thickBot="1" x14ac:dyDescent="0.3">
      <c r="A1325" s="88"/>
      <c r="B1325" s="55" t="s">
        <v>258</v>
      </c>
      <c r="C1325" s="56">
        <f>SUM(C1319:C1324)+I1318</f>
        <v>0</v>
      </c>
      <c r="D1325" s="31" t="s">
        <v>259</v>
      </c>
      <c r="E1325" s="101" t="str">
        <f>IF(AS1319="Y","DBL",IF(AS1320="Y","TRPL",IF(AS1321="Y","QUAD","")))</f>
        <v/>
      </c>
      <c r="F1325" s="88"/>
      <c r="G1325" s="191"/>
      <c r="H1325" s="57"/>
      <c r="I1325" s="191"/>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6"/>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5"/>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7"/>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7"/>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2"/>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8">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2"/>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8">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2"/>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8">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2"/>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8">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2"/>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8">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2"/>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8">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2"/>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8">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2"/>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8">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2"/>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8">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2"/>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8">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2"/>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8">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2"/>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8">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2"/>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8">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2"/>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8">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2"/>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8">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2"/>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8">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2"/>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8">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2"/>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8">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2"/>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8">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2"/>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8">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2"/>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8">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2"/>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8">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2"/>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8">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2"/>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8">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3"/>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7"/>
    </row>
    <row r="1354" spans="1:53" ht="16.5" thickBot="1" x14ac:dyDescent="0.3">
      <c r="A1354" s="88"/>
      <c r="B1354" s="318" t="s">
        <v>369</v>
      </c>
      <c r="C1354" s="319"/>
      <c r="D1354" s="79"/>
      <c r="E1354" s="80"/>
      <c r="F1354" s="80"/>
      <c r="G1354" s="81"/>
      <c r="H1354" s="191"/>
      <c r="I1354" s="191"/>
      <c r="J1354" s="191"/>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7"/>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5"/>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5" t="s">
        <v>210</v>
      </c>
      <c r="N1358" s="195" t="s">
        <v>211</v>
      </c>
      <c r="O1358" s="195" t="s">
        <v>212</v>
      </c>
      <c r="P1358" s="195" t="s">
        <v>213</v>
      </c>
      <c r="Q1358" s="195" t="s">
        <v>214</v>
      </c>
      <c r="R1358" s="195" t="s">
        <v>215</v>
      </c>
      <c r="S1358" s="195" t="s">
        <v>216</v>
      </c>
      <c r="T1358" s="195" t="s">
        <v>217</v>
      </c>
      <c r="U1358" s="195" t="s">
        <v>218</v>
      </c>
      <c r="V1358" s="195" t="s">
        <v>219</v>
      </c>
      <c r="W1358" s="113" t="s">
        <v>220</v>
      </c>
      <c r="X1358" s="195" t="s">
        <v>221</v>
      </c>
      <c r="Y1358" s="25"/>
      <c r="Z1358" s="25"/>
      <c r="AA1358" s="25"/>
      <c r="AB1358" s="25"/>
      <c r="AC1358" s="25"/>
      <c r="AD1358" s="25"/>
      <c r="BA1358" s="225"/>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5">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5"/>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5">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6"/>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5">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6"/>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5">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6"/>
    </row>
    <row r="1363" spans="1:53" ht="16.5" thickTop="1" thickBot="1" x14ac:dyDescent="0.3">
      <c r="A1363" s="88"/>
      <c r="B1363" s="29" t="s">
        <v>246</v>
      </c>
      <c r="C1363" s="37">
        <v>0</v>
      </c>
      <c r="D1363" s="41" t="s">
        <v>247</v>
      </c>
      <c r="E1363" s="42"/>
      <c r="F1363" s="88"/>
      <c r="G1363" s="321"/>
      <c r="H1363" s="47" t="s">
        <v>248</v>
      </c>
      <c r="I1363" s="35">
        <f>IF(E1362&lt;&gt;0,E1362,0)</f>
        <v>0</v>
      </c>
      <c r="J1363" s="193"/>
      <c r="K1363" s="194"/>
      <c r="L1363" s="48"/>
      <c r="M1363" s="195">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6"/>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1"/>
      <c r="Q1364" s="191"/>
      <c r="R1364" s="191"/>
      <c r="S1364" s="191"/>
      <c r="T1364" s="191"/>
      <c r="U1364" s="191"/>
      <c r="V1364" s="191"/>
      <c r="W1364" s="53">
        <f>SUM(P1364:U1364)</f>
        <v>0</v>
      </c>
      <c r="X1364" s="54"/>
      <c r="Y1364" s="25"/>
      <c r="Z1364" s="45">
        <v>3</v>
      </c>
      <c r="AA1364" s="46">
        <v>25</v>
      </c>
      <c r="AB1364" s="46">
        <v>36</v>
      </c>
      <c r="AC1364" s="25"/>
      <c r="AD1364" s="25"/>
      <c r="BA1364" s="226"/>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6"/>
    </row>
    <row r="1366" spans="1:53" ht="16.5" thickTop="1" thickBot="1" x14ac:dyDescent="0.3">
      <c r="A1366" s="88"/>
      <c r="B1366" s="55" t="s">
        <v>258</v>
      </c>
      <c r="C1366" s="56">
        <f>SUM(C1360:C1365)+I1359</f>
        <v>0</v>
      </c>
      <c r="D1366" s="31" t="s">
        <v>259</v>
      </c>
      <c r="E1366" s="101" t="str">
        <f>IF(AS1360="Y","DBL",IF(AS1361="Y","TRPL",IF(AS1362="Y","QUAD","")))</f>
        <v/>
      </c>
      <c r="F1366" s="88"/>
      <c r="G1366" s="191"/>
      <c r="H1366" s="57"/>
      <c r="I1366" s="191"/>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6"/>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5"/>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7"/>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7"/>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2"/>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8">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2"/>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8">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2"/>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8">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2"/>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8">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2"/>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8">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2"/>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8">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2"/>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8">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2"/>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8">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2"/>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8">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2"/>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8">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2"/>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8">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2"/>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8">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2"/>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8">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2"/>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8">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2"/>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8">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2"/>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8">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2"/>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8">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2"/>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8">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2"/>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8">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2"/>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8">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2"/>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8">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2"/>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8">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2"/>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8">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2"/>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8">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3"/>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7"/>
    </row>
    <row r="1395" spans="1:53" ht="16.5" thickBot="1" x14ac:dyDescent="0.3">
      <c r="A1395" s="88"/>
      <c r="B1395" s="318" t="s">
        <v>371</v>
      </c>
      <c r="C1395" s="319"/>
      <c r="D1395" s="79"/>
      <c r="E1395" s="80"/>
      <c r="F1395" s="80"/>
      <c r="G1395" s="81"/>
      <c r="H1395" s="191"/>
      <c r="I1395" s="191"/>
      <c r="J1395" s="191"/>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7"/>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5"/>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5" t="s">
        <v>210</v>
      </c>
      <c r="N1399" s="195" t="s">
        <v>211</v>
      </c>
      <c r="O1399" s="195" t="s">
        <v>212</v>
      </c>
      <c r="P1399" s="195" t="s">
        <v>213</v>
      </c>
      <c r="Q1399" s="195" t="s">
        <v>214</v>
      </c>
      <c r="R1399" s="195" t="s">
        <v>215</v>
      </c>
      <c r="S1399" s="195" t="s">
        <v>216</v>
      </c>
      <c r="T1399" s="195" t="s">
        <v>217</v>
      </c>
      <c r="U1399" s="195" t="s">
        <v>218</v>
      </c>
      <c r="V1399" s="195" t="s">
        <v>219</v>
      </c>
      <c r="W1399" s="113" t="s">
        <v>220</v>
      </c>
      <c r="X1399" s="195" t="s">
        <v>221</v>
      </c>
      <c r="Y1399" s="25"/>
      <c r="Z1399" s="25"/>
      <c r="AA1399" s="25"/>
      <c r="AB1399" s="25"/>
      <c r="AC1399" s="25"/>
      <c r="AD1399" s="25"/>
      <c r="BA1399" s="225"/>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5">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5"/>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5">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6"/>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5">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6"/>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5">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6"/>
    </row>
    <row r="1404" spans="1:53" ht="16.5" thickTop="1" thickBot="1" x14ac:dyDescent="0.3">
      <c r="A1404" s="88"/>
      <c r="B1404" s="29" t="s">
        <v>246</v>
      </c>
      <c r="C1404" s="37">
        <v>0</v>
      </c>
      <c r="D1404" s="41" t="s">
        <v>247</v>
      </c>
      <c r="E1404" s="42"/>
      <c r="F1404" s="88"/>
      <c r="G1404" s="321"/>
      <c r="H1404" s="47" t="s">
        <v>248</v>
      </c>
      <c r="I1404" s="35">
        <f>IF(E1403&lt;&gt;0,E1403,0)</f>
        <v>0</v>
      </c>
      <c r="J1404" s="193"/>
      <c r="K1404" s="194"/>
      <c r="L1404" s="48"/>
      <c r="M1404" s="195">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6"/>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1"/>
      <c r="Q1405" s="191"/>
      <c r="R1405" s="191"/>
      <c r="S1405" s="191"/>
      <c r="T1405" s="191"/>
      <c r="U1405" s="191"/>
      <c r="V1405" s="191"/>
      <c r="W1405" s="53">
        <f>SUM(P1405:U1405)</f>
        <v>0</v>
      </c>
      <c r="X1405" s="54"/>
      <c r="Y1405" s="25"/>
      <c r="Z1405" s="45">
        <v>3</v>
      </c>
      <c r="AA1405" s="46">
        <v>25</v>
      </c>
      <c r="AB1405" s="46">
        <v>36</v>
      </c>
      <c r="AC1405" s="25"/>
      <c r="AD1405" s="25"/>
      <c r="BA1405" s="226"/>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6"/>
    </row>
    <row r="1407" spans="1:53" ht="16.5" thickTop="1" thickBot="1" x14ac:dyDescent="0.3">
      <c r="A1407" s="88"/>
      <c r="B1407" s="55" t="s">
        <v>258</v>
      </c>
      <c r="C1407" s="56">
        <f>SUM(C1401:C1406)+I1400</f>
        <v>0</v>
      </c>
      <c r="D1407" s="31" t="s">
        <v>259</v>
      </c>
      <c r="E1407" s="101" t="str">
        <f>IF(AS1401="Y","DBL",IF(AS1402="Y","TRPL",IF(AS1403="Y","QUAD","")))</f>
        <v/>
      </c>
      <c r="F1407" s="88"/>
      <c r="G1407" s="191"/>
      <c r="H1407" s="57"/>
      <c r="I1407" s="191"/>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6"/>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5"/>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7"/>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7"/>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2"/>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8">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2"/>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8">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2"/>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8">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2"/>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8">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2"/>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8">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2"/>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8">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2"/>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8">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2"/>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8">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2"/>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8">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2"/>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8">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2"/>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8">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2"/>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8">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2"/>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8">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2"/>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8">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2"/>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8">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2"/>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8">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2"/>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8">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2"/>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8">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2"/>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8">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2"/>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8">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2"/>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8">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2"/>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8">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2"/>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8">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2"/>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8">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3"/>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7"/>
    </row>
    <row r="1436" spans="1:53" ht="16.5" thickBot="1" x14ac:dyDescent="0.3">
      <c r="A1436" s="88"/>
      <c r="B1436" s="318" t="s">
        <v>373</v>
      </c>
      <c r="C1436" s="319"/>
      <c r="D1436" s="79"/>
      <c r="E1436" s="80"/>
      <c r="F1436" s="80"/>
      <c r="G1436" s="81"/>
      <c r="H1436" s="191"/>
      <c r="I1436" s="191"/>
      <c r="J1436" s="191"/>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7"/>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5"/>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5" t="s">
        <v>210</v>
      </c>
      <c r="N1440" s="195" t="s">
        <v>211</v>
      </c>
      <c r="O1440" s="195" t="s">
        <v>212</v>
      </c>
      <c r="P1440" s="195" t="s">
        <v>213</v>
      </c>
      <c r="Q1440" s="195" t="s">
        <v>214</v>
      </c>
      <c r="R1440" s="195" t="s">
        <v>215</v>
      </c>
      <c r="S1440" s="195" t="s">
        <v>216</v>
      </c>
      <c r="T1440" s="195" t="s">
        <v>217</v>
      </c>
      <c r="U1440" s="195" t="s">
        <v>218</v>
      </c>
      <c r="V1440" s="195" t="s">
        <v>219</v>
      </c>
      <c r="W1440" s="113" t="s">
        <v>220</v>
      </c>
      <c r="X1440" s="195" t="s">
        <v>221</v>
      </c>
      <c r="Y1440" s="25"/>
      <c r="Z1440" s="25"/>
      <c r="AA1440" s="25"/>
      <c r="AB1440" s="25"/>
      <c r="AC1440" s="25"/>
      <c r="AD1440" s="25"/>
      <c r="BA1440" s="225"/>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5">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5"/>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5">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6"/>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5">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6"/>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5">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6"/>
    </row>
    <row r="1445" spans="1:53" ht="16.5" thickTop="1" thickBot="1" x14ac:dyDescent="0.3">
      <c r="A1445" s="88"/>
      <c r="B1445" s="29" t="s">
        <v>246</v>
      </c>
      <c r="C1445" s="37">
        <v>0</v>
      </c>
      <c r="D1445" s="41" t="s">
        <v>247</v>
      </c>
      <c r="E1445" s="42"/>
      <c r="F1445" s="88"/>
      <c r="G1445" s="321"/>
      <c r="H1445" s="47" t="s">
        <v>248</v>
      </c>
      <c r="I1445" s="35">
        <f>IF(E1444&lt;&gt;0,E1444,0)</f>
        <v>0</v>
      </c>
      <c r="J1445" s="193"/>
      <c r="K1445" s="194"/>
      <c r="L1445" s="48"/>
      <c r="M1445" s="195">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6"/>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1"/>
      <c r="Q1446" s="191"/>
      <c r="R1446" s="191"/>
      <c r="S1446" s="191"/>
      <c r="T1446" s="191"/>
      <c r="U1446" s="191"/>
      <c r="V1446" s="191"/>
      <c r="W1446" s="53">
        <f>SUM(P1446:U1446)</f>
        <v>0</v>
      </c>
      <c r="X1446" s="54"/>
      <c r="Y1446" s="25"/>
      <c r="Z1446" s="45">
        <v>3</v>
      </c>
      <c r="AA1446" s="46">
        <v>25</v>
      </c>
      <c r="AB1446" s="46">
        <v>36</v>
      </c>
      <c r="AC1446" s="25"/>
      <c r="AD1446" s="25"/>
      <c r="BA1446" s="226"/>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6"/>
    </row>
    <row r="1448" spans="1:53" ht="16.5" thickTop="1" thickBot="1" x14ac:dyDescent="0.3">
      <c r="A1448" s="88"/>
      <c r="B1448" s="55" t="s">
        <v>258</v>
      </c>
      <c r="C1448" s="56">
        <f>SUM(C1442:C1447)+I1441</f>
        <v>0</v>
      </c>
      <c r="D1448" s="31" t="s">
        <v>259</v>
      </c>
      <c r="E1448" s="101" t="str">
        <f>IF(AS1442="Y","DBL",IF(AS1443="Y","TRPL",IF(AS1444="Y","QUAD","")))</f>
        <v/>
      </c>
      <c r="F1448" s="88"/>
      <c r="G1448" s="191"/>
      <c r="H1448" s="57"/>
      <c r="I1448" s="191"/>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6"/>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5"/>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7"/>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7"/>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2"/>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8">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2"/>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8">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2"/>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8">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2"/>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8">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2"/>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8">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2"/>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8">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2"/>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8">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2"/>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8">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2"/>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8">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2"/>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8">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2"/>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8">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2"/>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8">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2"/>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8">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2"/>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8">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2"/>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8">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2"/>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8">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2"/>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8">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2"/>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8">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2"/>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8">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2"/>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8">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2"/>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8">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2"/>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8">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2"/>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8">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2"/>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8">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3"/>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7"/>
    </row>
    <row r="1477" spans="1:53" ht="16.5" thickBot="1" x14ac:dyDescent="0.3">
      <c r="A1477" s="88"/>
      <c r="B1477" s="318" t="s">
        <v>375</v>
      </c>
      <c r="C1477" s="319"/>
      <c r="D1477" s="79"/>
      <c r="E1477" s="80"/>
      <c r="F1477" s="80"/>
      <c r="G1477" s="81"/>
      <c r="H1477" s="191"/>
      <c r="I1477" s="191"/>
      <c r="J1477" s="191"/>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7"/>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5"/>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5" t="s">
        <v>210</v>
      </c>
      <c r="N1481" s="195" t="s">
        <v>211</v>
      </c>
      <c r="O1481" s="195" t="s">
        <v>212</v>
      </c>
      <c r="P1481" s="195" t="s">
        <v>213</v>
      </c>
      <c r="Q1481" s="195" t="s">
        <v>214</v>
      </c>
      <c r="R1481" s="195" t="s">
        <v>215</v>
      </c>
      <c r="S1481" s="195" t="s">
        <v>216</v>
      </c>
      <c r="T1481" s="195" t="s">
        <v>217</v>
      </c>
      <c r="U1481" s="195" t="s">
        <v>218</v>
      </c>
      <c r="V1481" s="195" t="s">
        <v>219</v>
      </c>
      <c r="W1481" s="113" t="s">
        <v>220</v>
      </c>
      <c r="X1481" s="195" t="s">
        <v>221</v>
      </c>
      <c r="Y1481" s="25"/>
      <c r="Z1481" s="25"/>
      <c r="AA1481" s="25"/>
      <c r="AB1481" s="25"/>
      <c r="AC1481" s="25"/>
      <c r="AD1481" s="25"/>
      <c r="BA1481" s="225"/>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5">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5"/>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5">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6"/>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5">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6"/>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5">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6"/>
    </row>
    <row r="1486" spans="1:53" ht="16.5" thickTop="1" thickBot="1" x14ac:dyDescent="0.3">
      <c r="A1486" s="88"/>
      <c r="B1486" s="29" t="s">
        <v>246</v>
      </c>
      <c r="C1486" s="37">
        <v>0</v>
      </c>
      <c r="D1486" s="41" t="s">
        <v>247</v>
      </c>
      <c r="E1486" s="42"/>
      <c r="F1486" s="88"/>
      <c r="G1486" s="321"/>
      <c r="H1486" s="47" t="s">
        <v>248</v>
      </c>
      <c r="I1486" s="35">
        <f>IF(E1485&lt;&gt;0,E1485,0)</f>
        <v>0</v>
      </c>
      <c r="J1486" s="193"/>
      <c r="K1486" s="194"/>
      <c r="L1486" s="48"/>
      <c r="M1486" s="195">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6"/>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1"/>
      <c r="Q1487" s="191"/>
      <c r="R1487" s="191"/>
      <c r="S1487" s="191"/>
      <c r="T1487" s="191"/>
      <c r="U1487" s="191"/>
      <c r="V1487" s="191"/>
      <c r="W1487" s="53">
        <f>SUM(P1487:U1487)</f>
        <v>0</v>
      </c>
      <c r="X1487" s="54"/>
      <c r="Y1487" s="25"/>
      <c r="Z1487" s="45">
        <v>3</v>
      </c>
      <c r="AA1487" s="46">
        <v>25</v>
      </c>
      <c r="AB1487" s="46">
        <v>36</v>
      </c>
      <c r="AC1487" s="25"/>
      <c r="AD1487" s="25"/>
      <c r="BA1487" s="226"/>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6"/>
    </row>
    <row r="1489" spans="1:53" ht="16.5" thickTop="1" thickBot="1" x14ac:dyDescent="0.3">
      <c r="A1489" s="88"/>
      <c r="B1489" s="55" t="s">
        <v>258</v>
      </c>
      <c r="C1489" s="56">
        <f>SUM(C1483:C1488)+I1482</f>
        <v>0</v>
      </c>
      <c r="D1489" s="31" t="s">
        <v>259</v>
      </c>
      <c r="E1489" s="101" t="str">
        <f>IF(AS1483="Y","DBL",IF(AS1484="Y","TRPL",IF(AS1485="Y","QUAD","")))</f>
        <v/>
      </c>
      <c r="F1489" s="88"/>
      <c r="G1489" s="191"/>
      <c r="H1489" s="57"/>
      <c r="I1489" s="191"/>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6"/>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5"/>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7"/>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7"/>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2"/>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8">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2"/>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8">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2"/>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8">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2"/>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8">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2"/>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8">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2"/>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8">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2"/>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8">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2"/>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8">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2"/>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8">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2"/>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8">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2"/>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8">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2"/>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8">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2"/>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8">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2"/>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8">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2"/>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8">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2"/>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8">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2"/>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8">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2"/>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8">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2"/>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8">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2"/>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8">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2"/>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8">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2"/>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8">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2"/>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8">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2"/>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8">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3"/>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7"/>
    </row>
    <row r="1518" spans="1:53" ht="16.5" thickBot="1" x14ac:dyDescent="0.3">
      <c r="A1518" s="88"/>
      <c r="B1518" s="318" t="s">
        <v>377</v>
      </c>
      <c r="C1518" s="319"/>
      <c r="D1518" s="79"/>
      <c r="E1518" s="80"/>
      <c r="F1518" s="80"/>
      <c r="G1518" s="81"/>
      <c r="H1518" s="191"/>
      <c r="I1518" s="191"/>
      <c r="J1518" s="191"/>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7"/>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5"/>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5" t="s">
        <v>210</v>
      </c>
      <c r="N1522" s="195" t="s">
        <v>211</v>
      </c>
      <c r="O1522" s="195" t="s">
        <v>212</v>
      </c>
      <c r="P1522" s="195" t="s">
        <v>213</v>
      </c>
      <c r="Q1522" s="195" t="s">
        <v>214</v>
      </c>
      <c r="R1522" s="195" t="s">
        <v>215</v>
      </c>
      <c r="S1522" s="195" t="s">
        <v>216</v>
      </c>
      <c r="T1522" s="195" t="s">
        <v>217</v>
      </c>
      <c r="U1522" s="195" t="s">
        <v>218</v>
      </c>
      <c r="V1522" s="195" t="s">
        <v>219</v>
      </c>
      <c r="W1522" s="113" t="s">
        <v>220</v>
      </c>
      <c r="X1522" s="195" t="s">
        <v>221</v>
      </c>
      <c r="Y1522" s="25"/>
      <c r="Z1522" s="25"/>
      <c r="AA1522" s="25"/>
      <c r="AB1522" s="25"/>
      <c r="AC1522" s="25"/>
      <c r="AD1522" s="25"/>
      <c r="BA1522" s="225"/>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5">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5"/>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5">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6"/>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5">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6"/>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5">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6"/>
    </row>
    <row r="1527" spans="1:53" ht="16.5" thickTop="1" thickBot="1" x14ac:dyDescent="0.3">
      <c r="A1527" s="88"/>
      <c r="B1527" s="29" t="s">
        <v>246</v>
      </c>
      <c r="C1527" s="37">
        <v>0</v>
      </c>
      <c r="D1527" s="41" t="s">
        <v>247</v>
      </c>
      <c r="E1527" s="42"/>
      <c r="F1527" s="88"/>
      <c r="G1527" s="321"/>
      <c r="H1527" s="47" t="s">
        <v>248</v>
      </c>
      <c r="I1527" s="35">
        <f>IF(E1526&lt;&gt;0,E1526,0)</f>
        <v>0</v>
      </c>
      <c r="J1527" s="193"/>
      <c r="K1527" s="194"/>
      <c r="L1527" s="48"/>
      <c r="M1527" s="195">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6"/>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1"/>
      <c r="Q1528" s="191"/>
      <c r="R1528" s="191"/>
      <c r="S1528" s="191"/>
      <c r="T1528" s="191"/>
      <c r="U1528" s="191"/>
      <c r="V1528" s="191"/>
      <c r="W1528" s="53">
        <f>SUM(P1528:U1528)</f>
        <v>0</v>
      </c>
      <c r="X1528" s="54"/>
      <c r="Y1528" s="25"/>
      <c r="Z1528" s="45">
        <v>3</v>
      </c>
      <c r="AA1528" s="46">
        <v>25</v>
      </c>
      <c r="AB1528" s="46">
        <v>36</v>
      </c>
      <c r="AC1528" s="25"/>
      <c r="AD1528" s="25"/>
      <c r="BA1528" s="226"/>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6"/>
    </row>
    <row r="1530" spans="1:53" ht="16.5" thickTop="1" thickBot="1" x14ac:dyDescent="0.3">
      <c r="A1530" s="88"/>
      <c r="B1530" s="55" t="s">
        <v>258</v>
      </c>
      <c r="C1530" s="56">
        <f>SUM(C1524:C1529)+I1523</f>
        <v>0</v>
      </c>
      <c r="D1530" s="31" t="s">
        <v>259</v>
      </c>
      <c r="E1530" s="101" t="str">
        <f>IF(AS1524="Y","DBL",IF(AS1525="Y","TRPL",IF(AS1526="Y","QUAD","")))</f>
        <v/>
      </c>
      <c r="F1530" s="88"/>
      <c r="G1530" s="191"/>
      <c r="H1530" s="57"/>
      <c r="I1530" s="191"/>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6"/>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5"/>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7"/>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7"/>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2"/>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8">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2"/>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8">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2"/>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8">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2"/>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8">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2"/>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8">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2"/>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8">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2"/>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8">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2"/>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8">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2"/>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8">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2"/>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8">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2"/>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8">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2"/>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8">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2"/>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8">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2"/>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8">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2"/>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8">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2"/>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8">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2"/>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8">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2"/>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8">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2"/>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8">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2"/>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8">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2"/>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8">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2"/>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8">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2"/>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8">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2"/>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8">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3"/>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7"/>
    </row>
    <row r="1559" spans="1:53" ht="16.5" thickBot="1" x14ac:dyDescent="0.3">
      <c r="A1559" s="88"/>
      <c r="B1559" s="318" t="s">
        <v>379</v>
      </c>
      <c r="C1559" s="319"/>
      <c r="D1559" s="79"/>
      <c r="E1559" s="80"/>
      <c r="F1559" s="80"/>
      <c r="G1559" s="81"/>
      <c r="H1559" s="191"/>
      <c r="I1559" s="191"/>
      <c r="J1559" s="191"/>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7"/>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5"/>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5" t="s">
        <v>210</v>
      </c>
      <c r="N1563" s="195" t="s">
        <v>211</v>
      </c>
      <c r="O1563" s="195" t="s">
        <v>212</v>
      </c>
      <c r="P1563" s="195" t="s">
        <v>213</v>
      </c>
      <c r="Q1563" s="195" t="s">
        <v>214</v>
      </c>
      <c r="R1563" s="195" t="s">
        <v>215</v>
      </c>
      <c r="S1563" s="195" t="s">
        <v>216</v>
      </c>
      <c r="T1563" s="195" t="s">
        <v>217</v>
      </c>
      <c r="U1563" s="195" t="s">
        <v>218</v>
      </c>
      <c r="V1563" s="195" t="s">
        <v>219</v>
      </c>
      <c r="W1563" s="113" t="s">
        <v>220</v>
      </c>
      <c r="X1563" s="195" t="s">
        <v>221</v>
      </c>
      <c r="Y1563" s="25"/>
      <c r="Z1563" s="25"/>
      <c r="AA1563" s="25"/>
      <c r="AB1563" s="25"/>
      <c r="AC1563" s="25"/>
      <c r="AD1563" s="25"/>
      <c r="BA1563" s="225"/>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5">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5"/>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5">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6"/>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5">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6"/>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5">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6"/>
    </row>
    <row r="1568" spans="1:53" ht="16.5" thickTop="1" thickBot="1" x14ac:dyDescent="0.3">
      <c r="A1568" s="88"/>
      <c r="B1568" s="29" t="s">
        <v>246</v>
      </c>
      <c r="C1568" s="37">
        <v>0</v>
      </c>
      <c r="D1568" s="41" t="s">
        <v>247</v>
      </c>
      <c r="E1568" s="42"/>
      <c r="F1568" s="88"/>
      <c r="G1568" s="321"/>
      <c r="H1568" s="47" t="s">
        <v>248</v>
      </c>
      <c r="I1568" s="35">
        <f>IF(E1567&lt;&gt;0,E1567,0)</f>
        <v>0</v>
      </c>
      <c r="J1568" s="193"/>
      <c r="K1568" s="194"/>
      <c r="L1568" s="48"/>
      <c r="M1568" s="195">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6"/>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1"/>
      <c r="Q1569" s="191"/>
      <c r="R1569" s="191"/>
      <c r="S1569" s="191"/>
      <c r="T1569" s="191"/>
      <c r="U1569" s="191"/>
      <c r="V1569" s="191"/>
      <c r="W1569" s="53">
        <f>SUM(P1569:U1569)</f>
        <v>0</v>
      </c>
      <c r="X1569" s="54"/>
      <c r="Y1569" s="25"/>
      <c r="Z1569" s="45">
        <v>3</v>
      </c>
      <c r="AA1569" s="46">
        <v>25</v>
      </c>
      <c r="AB1569" s="46">
        <v>36</v>
      </c>
      <c r="AC1569" s="25"/>
      <c r="AD1569" s="25"/>
      <c r="BA1569" s="226"/>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6"/>
    </row>
    <row r="1571" spans="1:53" ht="16.5" thickTop="1" thickBot="1" x14ac:dyDescent="0.3">
      <c r="A1571" s="88"/>
      <c r="B1571" s="55" t="s">
        <v>258</v>
      </c>
      <c r="C1571" s="56">
        <f>SUM(C1565:C1570)+I1564</f>
        <v>0</v>
      </c>
      <c r="D1571" s="31" t="s">
        <v>259</v>
      </c>
      <c r="E1571" s="101" t="str">
        <f>IF(AS1565="Y","DBL",IF(AS1566="Y","TRPL",IF(AS1567="Y","QUAD","")))</f>
        <v/>
      </c>
      <c r="F1571" s="88"/>
      <c r="G1571" s="191"/>
      <c r="H1571" s="57"/>
      <c r="I1571" s="191"/>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6"/>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5"/>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7"/>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7"/>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2"/>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8">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2"/>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8">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2"/>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8">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2"/>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8">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2"/>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8">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2"/>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8">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2"/>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8">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2"/>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8">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2"/>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8">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2"/>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8">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2"/>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8">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2"/>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8">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2"/>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8">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2"/>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8">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2"/>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8">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2"/>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8">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2"/>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8">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2"/>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8">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2"/>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8">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2"/>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8">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2"/>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8">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2"/>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8">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2"/>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8">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2"/>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8">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3"/>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7"/>
    </row>
    <row r="1600" spans="1:53" ht="16.5" thickBot="1" x14ac:dyDescent="0.3">
      <c r="A1600" s="88"/>
      <c r="B1600" s="318" t="s">
        <v>381</v>
      </c>
      <c r="C1600" s="319"/>
      <c r="D1600" s="79"/>
      <c r="E1600" s="80"/>
      <c r="F1600" s="80"/>
      <c r="G1600" s="81"/>
      <c r="H1600" s="191"/>
      <c r="I1600" s="191"/>
      <c r="J1600" s="191"/>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7"/>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5"/>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5" t="s">
        <v>210</v>
      </c>
      <c r="N1604" s="195" t="s">
        <v>211</v>
      </c>
      <c r="O1604" s="195" t="s">
        <v>212</v>
      </c>
      <c r="P1604" s="195" t="s">
        <v>213</v>
      </c>
      <c r="Q1604" s="195" t="s">
        <v>214</v>
      </c>
      <c r="R1604" s="195" t="s">
        <v>215</v>
      </c>
      <c r="S1604" s="195" t="s">
        <v>216</v>
      </c>
      <c r="T1604" s="195" t="s">
        <v>217</v>
      </c>
      <c r="U1604" s="195" t="s">
        <v>218</v>
      </c>
      <c r="V1604" s="195" t="s">
        <v>219</v>
      </c>
      <c r="W1604" s="113" t="s">
        <v>220</v>
      </c>
      <c r="X1604" s="195" t="s">
        <v>221</v>
      </c>
      <c r="Y1604" s="25"/>
      <c r="Z1604" s="25"/>
      <c r="AA1604" s="25"/>
      <c r="AB1604" s="25"/>
      <c r="AC1604" s="25"/>
      <c r="AD1604" s="25"/>
      <c r="BA1604" s="225"/>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5">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5"/>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5">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6"/>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5">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6"/>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5">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6"/>
    </row>
    <row r="1609" spans="1:53" ht="16.5" thickTop="1" thickBot="1" x14ac:dyDescent="0.3">
      <c r="A1609" s="88"/>
      <c r="B1609" s="29" t="s">
        <v>246</v>
      </c>
      <c r="C1609" s="37">
        <v>0</v>
      </c>
      <c r="D1609" s="41" t="s">
        <v>247</v>
      </c>
      <c r="E1609" s="42"/>
      <c r="F1609" s="88"/>
      <c r="G1609" s="321"/>
      <c r="H1609" s="47" t="s">
        <v>248</v>
      </c>
      <c r="I1609" s="35">
        <f>IF(E1608&lt;&gt;0,E1608,0)</f>
        <v>0</v>
      </c>
      <c r="J1609" s="193"/>
      <c r="K1609" s="194"/>
      <c r="L1609" s="48"/>
      <c r="M1609" s="195">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6"/>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1"/>
      <c r="Q1610" s="191"/>
      <c r="R1610" s="191"/>
      <c r="S1610" s="191"/>
      <c r="T1610" s="191"/>
      <c r="U1610" s="191"/>
      <c r="V1610" s="191"/>
      <c r="W1610" s="53">
        <f>SUM(P1610:U1610)</f>
        <v>0</v>
      </c>
      <c r="X1610" s="54"/>
      <c r="Y1610" s="25"/>
      <c r="Z1610" s="45">
        <v>3</v>
      </c>
      <c r="AA1610" s="46">
        <v>25</v>
      </c>
      <c r="AB1610" s="46">
        <v>36</v>
      </c>
      <c r="AC1610" s="25"/>
      <c r="AD1610" s="25"/>
      <c r="BA1610" s="226"/>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6"/>
    </row>
    <row r="1612" spans="1:53" ht="16.5" thickTop="1" thickBot="1" x14ac:dyDescent="0.3">
      <c r="A1612" s="88"/>
      <c r="B1612" s="55" t="s">
        <v>258</v>
      </c>
      <c r="C1612" s="56">
        <f>SUM(C1606:C1611)+I1605</f>
        <v>0</v>
      </c>
      <c r="D1612" s="31" t="s">
        <v>259</v>
      </c>
      <c r="E1612" s="101" t="str">
        <f>IF(AS1606="Y","DBL",IF(AS1607="Y","TRPL",IF(AS1608="Y","QUAD","")))</f>
        <v/>
      </c>
      <c r="F1612" s="88"/>
      <c r="G1612" s="191"/>
      <c r="H1612" s="57"/>
      <c r="I1612" s="191"/>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6"/>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5"/>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7"/>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7"/>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2"/>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8">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2"/>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8">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2"/>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8">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2"/>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8">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2"/>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8">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2"/>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8">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2"/>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8">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2"/>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8">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2"/>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8">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2"/>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8">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2"/>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8">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2"/>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8">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2"/>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8">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2"/>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8">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2"/>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8">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2"/>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8">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2"/>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8">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2"/>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8">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2"/>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8">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2"/>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8">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2"/>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8">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2"/>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8">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2"/>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8">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2"/>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8">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3"/>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7"/>
    </row>
    <row r="1641" spans="1:53" ht="16.5" thickBot="1" x14ac:dyDescent="0.3">
      <c r="A1641" s="88"/>
      <c r="B1641" s="318" t="s">
        <v>383</v>
      </c>
      <c r="C1641" s="319"/>
      <c r="D1641" s="79"/>
      <c r="E1641" s="80"/>
      <c r="F1641" s="80"/>
      <c r="G1641" s="81"/>
      <c r="H1641" s="191"/>
      <c r="I1641" s="191"/>
      <c r="J1641" s="191"/>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7"/>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5"/>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5" t="s">
        <v>210</v>
      </c>
      <c r="N1645" s="195" t="s">
        <v>211</v>
      </c>
      <c r="O1645" s="195" t="s">
        <v>212</v>
      </c>
      <c r="P1645" s="195" t="s">
        <v>213</v>
      </c>
      <c r="Q1645" s="195" t="s">
        <v>214</v>
      </c>
      <c r="R1645" s="195" t="s">
        <v>215</v>
      </c>
      <c r="S1645" s="195" t="s">
        <v>216</v>
      </c>
      <c r="T1645" s="195" t="s">
        <v>217</v>
      </c>
      <c r="U1645" s="195" t="s">
        <v>218</v>
      </c>
      <c r="V1645" s="195" t="s">
        <v>219</v>
      </c>
      <c r="W1645" s="113" t="s">
        <v>220</v>
      </c>
      <c r="X1645" s="195" t="s">
        <v>221</v>
      </c>
      <c r="Y1645" s="25"/>
      <c r="Z1645" s="25"/>
      <c r="AA1645" s="25"/>
      <c r="AB1645" s="25"/>
      <c r="AC1645" s="25"/>
      <c r="AD1645" s="25"/>
      <c r="BA1645" s="225"/>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5">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5"/>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5">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6"/>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5">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6"/>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5">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6"/>
    </row>
    <row r="1650" spans="1:53" ht="16.5" thickTop="1" thickBot="1" x14ac:dyDescent="0.3">
      <c r="A1650" s="88"/>
      <c r="B1650" s="29" t="s">
        <v>246</v>
      </c>
      <c r="C1650" s="37">
        <v>0</v>
      </c>
      <c r="D1650" s="41" t="s">
        <v>247</v>
      </c>
      <c r="E1650" s="42"/>
      <c r="F1650" s="88"/>
      <c r="G1650" s="321"/>
      <c r="H1650" s="47" t="s">
        <v>248</v>
      </c>
      <c r="I1650" s="35">
        <f>IF(E1649&lt;&gt;0,E1649,0)</f>
        <v>0</v>
      </c>
      <c r="J1650" s="193"/>
      <c r="K1650" s="194"/>
      <c r="L1650" s="48"/>
      <c r="M1650" s="195">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6"/>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1"/>
      <c r="Q1651" s="191"/>
      <c r="R1651" s="191"/>
      <c r="S1651" s="191"/>
      <c r="T1651" s="191"/>
      <c r="U1651" s="191"/>
      <c r="V1651" s="191"/>
      <c r="W1651" s="53">
        <f>SUM(P1651:U1651)</f>
        <v>0</v>
      </c>
      <c r="X1651" s="54"/>
      <c r="Y1651" s="25"/>
      <c r="Z1651" s="45">
        <v>3</v>
      </c>
      <c r="AA1651" s="46">
        <v>25</v>
      </c>
      <c r="AB1651" s="46">
        <v>36</v>
      </c>
      <c r="AC1651" s="25"/>
      <c r="AD1651" s="25"/>
      <c r="BA1651" s="226"/>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6"/>
    </row>
    <row r="1653" spans="1:53" ht="16.5" thickTop="1" thickBot="1" x14ac:dyDescent="0.3">
      <c r="A1653" s="88"/>
      <c r="B1653" s="55" t="s">
        <v>258</v>
      </c>
      <c r="C1653" s="56">
        <f>SUM(C1647:C1652)+I1646</f>
        <v>0</v>
      </c>
      <c r="D1653" s="31" t="s">
        <v>259</v>
      </c>
      <c r="E1653" s="101" t="str">
        <f>IF(AS1647="Y","DBL",IF(AS1648="Y","TRPL",IF(AS1649="Y","QUAD","")))</f>
        <v/>
      </c>
      <c r="F1653" s="88"/>
      <c r="G1653" s="191"/>
      <c r="H1653" s="57"/>
      <c r="I1653" s="191"/>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6"/>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5"/>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7"/>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7"/>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2"/>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8">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2"/>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8">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2"/>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8">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2"/>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8">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2"/>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8">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2"/>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8">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2"/>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8">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2"/>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8">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2"/>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8">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2"/>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8">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2"/>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8">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2"/>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8">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2"/>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8">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2"/>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8">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2"/>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8">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2"/>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8">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2"/>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8">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2"/>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8">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2"/>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8">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2"/>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8">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2"/>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8">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2"/>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8">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2"/>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8">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2"/>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8">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3"/>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7"/>
    </row>
    <row r="1682" spans="1:53" ht="16.5" thickBot="1" x14ac:dyDescent="0.3">
      <c r="A1682" s="88"/>
      <c r="B1682" s="318" t="s">
        <v>385</v>
      </c>
      <c r="C1682" s="319"/>
      <c r="D1682" s="79"/>
      <c r="E1682" s="80"/>
      <c r="F1682" s="80"/>
      <c r="G1682" s="81"/>
      <c r="H1682" s="191"/>
      <c r="I1682" s="191"/>
      <c r="J1682" s="191"/>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7"/>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5"/>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5" t="s">
        <v>210</v>
      </c>
      <c r="N1686" s="195" t="s">
        <v>211</v>
      </c>
      <c r="O1686" s="195" t="s">
        <v>212</v>
      </c>
      <c r="P1686" s="195" t="s">
        <v>213</v>
      </c>
      <c r="Q1686" s="195" t="s">
        <v>214</v>
      </c>
      <c r="R1686" s="195" t="s">
        <v>215</v>
      </c>
      <c r="S1686" s="195" t="s">
        <v>216</v>
      </c>
      <c r="T1686" s="195" t="s">
        <v>217</v>
      </c>
      <c r="U1686" s="195" t="s">
        <v>218</v>
      </c>
      <c r="V1686" s="195" t="s">
        <v>219</v>
      </c>
      <c r="W1686" s="113" t="s">
        <v>220</v>
      </c>
      <c r="X1686" s="195" t="s">
        <v>221</v>
      </c>
      <c r="Y1686" s="25"/>
      <c r="Z1686" s="25"/>
      <c r="AA1686" s="25"/>
      <c r="AB1686" s="25"/>
      <c r="AC1686" s="25"/>
      <c r="AD1686" s="25"/>
      <c r="BA1686" s="225"/>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5">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5"/>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5">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6"/>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5">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6"/>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5">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6"/>
    </row>
    <row r="1691" spans="1:53" ht="16.5" thickTop="1" thickBot="1" x14ac:dyDescent="0.3">
      <c r="A1691" s="88"/>
      <c r="B1691" s="29" t="s">
        <v>246</v>
      </c>
      <c r="C1691" s="37">
        <v>0</v>
      </c>
      <c r="D1691" s="41" t="s">
        <v>247</v>
      </c>
      <c r="E1691" s="42"/>
      <c r="F1691" s="88"/>
      <c r="G1691" s="321"/>
      <c r="H1691" s="47" t="s">
        <v>248</v>
      </c>
      <c r="I1691" s="35">
        <f>IF(E1690&lt;&gt;0,E1690,0)</f>
        <v>0</v>
      </c>
      <c r="J1691" s="193"/>
      <c r="K1691" s="194"/>
      <c r="L1691" s="48"/>
      <c r="M1691" s="195">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6"/>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1"/>
      <c r="Q1692" s="191"/>
      <c r="R1692" s="191"/>
      <c r="S1692" s="191"/>
      <c r="T1692" s="191"/>
      <c r="U1692" s="191"/>
      <c r="V1692" s="191"/>
      <c r="W1692" s="53">
        <f>SUM(P1692:U1692)</f>
        <v>0</v>
      </c>
      <c r="X1692" s="54"/>
      <c r="Y1692" s="25"/>
      <c r="Z1692" s="45">
        <v>3</v>
      </c>
      <c r="AA1692" s="46">
        <v>25</v>
      </c>
      <c r="AB1692" s="46">
        <v>36</v>
      </c>
      <c r="AC1692" s="25"/>
      <c r="AD1692" s="25"/>
      <c r="BA1692" s="226"/>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6"/>
    </row>
    <row r="1694" spans="1:53" ht="16.5" thickTop="1" thickBot="1" x14ac:dyDescent="0.3">
      <c r="A1694" s="88"/>
      <c r="B1694" s="55" t="s">
        <v>258</v>
      </c>
      <c r="C1694" s="56">
        <f>SUM(C1688:C1693)+I1687</f>
        <v>0</v>
      </c>
      <c r="D1694" s="31" t="s">
        <v>259</v>
      </c>
      <c r="E1694" s="101" t="str">
        <f>IF(AS1688="Y","DBL",IF(AS1689="Y","TRPL",IF(AS1690="Y","QUAD","")))</f>
        <v/>
      </c>
      <c r="F1694" s="88"/>
      <c r="G1694" s="191"/>
      <c r="H1694" s="57"/>
      <c r="I1694" s="191"/>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6"/>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5"/>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7"/>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7"/>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2"/>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8">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2"/>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8">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2"/>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8">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2"/>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8">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2"/>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8">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2"/>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8">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2"/>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8">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2"/>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8">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2"/>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8">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2"/>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8">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2"/>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8">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2"/>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8">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2"/>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8">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2"/>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8">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2"/>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8">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2"/>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8">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2"/>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8">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2"/>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8">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2"/>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8">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2"/>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8">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2"/>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8">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2"/>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8">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2"/>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8">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2"/>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8">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3"/>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7"/>
    </row>
    <row r="1723" spans="1:53" ht="16.5" thickBot="1" x14ac:dyDescent="0.3">
      <c r="A1723" s="88"/>
      <c r="B1723" s="318" t="s">
        <v>387</v>
      </c>
      <c r="C1723" s="319"/>
      <c r="D1723" s="79"/>
      <c r="E1723" s="80"/>
      <c r="F1723" s="80"/>
      <c r="G1723" s="81"/>
      <c r="H1723" s="191"/>
      <c r="I1723" s="191"/>
      <c r="J1723" s="191"/>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7"/>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5"/>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5" t="s">
        <v>210</v>
      </c>
      <c r="N1727" s="195" t="s">
        <v>211</v>
      </c>
      <c r="O1727" s="195" t="s">
        <v>212</v>
      </c>
      <c r="P1727" s="195" t="s">
        <v>213</v>
      </c>
      <c r="Q1727" s="195" t="s">
        <v>214</v>
      </c>
      <c r="R1727" s="195" t="s">
        <v>215</v>
      </c>
      <c r="S1727" s="195" t="s">
        <v>216</v>
      </c>
      <c r="T1727" s="195" t="s">
        <v>217</v>
      </c>
      <c r="U1727" s="195" t="s">
        <v>218</v>
      </c>
      <c r="V1727" s="195" t="s">
        <v>219</v>
      </c>
      <c r="W1727" s="113" t="s">
        <v>220</v>
      </c>
      <c r="X1727" s="195" t="s">
        <v>221</v>
      </c>
      <c r="Y1727" s="25"/>
      <c r="Z1727" s="25"/>
      <c r="AA1727" s="25"/>
      <c r="AB1727" s="25"/>
      <c r="AC1727" s="25"/>
      <c r="AD1727" s="25"/>
      <c r="BA1727" s="225"/>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5">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5"/>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5">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6"/>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5">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6"/>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5">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6"/>
    </row>
    <row r="1732" spans="1:53" ht="16.5" thickTop="1" thickBot="1" x14ac:dyDescent="0.3">
      <c r="A1732" s="88"/>
      <c r="B1732" s="29" t="s">
        <v>246</v>
      </c>
      <c r="C1732" s="37">
        <v>0</v>
      </c>
      <c r="D1732" s="41" t="s">
        <v>247</v>
      </c>
      <c r="E1732" s="42"/>
      <c r="F1732" s="88"/>
      <c r="G1732" s="321"/>
      <c r="H1732" s="47" t="s">
        <v>248</v>
      </c>
      <c r="I1732" s="35">
        <f>IF(E1731&lt;&gt;0,E1731,0)</f>
        <v>0</v>
      </c>
      <c r="J1732" s="193"/>
      <c r="K1732" s="194"/>
      <c r="L1732" s="48"/>
      <c r="M1732" s="195">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6"/>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1"/>
      <c r="Q1733" s="191"/>
      <c r="R1733" s="191"/>
      <c r="S1733" s="191"/>
      <c r="T1733" s="191"/>
      <c r="U1733" s="191"/>
      <c r="V1733" s="191"/>
      <c r="W1733" s="53">
        <f>SUM(P1733:U1733)</f>
        <v>0</v>
      </c>
      <c r="X1733" s="54"/>
      <c r="Y1733" s="25"/>
      <c r="Z1733" s="45">
        <v>3</v>
      </c>
      <c r="AA1733" s="46">
        <v>25</v>
      </c>
      <c r="AB1733" s="46">
        <v>36</v>
      </c>
      <c r="AC1733" s="25"/>
      <c r="AD1733" s="25"/>
      <c r="BA1733" s="226"/>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6"/>
    </row>
    <row r="1735" spans="1:53" ht="16.5" thickTop="1" thickBot="1" x14ac:dyDescent="0.3">
      <c r="A1735" s="88"/>
      <c r="B1735" s="55" t="s">
        <v>258</v>
      </c>
      <c r="C1735" s="56">
        <f>SUM(C1729:C1734)+I1728</f>
        <v>0</v>
      </c>
      <c r="D1735" s="31" t="s">
        <v>259</v>
      </c>
      <c r="E1735" s="101" t="str">
        <f>IF(AS1729="Y","DBL",IF(AS1730="Y","TRPL",IF(AS1731="Y","QUAD","")))</f>
        <v/>
      </c>
      <c r="F1735" s="88"/>
      <c r="G1735" s="191"/>
      <c r="H1735" s="57"/>
      <c r="I1735" s="191"/>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6"/>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5"/>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7"/>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7"/>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2"/>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8">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2"/>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8">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2"/>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8">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2"/>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8">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2"/>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8">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2"/>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8">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2"/>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8">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2"/>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8">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2"/>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8">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2"/>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8">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2"/>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8">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2"/>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8">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2"/>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8">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2"/>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8">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2"/>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8">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2"/>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8">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2"/>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8">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2"/>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8">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2"/>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8">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2"/>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8">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2"/>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8">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2"/>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8">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2"/>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8">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2"/>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8">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3"/>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7"/>
    </row>
    <row r="1764" spans="1:53" ht="16.5" thickBot="1" x14ac:dyDescent="0.3">
      <c r="A1764" s="88"/>
      <c r="B1764" s="318" t="s">
        <v>389</v>
      </c>
      <c r="C1764" s="319"/>
      <c r="D1764" s="79"/>
      <c r="E1764" s="80"/>
      <c r="F1764" s="80"/>
      <c r="G1764" s="81"/>
      <c r="H1764" s="191"/>
      <c r="I1764" s="191"/>
      <c r="J1764" s="191"/>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7"/>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5"/>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5" t="s">
        <v>210</v>
      </c>
      <c r="N1768" s="195" t="s">
        <v>211</v>
      </c>
      <c r="O1768" s="195" t="s">
        <v>212</v>
      </c>
      <c r="P1768" s="195" t="s">
        <v>213</v>
      </c>
      <c r="Q1768" s="195" t="s">
        <v>214</v>
      </c>
      <c r="R1768" s="195" t="s">
        <v>215</v>
      </c>
      <c r="S1768" s="195" t="s">
        <v>216</v>
      </c>
      <c r="T1768" s="195" t="s">
        <v>217</v>
      </c>
      <c r="U1768" s="195" t="s">
        <v>218</v>
      </c>
      <c r="V1768" s="195" t="s">
        <v>219</v>
      </c>
      <c r="W1768" s="113" t="s">
        <v>220</v>
      </c>
      <c r="X1768" s="195" t="s">
        <v>221</v>
      </c>
      <c r="Y1768" s="25"/>
      <c r="Z1768" s="25"/>
      <c r="AA1768" s="25"/>
      <c r="AB1768" s="25"/>
      <c r="AC1768" s="25"/>
      <c r="AD1768" s="25"/>
      <c r="BA1768" s="225"/>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5">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5"/>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5">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6"/>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5">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6"/>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5">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6"/>
    </row>
    <row r="1773" spans="1:53" ht="16.5" thickTop="1" thickBot="1" x14ac:dyDescent="0.3">
      <c r="A1773" s="88"/>
      <c r="B1773" s="29" t="s">
        <v>246</v>
      </c>
      <c r="C1773" s="37">
        <v>0</v>
      </c>
      <c r="D1773" s="41" t="s">
        <v>247</v>
      </c>
      <c r="E1773" s="42"/>
      <c r="F1773" s="88"/>
      <c r="G1773" s="321"/>
      <c r="H1773" s="47" t="s">
        <v>248</v>
      </c>
      <c r="I1773" s="35">
        <f>IF(E1772&lt;&gt;0,E1772,0)</f>
        <v>0</v>
      </c>
      <c r="J1773" s="193"/>
      <c r="K1773" s="194"/>
      <c r="L1773" s="48"/>
      <c r="M1773" s="195">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6"/>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1"/>
      <c r="Q1774" s="191"/>
      <c r="R1774" s="191"/>
      <c r="S1774" s="191"/>
      <c r="T1774" s="191"/>
      <c r="U1774" s="191"/>
      <c r="V1774" s="191"/>
      <c r="W1774" s="53">
        <f>SUM(P1774:U1774)</f>
        <v>0</v>
      </c>
      <c r="X1774" s="54"/>
      <c r="Y1774" s="25"/>
      <c r="Z1774" s="45">
        <v>3</v>
      </c>
      <c r="AA1774" s="46">
        <v>25</v>
      </c>
      <c r="AB1774" s="46">
        <v>36</v>
      </c>
      <c r="AC1774" s="25"/>
      <c r="AD1774" s="25"/>
      <c r="BA1774" s="226"/>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6"/>
    </row>
    <row r="1776" spans="1:53" ht="16.5" thickTop="1" thickBot="1" x14ac:dyDescent="0.3">
      <c r="A1776" s="88"/>
      <c r="B1776" s="55" t="s">
        <v>258</v>
      </c>
      <c r="C1776" s="56">
        <f>SUM(C1770:C1775)+I1769</f>
        <v>0</v>
      </c>
      <c r="D1776" s="31" t="s">
        <v>259</v>
      </c>
      <c r="E1776" s="101" t="str">
        <f>IF(AS1770="Y","DBL",IF(AS1771="Y","TRPL",IF(AS1772="Y","QUAD","")))</f>
        <v/>
      </c>
      <c r="F1776" s="88"/>
      <c r="G1776" s="191"/>
      <c r="H1776" s="57"/>
      <c r="I1776" s="191"/>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6"/>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5"/>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7"/>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7"/>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2"/>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8">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2"/>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8">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2"/>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8">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2"/>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8">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2"/>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8">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2"/>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8">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2"/>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8">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2"/>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8">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2"/>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8">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2"/>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8">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2"/>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8">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2"/>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8">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2"/>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8">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2"/>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8">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2"/>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8">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2"/>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8">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2"/>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8">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2"/>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8">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2"/>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8">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2"/>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8">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2"/>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8">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2"/>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8">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2"/>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8">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2"/>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8">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3"/>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7"/>
    </row>
    <row r="1805" spans="1:53" ht="16.5" thickBot="1" x14ac:dyDescent="0.3">
      <c r="A1805" s="88"/>
      <c r="B1805" s="318" t="s">
        <v>391</v>
      </c>
      <c r="C1805" s="319"/>
      <c r="D1805" s="79"/>
      <c r="E1805" s="80"/>
      <c r="F1805" s="80"/>
      <c r="G1805" s="81"/>
      <c r="H1805" s="191"/>
      <c r="I1805" s="191"/>
      <c r="J1805" s="191"/>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7"/>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5"/>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5" t="s">
        <v>210</v>
      </c>
      <c r="N1809" s="195" t="s">
        <v>211</v>
      </c>
      <c r="O1809" s="195" t="s">
        <v>212</v>
      </c>
      <c r="P1809" s="195" t="s">
        <v>213</v>
      </c>
      <c r="Q1809" s="195" t="s">
        <v>214</v>
      </c>
      <c r="R1809" s="195" t="s">
        <v>215</v>
      </c>
      <c r="S1809" s="195" t="s">
        <v>216</v>
      </c>
      <c r="T1809" s="195" t="s">
        <v>217</v>
      </c>
      <c r="U1809" s="195" t="s">
        <v>218</v>
      </c>
      <c r="V1809" s="195" t="s">
        <v>219</v>
      </c>
      <c r="W1809" s="113" t="s">
        <v>220</v>
      </c>
      <c r="X1809" s="195" t="s">
        <v>221</v>
      </c>
      <c r="Y1809" s="25"/>
      <c r="Z1809" s="25"/>
      <c r="AA1809" s="25"/>
      <c r="AB1809" s="25"/>
      <c r="AC1809" s="25"/>
      <c r="AD1809" s="25"/>
      <c r="BA1809" s="225"/>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5">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5"/>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5">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6"/>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5">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6"/>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5">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6"/>
    </row>
    <row r="1814" spans="1:53" ht="16.5" thickTop="1" thickBot="1" x14ac:dyDescent="0.3">
      <c r="A1814" s="88"/>
      <c r="B1814" s="29" t="s">
        <v>246</v>
      </c>
      <c r="C1814" s="37">
        <v>0</v>
      </c>
      <c r="D1814" s="41" t="s">
        <v>247</v>
      </c>
      <c r="E1814" s="42"/>
      <c r="F1814" s="88"/>
      <c r="G1814" s="321"/>
      <c r="H1814" s="47" t="s">
        <v>248</v>
      </c>
      <c r="I1814" s="35">
        <f>IF(E1813&lt;&gt;0,E1813,0)</f>
        <v>0</v>
      </c>
      <c r="J1814" s="193"/>
      <c r="K1814" s="194"/>
      <c r="L1814" s="48"/>
      <c r="M1814" s="195">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6"/>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1"/>
      <c r="Q1815" s="191"/>
      <c r="R1815" s="191"/>
      <c r="S1815" s="191"/>
      <c r="T1815" s="191"/>
      <c r="U1815" s="191"/>
      <c r="V1815" s="191"/>
      <c r="W1815" s="53">
        <f>SUM(P1815:U1815)</f>
        <v>0</v>
      </c>
      <c r="X1815" s="54"/>
      <c r="Y1815" s="25"/>
      <c r="Z1815" s="45">
        <v>3</v>
      </c>
      <c r="AA1815" s="46">
        <v>25</v>
      </c>
      <c r="AB1815" s="46">
        <v>36</v>
      </c>
      <c r="AC1815" s="25"/>
      <c r="AD1815" s="25"/>
      <c r="BA1815" s="226"/>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6"/>
    </row>
    <row r="1817" spans="1:53" ht="16.5" thickTop="1" thickBot="1" x14ac:dyDescent="0.3">
      <c r="A1817" s="88"/>
      <c r="B1817" s="55" t="s">
        <v>258</v>
      </c>
      <c r="C1817" s="56">
        <f>SUM(C1811:C1816)+I1810</f>
        <v>0</v>
      </c>
      <c r="D1817" s="31" t="s">
        <v>259</v>
      </c>
      <c r="E1817" s="101" t="str">
        <f>IF(AS1811="Y","DBL",IF(AS1812="Y","TRPL",IF(AS1813="Y","QUAD","")))</f>
        <v/>
      </c>
      <c r="F1817" s="88"/>
      <c r="G1817" s="191"/>
      <c r="H1817" s="57"/>
      <c r="I1817" s="191"/>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6"/>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5"/>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7"/>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7"/>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2"/>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8">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2"/>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8">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2"/>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8">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2"/>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8">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2"/>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8">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2"/>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8">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2"/>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8">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2"/>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8">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2"/>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8">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2"/>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8">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2"/>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8">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2"/>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8">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2"/>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8">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2"/>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8">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2"/>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8">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2"/>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8">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2"/>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8">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2"/>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8">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2"/>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8">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2"/>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8">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2"/>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8">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2"/>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8">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2"/>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8">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2"/>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8">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3"/>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7"/>
    </row>
    <row r="1846" spans="1:53" ht="16.5" thickBot="1" x14ac:dyDescent="0.3">
      <c r="A1846" s="88"/>
      <c r="B1846" s="318" t="s">
        <v>393</v>
      </c>
      <c r="C1846" s="319"/>
      <c r="D1846" s="79"/>
      <c r="E1846" s="80"/>
      <c r="F1846" s="80"/>
      <c r="G1846" s="81"/>
      <c r="H1846" s="191"/>
      <c r="I1846" s="191"/>
      <c r="J1846" s="191"/>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7"/>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5"/>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5" t="s">
        <v>210</v>
      </c>
      <c r="N1850" s="195" t="s">
        <v>211</v>
      </c>
      <c r="O1850" s="195" t="s">
        <v>212</v>
      </c>
      <c r="P1850" s="195" t="s">
        <v>213</v>
      </c>
      <c r="Q1850" s="195" t="s">
        <v>214</v>
      </c>
      <c r="R1850" s="195" t="s">
        <v>215</v>
      </c>
      <c r="S1850" s="195" t="s">
        <v>216</v>
      </c>
      <c r="T1850" s="195" t="s">
        <v>217</v>
      </c>
      <c r="U1850" s="195" t="s">
        <v>218</v>
      </c>
      <c r="V1850" s="195" t="s">
        <v>219</v>
      </c>
      <c r="W1850" s="113" t="s">
        <v>220</v>
      </c>
      <c r="X1850" s="195" t="s">
        <v>221</v>
      </c>
      <c r="Y1850" s="25"/>
      <c r="Z1850" s="25"/>
      <c r="AA1850" s="25"/>
      <c r="AB1850" s="25"/>
      <c r="AC1850" s="25"/>
      <c r="AD1850" s="25"/>
      <c r="BA1850" s="225"/>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5">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5"/>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5">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6"/>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5">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6"/>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5">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6"/>
    </row>
    <row r="1855" spans="1:53" ht="16.5" thickTop="1" thickBot="1" x14ac:dyDescent="0.3">
      <c r="A1855" s="88"/>
      <c r="B1855" s="29" t="s">
        <v>246</v>
      </c>
      <c r="C1855" s="37">
        <v>0</v>
      </c>
      <c r="D1855" s="41" t="s">
        <v>247</v>
      </c>
      <c r="E1855" s="42"/>
      <c r="F1855" s="88"/>
      <c r="G1855" s="321"/>
      <c r="H1855" s="47" t="s">
        <v>248</v>
      </c>
      <c r="I1855" s="35">
        <f>IF(E1854&lt;&gt;0,E1854,0)</f>
        <v>0</v>
      </c>
      <c r="J1855" s="193"/>
      <c r="K1855" s="194"/>
      <c r="L1855" s="48"/>
      <c r="M1855" s="195">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6"/>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1"/>
      <c r="Q1856" s="191"/>
      <c r="R1856" s="191"/>
      <c r="S1856" s="191"/>
      <c r="T1856" s="191"/>
      <c r="U1856" s="191"/>
      <c r="V1856" s="191"/>
      <c r="W1856" s="53">
        <f>SUM(P1856:U1856)</f>
        <v>0</v>
      </c>
      <c r="X1856" s="54"/>
      <c r="Y1856" s="25"/>
      <c r="Z1856" s="45">
        <v>3</v>
      </c>
      <c r="AA1856" s="46">
        <v>25</v>
      </c>
      <c r="AB1856" s="46">
        <v>36</v>
      </c>
      <c r="AC1856" s="25"/>
      <c r="AD1856" s="25"/>
      <c r="BA1856" s="226"/>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6"/>
    </row>
    <row r="1858" spans="1:53" ht="16.5" thickTop="1" thickBot="1" x14ac:dyDescent="0.3">
      <c r="A1858" s="88"/>
      <c r="B1858" s="55" t="s">
        <v>258</v>
      </c>
      <c r="C1858" s="56">
        <f>SUM(C1852:C1857)+I1851</f>
        <v>0</v>
      </c>
      <c r="D1858" s="31" t="s">
        <v>259</v>
      </c>
      <c r="E1858" s="101" t="str">
        <f>IF(AS1852="Y","DBL",IF(AS1853="Y","TRPL",IF(AS1854="Y","QUAD","")))</f>
        <v/>
      </c>
      <c r="F1858" s="88"/>
      <c r="G1858" s="191"/>
      <c r="H1858" s="57"/>
      <c r="I1858" s="191"/>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6"/>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5"/>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7"/>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7"/>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2"/>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8">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2"/>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8">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2"/>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8">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2"/>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8">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2"/>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8">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2"/>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8">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2"/>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8">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2"/>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8">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2"/>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8">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2"/>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8">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2"/>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8">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2"/>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8">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2"/>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8">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2"/>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8">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2"/>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8">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2"/>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8">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2"/>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8">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2"/>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8">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2"/>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8">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2"/>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8">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2"/>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8">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2"/>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8">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2"/>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8">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2"/>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8">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3"/>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7"/>
    </row>
    <row r="1887" spans="1:53" ht="16.5" thickBot="1" x14ac:dyDescent="0.3">
      <c r="A1887" s="88"/>
      <c r="B1887" s="318" t="s">
        <v>395</v>
      </c>
      <c r="C1887" s="319"/>
      <c r="D1887" s="79"/>
      <c r="E1887" s="80"/>
      <c r="F1887" s="80"/>
      <c r="G1887" s="81"/>
      <c r="H1887" s="191"/>
      <c r="I1887" s="191"/>
      <c r="J1887" s="191"/>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7"/>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5"/>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5" t="s">
        <v>210</v>
      </c>
      <c r="N1891" s="195" t="s">
        <v>211</v>
      </c>
      <c r="O1891" s="195" t="s">
        <v>212</v>
      </c>
      <c r="P1891" s="195" t="s">
        <v>213</v>
      </c>
      <c r="Q1891" s="195" t="s">
        <v>214</v>
      </c>
      <c r="R1891" s="195" t="s">
        <v>215</v>
      </c>
      <c r="S1891" s="195" t="s">
        <v>216</v>
      </c>
      <c r="T1891" s="195" t="s">
        <v>217</v>
      </c>
      <c r="U1891" s="195" t="s">
        <v>218</v>
      </c>
      <c r="V1891" s="195" t="s">
        <v>219</v>
      </c>
      <c r="W1891" s="113" t="s">
        <v>220</v>
      </c>
      <c r="X1891" s="195" t="s">
        <v>221</v>
      </c>
      <c r="Y1891" s="25"/>
      <c r="Z1891" s="25"/>
      <c r="AA1891" s="25"/>
      <c r="AB1891" s="25"/>
      <c r="AC1891" s="25"/>
      <c r="AD1891" s="25"/>
      <c r="BA1891" s="225"/>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5">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5"/>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5">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6"/>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5">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6"/>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5">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6"/>
    </row>
    <row r="1896" spans="1:53" ht="16.5" thickTop="1" thickBot="1" x14ac:dyDescent="0.3">
      <c r="A1896" s="88"/>
      <c r="B1896" s="29" t="s">
        <v>246</v>
      </c>
      <c r="C1896" s="37">
        <v>0</v>
      </c>
      <c r="D1896" s="41" t="s">
        <v>247</v>
      </c>
      <c r="E1896" s="42"/>
      <c r="F1896" s="88"/>
      <c r="G1896" s="321"/>
      <c r="H1896" s="47" t="s">
        <v>248</v>
      </c>
      <c r="I1896" s="35">
        <f>IF(E1895&lt;&gt;0,E1895,0)</f>
        <v>0</v>
      </c>
      <c r="J1896" s="193"/>
      <c r="K1896" s="194"/>
      <c r="L1896" s="48"/>
      <c r="M1896" s="195">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6"/>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1"/>
      <c r="Q1897" s="191"/>
      <c r="R1897" s="191"/>
      <c r="S1897" s="191"/>
      <c r="T1897" s="191"/>
      <c r="U1897" s="191"/>
      <c r="V1897" s="191"/>
      <c r="W1897" s="53">
        <f>SUM(P1897:U1897)</f>
        <v>0</v>
      </c>
      <c r="X1897" s="54"/>
      <c r="Y1897" s="25"/>
      <c r="Z1897" s="45">
        <v>3</v>
      </c>
      <c r="AA1897" s="46">
        <v>25</v>
      </c>
      <c r="AB1897" s="46">
        <v>36</v>
      </c>
      <c r="AC1897" s="25"/>
      <c r="AD1897" s="25"/>
      <c r="BA1897" s="226"/>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6"/>
    </row>
    <row r="1899" spans="1:53" ht="16.5" thickTop="1" thickBot="1" x14ac:dyDescent="0.3">
      <c r="A1899" s="88"/>
      <c r="B1899" s="55" t="s">
        <v>258</v>
      </c>
      <c r="C1899" s="56">
        <f>SUM(C1893:C1898)+I1892</f>
        <v>0</v>
      </c>
      <c r="D1899" s="31" t="s">
        <v>259</v>
      </c>
      <c r="E1899" s="101" t="str">
        <f>IF(AS1893="Y","DBL",IF(AS1894="Y","TRPL",IF(AS1895="Y","QUAD","")))</f>
        <v/>
      </c>
      <c r="F1899" s="88"/>
      <c r="G1899" s="191"/>
      <c r="H1899" s="57"/>
      <c r="I1899" s="191"/>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6"/>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5"/>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7"/>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7"/>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2"/>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8">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2"/>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8">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2"/>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8">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2"/>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8">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2"/>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8">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2"/>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8">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2"/>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8">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2"/>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8">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2"/>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8">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2"/>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8">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2"/>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8">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2"/>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8">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2"/>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8">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2"/>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8">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2"/>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8">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2"/>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8">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2"/>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8">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2"/>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8">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2"/>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8">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2"/>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8">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2"/>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8">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2"/>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8">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2"/>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8">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2"/>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8">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3"/>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7"/>
    </row>
    <row r="1928" spans="1:53" ht="16.5" thickBot="1" x14ac:dyDescent="0.3">
      <c r="A1928" s="88"/>
      <c r="B1928" s="318" t="s">
        <v>397</v>
      </c>
      <c r="C1928" s="319"/>
      <c r="D1928" s="79"/>
      <c r="E1928" s="80"/>
      <c r="F1928" s="80"/>
      <c r="G1928" s="81"/>
      <c r="H1928" s="191"/>
      <c r="I1928" s="191"/>
      <c r="J1928" s="191"/>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7"/>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5"/>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5" t="s">
        <v>210</v>
      </c>
      <c r="N1932" s="195" t="s">
        <v>211</v>
      </c>
      <c r="O1932" s="195" t="s">
        <v>212</v>
      </c>
      <c r="P1932" s="195" t="s">
        <v>213</v>
      </c>
      <c r="Q1932" s="195" t="s">
        <v>214</v>
      </c>
      <c r="R1932" s="195" t="s">
        <v>215</v>
      </c>
      <c r="S1932" s="195" t="s">
        <v>216</v>
      </c>
      <c r="T1932" s="195" t="s">
        <v>217</v>
      </c>
      <c r="U1932" s="195" t="s">
        <v>218</v>
      </c>
      <c r="V1932" s="195" t="s">
        <v>219</v>
      </c>
      <c r="W1932" s="113" t="s">
        <v>220</v>
      </c>
      <c r="X1932" s="195" t="s">
        <v>221</v>
      </c>
      <c r="Y1932" s="25"/>
      <c r="Z1932" s="25"/>
      <c r="AA1932" s="25"/>
      <c r="AB1932" s="25"/>
      <c r="AC1932" s="25"/>
      <c r="AD1932" s="25"/>
      <c r="BA1932" s="225"/>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5">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5"/>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5">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6"/>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5">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6"/>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5">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6"/>
    </row>
    <row r="1937" spans="1:53" ht="16.5" thickTop="1" thickBot="1" x14ac:dyDescent="0.3">
      <c r="A1937" s="88"/>
      <c r="B1937" s="29" t="s">
        <v>246</v>
      </c>
      <c r="C1937" s="37">
        <v>0</v>
      </c>
      <c r="D1937" s="41" t="s">
        <v>247</v>
      </c>
      <c r="E1937" s="42"/>
      <c r="F1937" s="88"/>
      <c r="G1937" s="321"/>
      <c r="H1937" s="47" t="s">
        <v>248</v>
      </c>
      <c r="I1937" s="35">
        <f>IF(E1936&lt;&gt;0,E1936,0)</f>
        <v>0</v>
      </c>
      <c r="J1937" s="193"/>
      <c r="K1937" s="194"/>
      <c r="L1937" s="48"/>
      <c r="M1937" s="195">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6"/>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1"/>
      <c r="Q1938" s="191"/>
      <c r="R1938" s="191"/>
      <c r="S1938" s="191"/>
      <c r="T1938" s="191"/>
      <c r="U1938" s="191"/>
      <c r="V1938" s="191"/>
      <c r="W1938" s="53">
        <f>SUM(P1938:U1938)</f>
        <v>0</v>
      </c>
      <c r="X1938" s="54"/>
      <c r="Y1938" s="25"/>
      <c r="Z1938" s="45">
        <v>3</v>
      </c>
      <c r="AA1938" s="46">
        <v>25</v>
      </c>
      <c r="AB1938" s="46">
        <v>36</v>
      </c>
      <c r="AC1938" s="25"/>
      <c r="AD1938" s="25"/>
      <c r="BA1938" s="226"/>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6"/>
    </row>
    <row r="1940" spans="1:53" ht="16.5" thickTop="1" thickBot="1" x14ac:dyDescent="0.3">
      <c r="A1940" s="88"/>
      <c r="B1940" s="55" t="s">
        <v>258</v>
      </c>
      <c r="C1940" s="56">
        <f>SUM(C1934:C1939)+I1933</f>
        <v>0</v>
      </c>
      <c r="D1940" s="31" t="s">
        <v>259</v>
      </c>
      <c r="E1940" s="101" t="str">
        <f>IF(AS1934="Y","DBL",IF(AS1935="Y","TRPL",IF(AS1936="Y","QUAD","")))</f>
        <v/>
      </c>
      <c r="F1940" s="88"/>
      <c r="G1940" s="191"/>
      <c r="H1940" s="57"/>
      <c r="I1940" s="191"/>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6"/>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5"/>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7"/>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7"/>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2"/>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8">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2"/>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8">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2"/>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8">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2"/>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8">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2"/>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8">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2"/>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8">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2"/>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8">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2"/>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8">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2"/>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8">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2"/>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8">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2"/>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8">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2"/>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8">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2"/>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8">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2"/>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8">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2"/>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8">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2"/>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8">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2"/>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8">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2"/>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8">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2"/>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8">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2"/>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8">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2"/>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8">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2"/>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8">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2"/>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8">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2"/>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8">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3"/>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7"/>
    </row>
    <row r="1969" spans="1:53" ht="16.5" thickBot="1" x14ac:dyDescent="0.3">
      <c r="A1969" s="88"/>
      <c r="B1969" s="318" t="s">
        <v>399</v>
      </c>
      <c r="C1969" s="319"/>
      <c r="D1969" s="79"/>
      <c r="E1969" s="80"/>
      <c r="F1969" s="80"/>
      <c r="G1969" s="81"/>
      <c r="H1969" s="191"/>
      <c r="I1969" s="191"/>
      <c r="J1969" s="191"/>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7"/>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5"/>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5" t="s">
        <v>210</v>
      </c>
      <c r="N1973" s="195" t="s">
        <v>211</v>
      </c>
      <c r="O1973" s="195" t="s">
        <v>212</v>
      </c>
      <c r="P1973" s="195" t="s">
        <v>213</v>
      </c>
      <c r="Q1973" s="195" t="s">
        <v>214</v>
      </c>
      <c r="R1973" s="195" t="s">
        <v>215</v>
      </c>
      <c r="S1973" s="195" t="s">
        <v>216</v>
      </c>
      <c r="T1973" s="195" t="s">
        <v>217</v>
      </c>
      <c r="U1973" s="195" t="s">
        <v>218</v>
      </c>
      <c r="V1973" s="195" t="s">
        <v>219</v>
      </c>
      <c r="W1973" s="113" t="s">
        <v>220</v>
      </c>
      <c r="X1973" s="195" t="s">
        <v>221</v>
      </c>
      <c r="Y1973" s="25"/>
      <c r="Z1973" s="25"/>
      <c r="AA1973" s="25"/>
      <c r="AB1973" s="25"/>
      <c r="AC1973" s="25"/>
      <c r="AD1973" s="25"/>
      <c r="BA1973" s="225"/>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5">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5"/>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5">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6"/>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5">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6"/>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5">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6"/>
    </row>
    <row r="1978" spans="1:53" ht="16.5" thickTop="1" thickBot="1" x14ac:dyDescent="0.3">
      <c r="A1978" s="88"/>
      <c r="B1978" s="29" t="s">
        <v>246</v>
      </c>
      <c r="C1978" s="37">
        <v>0</v>
      </c>
      <c r="D1978" s="41" t="s">
        <v>247</v>
      </c>
      <c r="E1978" s="42"/>
      <c r="F1978" s="88"/>
      <c r="G1978" s="321"/>
      <c r="H1978" s="47" t="s">
        <v>248</v>
      </c>
      <c r="I1978" s="35">
        <f>IF(E1977&lt;&gt;0,E1977,0)</f>
        <v>0</v>
      </c>
      <c r="J1978" s="193"/>
      <c r="K1978" s="194"/>
      <c r="L1978" s="48"/>
      <c r="M1978" s="195">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6"/>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1"/>
      <c r="Q1979" s="191"/>
      <c r="R1979" s="191"/>
      <c r="S1979" s="191"/>
      <c r="T1979" s="191"/>
      <c r="U1979" s="191"/>
      <c r="V1979" s="191"/>
      <c r="W1979" s="53">
        <f>SUM(P1979:U1979)</f>
        <v>0</v>
      </c>
      <c r="X1979" s="54"/>
      <c r="Y1979" s="25"/>
      <c r="Z1979" s="45">
        <v>3</v>
      </c>
      <c r="AA1979" s="46">
        <v>25</v>
      </c>
      <c r="AB1979" s="46">
        <v>36</v>
      </c>
      <c r="AC1979" s="25"/>
      <c r="AD1979" s="25"/>
      <c r="BA1979" s="226"/>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6"/>
    </row>
    <row r="1981" spans="1:53" ht="16.5" thickTop="1" thickBot="1" x14ac:dyDescent="0.3">
      <c r="A1981" s="88"/>
      <c r="B1981" s="55" t="s">
        <v>258</v>
      </c>
      <c r="C1981" s="56">
        <f>SUM(C1975:C1980)+I1974</f>
        <v>0</v>
      </c>
      <c r="D1981" s="31" t="s">
        <v>259</v>
      </c>
      <c r="E1981" s="101" t="str">
        <f>IF(AS1975="Y","DBL",IF(AS1976="Y","TRPL",IF(AS1977="Y","QUAD","")))</f>
        <v/>
      </c>
      <c r="F1981" s="88"/>
      <c r="G1981" s="191"/>
      <c r="H1981" s="57"/>
      <c r="I1981" s="191"/>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6"/>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5"/>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7"/>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7"/>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2"/>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8">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2"/>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8">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2"/>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8">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2"/>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8">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2"/>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8">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2"/>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8">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2"/>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8">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2"/>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8">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2"/>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8">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2"/>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8">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2"/>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8">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2"/>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8">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2"/>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8">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2"/>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8">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2"/>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8">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2"/>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8">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2"/>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8">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2"/>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8">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2"/>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8">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2"/>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8">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2"/>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8">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2"/>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8">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2"/>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8">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2"/>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8">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3"/>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7"/>
    </row>
    <row r="2010" spans="1:53" ht="16.5" thickBot="1" x14ac:dyDescent="0.3">
      <c r="A2010" s="88"/>
      <c r="B2010" s="318" t="s">
        <v>401</v>
      </c>
      <c r="C2010" s="319"/>
      <c r="D2010" s="79"/>
      <c r="E2010" s="80"/>
      <c r="F2010" s="80"/>
      <c r="G2010" s="81"/>
      <c r="H2010" s="191"/>
      <c r="I2010" s="191"/>
      <c r="J2010" s="191"/>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7"/>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5"/>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5" t="s">
        <v>210</v>
      </c>
      <c r="N2014" s="195" t="s">
        <v>211</v>
      </c>
      <c r="O2014" s="195" t="s">
        <v>212</v>
      </c>
      <c r="P2014" s="195" t="s">
        <v>213</v>
      </c>
      <c r="Q2014" s="195" t="s">
        <v>214</v>
      </c>
      <c r="R2014" s="195" t="s">
        <v>215</v>
      </c>
      <c r="S2014" s="195" t="s">
        <v>216</v>
      </c>
      <c r="T2014" s="195" t="s">
        <v>217</v>
      </c>
      <c r="U2014" s="195" t="s">
        <v>218</v>
      </c>
      <c r="V2014" s="195" t="s">
        <v>219</v>
      </c>
      <c r="W2014" s="113" t="s">
        <v>220</v>
      </c>
      <c r="X2014" s="195" t="s">
        <v>221</v>
      </c>
      <c r="Y2014" s="25"/>
      <c r="Z2014" s="25"/>
      <c r="AA2014" s="25"/>
      <c r="AB2014" s="25"/>
      <c r="AC2014" s="25"/>
      <c r="AD2014" s="25"/>
      <c r="BA2014" s="225"/>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5">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5"/>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5">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6"/>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5">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6"/>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5">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6"/>
    </row>
    <row r="2019" spans="1:53" ht="16.5" thickTop="1" thickBot="1" x14ac:dyDescent="0.3">
      <c r="A2019" s="88"/>
      <c r="B2019" s="29" t="s">
        <v>246</v>
      </c>
      <c r="C2019" s="37">
        <v>0</v>
      </c>
      <c r="D2019" s="41" t="s">
        <v>247</v>
      </c>
      <c r="E2019" s="42"/>
      <c r="F2019" s="88"/>
      <c r="G2019" s="321"/>
      <c r="H2019" s="47" t="s">
        <v>248</v>
      </c>
      <c r="I2019" s="35">
        <f>IF(E2018&lt;&gt;0,E2018,0)</f>
        <v>0</v>
      </c>
      <c r="J2019" s="193"/>
      <c r="K2019" s="194"/>
      <c r="L2019" s="48"/>
      <c r="M2019" s="195">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6"/>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1"/>
      <c r="Q2020" s="191"/>
      <c r="R2020" s="191"/>
      <c r="S2020" s="191"/>
      <c r="T2020" s="191"/>
      <c r="U2020" s="191"/>
      <c r="V2020" s="191"/>
      <c r="W2020" s="53">
        <f>SUM(P2020:U2020)</f>
        <v>0</v>
      </c>
      <c r="X2020" s="54"/>
      <c r="Y2020" s="25"/>
      <c r="Z2020" s="45">
        <v>3</v>
      </c>
      <c r="AA2020" s="46">
        <v>25</v>
      </c>
      <c r="AB2020" s="46">
        <v>36</v>
      </c>
      <c r="AC2020" s="25"/>
      <c r="AD2020" s="25"/>
      <c r="BA2020" s="226"/>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6"/>
    </row>
    <row r="2022" spans="1:53" ht="16.5" thickTop="1" thickBot="1" x14ac:dyDescent="0.3">
      <c r="A2022" s="88"/>
      <c r="B2022" s="55" t="s">
        <v>258</v>
      </c>
      <c r="C2022" s="56">
        <f>SUM(C2016:C2021)+I2015</f>
        <v>0</v>
      </c>
      <c r="D2022" s="31" t="s">
        <v>259</v>
      </c>
      <c r="E2022" s="101" t="str">
        <f>IF(AS2016="Y","DBL",IF(AS2017="Y","TRPL",IF(AS2018="Y","QUAD","")))</f>
        <v/>
      </c>
      <c r="F2022" s="88"/>
      <c r="G2022" s="191"/>
      <c r="H2022" s="57"/>
      <c r="I2022" s="191"/>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6"/>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5"/>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7"/>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7"/>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2"/>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8">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2"/>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8">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2"/>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8">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2"/>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8">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2"/>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8">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2"/>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8">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2"/>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8">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2"/>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8">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2"/>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8">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2"/>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8">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2"/>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8">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2"/>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8">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2"/>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8">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2"/>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8">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2"/>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8">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2"/>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8">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2"/>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8">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2"/>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8">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2"/>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8">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2"/>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8">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2"/>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8">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2"/>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8">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2"/>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8">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2"/>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8">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3"/>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7"/>
    </row>
    <row r="2051" spans="1:53" ht="16.5" thickBot="1" x14ac:dyDescent="0.3">
      <c r="A2051" s="88"/>
      <c r="B2051" s="318" t="s">
        <v>307</v>
      </c>
      <c r="C2051" s="319"/>
      <c r="D2051" s="79"/>
      <c r="E2051" s="80"/>
      <c r="F2051" s="80"/>
      <c r="G2051" s="81"/>
      <c r="H2051" s="191"/>
      <c r="I2051" s="191"/>
      <c r="J2051" s="191"/>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O10" sqref="O10"/>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52034.520000000004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3552.2500000000005</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4644.4800000000005</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6" t="s">
        <v>469</v>
      </c>
      <c r="H1" s="183" t="s">
        <v>470</v>
      </c>
      <c r="I1" s="183" t="s">
        <v>471</v>
      </c>
      <c r="J1" s="187" t="s">
        <v>472</v>
      </c>
      <c r="K1" s="188" t="s">
        <v>473</v>
      </c>
      <c r="L1" s="188" t="s">
        <v>474</v>
      </c>
      <c r="M1" s="207"/>
      <c r="N1" s="180" t="s">
        <v>475</v>
      </c>
      <c r="O1" s="179" t="s">
        <v>476</v>
      </c>
      <c r="P1" s="180" t="s">
        <v>456</v>
      </c>
      <c r="Q1" s="179" t="s">
        <v>89</v>
      </c>
      <c r="R1" s="125" t="s">
        <v>459</v>
      </c>
      <c r="S1" s="1" t="s">
        <v>477</v>
      </c>
      <c r="T1" s="1" t="s">
        <v>478</v>
      </c>
      <c r="Z1" s="1">
        <v>0</v>
      </c>
      <c r="AA1" s="1">
        <v>0</v>
      </c>
      <c r="AB1" s="1">
        <v>0</v>
      </c>
    </row>
    <row r="2" spans="1:29" x14ac:dyDescent="0.25">
      <c r="A2" s="1">
        <v>200008938</v>
      </c>
      <c r="B2" s="1" t="s">
        <v>84</v>
      </c>
      <c r="C2" s="1" t="s">
        <v>479</v>
      </c>
      <c r="D2" s="1">
        <v>112.15</v>
      </c>
      <c r="E2" s="1">
        <f>SUM(G2:L2)</f>
        <v>80</v>
      </c>
      <c r="F2" s="185">
        <f t="shared" ref="F2:F5" si="0">PRODUCT(D2:E2)</f>
        <v>8972</v>
      </c>
      <c r="G2" s="180">
        <f>COUNTIFS('Assignment Tool'!$E$17:$E$2050, "2", 'Assignment Tool'!$F$17:$F$2050, "POLE", 'Assignment Tool'!$C$17:$C$2050, "FST",'Assignment Tool'!$K$17:$K$2050,"")</f>
        <v>0</v>
      </c>
      <c r="H2" s="179">
        <f>COUNTIFS('Assignment Tool'!$E$17:$E$2050, "2",'Assignment Tool'!$F$17:$F$2050,"PED", 'Assignment Tool'!$C$17:$C$2050, "FST",'Assignment Tool'!$K$17:$K$2050,"")</f>
        <v>0</v>
      </c>
      <c r="I2" s="179">
        <f>COUNTIFS('Assignment Tool'!$E$17:$E$2050, "2",'Assignment Tool'!$F$17:$F$2050,"HH", 'Assignment Tool'!$C$17:$C$2050, "FST",'Assignment Tool'!$K$17:$K$2050,"")</f>
        <v>0</v>
      </c>
      <c r="J2" s="180">
        <f>COUNTIFS('Assignment Tool'!$E$17:$E$2050, "4",'Assignment Tool'!$F$17:$F$2050,"POLE", 'Assignment Tool'!$C$17:$C$2050, "FST",'Assignment Tool'!$K$17:$K$2050,"")</f>
        <v>7</v>
      </c>
      <c r="K2" s="179">
        <f>COUNTIFS('Assignment Tool'!$E$17:$E$2050, "4",'Assignment Tool'!$F$17:$F$2050,"PED", 'Assignment Tool'!$C$17:$C$2050, "FST",'Assignment Tool'!$K$17:$K$2050,"")</f>
        <v>0</v>
      </c>
      <c r="L2" s="179">
        <f>COUNTIFS('Assignment Tool'!$E$17:$E$2050, "4",'Assignment Tool'!$F$17:$F$2050,"HH", 'Assignment Tool'!$C$17:$C$2050, "FST",'Assignment Tool'!$K$17:$K$2050,"")</f>
        <v>73</v>
      </c>
      <c r="N2" s="180">
        <f>PRODUCT(SUM(G2,J2),D2)</f>
        <v>785.05000000000007</v>
      </c>
      <c r="O2" s="179">
        <f>PRODUCT(SUM(H2:I2,K2:L2),D2)</f>
        <v>8186.9500000000007</v>
      </c>
      <c r="P2" s="182">
        <f>SUM(N2:N5,F11:F16,F27:F36,F43:F46,F51:F54,N88:N135)</f>
        <v>3552.2500000000005</v>
      </c>
      <c r="Q2" s="181">
        <f>SUM(O2:O5,F17:F26,F37:F42,F47:F50,F55:F58,F60:F67,O88:O135)</f>
        <v>52034.520000000004</v>
      </c>
      <c r="R2" s="126">
        <f>SUM(F69:F71)</f>
        <v>4644.4800000000005</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5">
        <f t="shared" si="0"/>
        <v>0</v>
      </c>
      <c r="G3" s="180">
        <f>COUNTIFS('Assignment Tool'!$E$17:$E$2050, "6", 'Assignment Tool'!$F$17:$F$2050, "POLE", 'Assignment Tool'!$C$17:$C$2050, "FST",'Assignment Tool'!$K$17:$K$2050,"")</f>
        <v>0</v>
      </c>
      <c r="H3" s="179">
        <f>COUNTIFS('Assignment Tool'!$E$17:$E$2050, "6", 'Assignment Tool'!$F$17:$F$2050, "PED", 'Assignment Tool'!$C$17:$C$2050, "FST",'Assignment Tool'!$K$17:$K$2050,"")</f>
        <v>0</v>
      </c>
      <c r="I3" s="179">
        <f>COUNTIFS('Assignment Tool'!$E$17:$E$2050, "6", 'Assignment Tool'!$F$17:$F$2050, "HH", 'Assignment Tool'!$C$17:$C$2050, "FST",'Assignment Tool'!$K$17:$K$2050,"")</f>
        <v>0</v>
      </c>
      <c r="N3" s="180">
        <f>PRODUCT(G3,D3)</f>
        <v>0</v>
      </c>
      <c r="O3" s="179">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14</v>
      </c>
      <c r="F4" s="185">
        <f t="shared" si="0"/>
        <v>2376.7800000000002</v>
      </c>
      <c r="G4" s="180">
        <f>COUNTIFS('Assignment Tool'!$E$17:$E$2050, "8", 'Assignment Tool'!$F$17:$F$2050, "POLE", 'Assignment Tool'!$C$17:$C$2050, "FST",'Assignment Tool'!$K$17:$K$2050,"")</f>
        <v>4</v>
      </c>
      <c r="H4" s="179">
        <f>COUNTIFS('Assignment Tool'!$E$17:$E$2050, "8", 'Assignment Tool'!$F$17:$F$2050, "PED", 'Assignment Tool'!$C$17:$C$2050, "FST",'Assignment Tool'!$K$17:$K$2050,"")</f>
        <v>0</v>
      </c>
      <c r="I4" s="179">
        <f>COUNTIFS('Assignment Tool'!$E$17:$E$2050, "8", 'Assignment Tool'!$F$17:$F$2050, "HH", 'Assignment Tool'!$C$17:$C$2050, "FST",'Assignment Tool'!$K$17:$K$2050,"")</f>
        <v>10</v>
      </c>
      <c r="N4" s="180">
        <f t="shared" ref="N4:N5" si="2">PRODUCT(G4,D4)</f>
        <v>679.08</v>
      </c>
      <c r="O4" s="179">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5">
        <f t="shared" si="0"/>
        <v>0</v>
      </c>
      <c r="G5" s="180">
        <f>COUNTIFS('Assignment Tool'!$E$17:$E$2050, "12", 'Assignment Tool'!$F$17:$F$2050, "POLE", 'Assignment Tool'!$C$17:$C$2050, "FST",'Assignment Tool'!$K$17:$K$2050,"")</f>
        <v>0</v>
      </c>
      <c r="H5" s="179">
        <f>COUNTIFS('Assignment Tool'!$E$17:$E$2050, "12", 'Assignment Tool'!$F$17:$F$2050, "PED", 'Assignment Tool'!$C$17:$C$2050, "FST",'Assignment Tool'!$K$17:$K$2050,"")</f>
        <v>0</v>
      </c>
      <c r="I5" s="179">
        <f>COUNTIFS('Assignment Tool'!$E$17:$E$2050, "12", 'Assignment Tool'!$F$17:$F$2050, "HH", 'Assignment Tool'!$C$17:$C$2050, "FST",'Assignment Tool'!$K$17:$K$2050,"")</f>
        <v>0</v>
      </c>
      <c r="N5" s="180">
        <f t="shared" si="2"/>
        <v>0</v>
      </c>
      <c r="O5" s="179">
        <f t="shared" si="3"/>
        <v>0</v>
      </c>
      <c r="S5" s="1" t="s">
        <v>496</v>
      </c>
      <c r="T5" s="1" t="s">
        <v>497</v>
      </c>
      <c r="U5" s="1" t="s">
        <v>498</v>
      </c>
      <c r="X5" s="1" t="s">
        <v>499</v>
      </c>
      <c r="Y5" s="1">
        <v>6</v>
      </c>
      <c r="AA5" s="1">
        <f t="shared" si="4"/>
        <v>48</v>
      </c>
      <c r="AB5" s="1">
        <v>144</v>
      </c>
      <c r="AC5" s="1">
        <v>200</v>
      </c>
    </row>
    <row r="6" spans="1:29" x14ac:dyDescent="0.25">
      <c r="F6" s="185"/>
      <c r="X6" s="1" t="s">
        <v>500</v>
      </c>
      <c r="Y6" s="1">
        <v>8</v>
      </c>
      <c r="AA6" s="1">
        <f t="shared" si="4"/>
        <v>60</v>
      </c>
      <c r="AB6" s="1">
        <v>216</v>
      </c>
      <c r="AC6" s="1">
        <v>300</v>
      </c>
    </row>
    <row r="7" spans="1:29" x14ac:dyDescent="0.25">
      <c r="F7" s="185"/>
      <c r="X7" s="1" t="s">
        <v>501</v>
      </c>
      <c r="Y7" s="1">
        <v>12</v>
      </c>
      <c r="AA7" s="1">
        <f t="shared" si="4"/>
        <v>72</v>
      </c>
      <c r="AB7" s="1">
        <v>288</v>
      </c>
      <c r="AC7" s="1">
        <v>400</v>
      </c>
    </row>
    <row r="8" spans="1:29" x14ac:dyDescent="0.25">
      <c r="F8" s="185"/>
      <c r="X8" s="1" t="s">
        <v>502</v>
      </c>
      <c r="Y8" s="1">
        <v>24</v>
      </c>
      <c r="AA8" s="1">
        <f t="shared" si="4"/>
        <v>84</v>
      </c>
      <c r="AB8" s="1">
        <v>360</v>
      </c>
      <c r="AC8" s="1">
        <v>500</v>
      </c>
    </row>
    <row r="9" spans="1:29" x14ac:dyDescent="0.25">
      <c r="F9" s="185"/>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0">
        <v>100083495</v>
      </c>
      <c r="B11" s="180"/>
      <c r="C11" s="180" t="s">
        <v>503</v>
      </c>
      <c r="D11" s="1">
        <v>247.18</v>
      </c>
      <c r="E11" s="162">
        <f>'Construction Exempt Material'!B17</f>
        <v>0</v>
      </c>
      <c r="F11" s="180">
        <f>E11*D11</f>
        <v>0</v>
      </c>
      <c r="Q11" s="21"/>
      <c r="R11" s="21"/>
      <c r="Y11" s="1">
        <v>60</v>
      </c>
      <c r="AA11" s="1">
        <f t="shared" si="4"/>
        <v>120</v>
      </c>
      <c r="AB11" s="1">
        <v>864</v>
      </c>
      <c r="AC11" s="1">
        <v>800</v>
      </c>
    </row>
    <row r="12" spans="1:29" x14ac:dyDescent="0.25">
      <c r="A12" s="180">
        <v>100083494</v>
      </c>
      <c r="B12" s="180"/>
      <c r="C12" s="180" t="s">
        <v>504</v>
      </c>
      <c r="D12" s="1">
        <v>215.15</v>
      </c>
      <c r="E12" s="162">
        <f>'Construction Exempt Material'!B18</f>
        <v>2</v>
      </c>
      <c r="F12" s="180">
        <f t="shared" ref="F12:F58" si="5">E12*D12</f>
        <v>430.3</v>
      </c>
      <c r="Q12" s="21"/>
      <c r="R12" s="21"/>
      <c r="Y12" s="1">
        <v>72</v>
      </c>
      <c r="AA12" s="1">
        <f t="shared" si="4"/>
        <v>132</v>
      </c>
      <c r="AC12" s="1">
        <v>900</v>
      </c>
    </row>
    <row r="13" spans="1:29" x14ac:dyDescent="0.25">
      <c r="A13" s="180">
        <v>100083493</v>
      </c>
      <c r="B13" s="180"/>
      <c r="C13" s="180" t="s">
        <v>505</v>
      </c>
      <c r="D13" s="1">
        <v>183.1</v>
      </c>
      <c r="E13" s="162">
        <f>'Construction Exempt Material'!B19</f>
        <v>5</v>
      </c>
      <c r="F13" s="180">
        <f t="shared" si="5"/>
        <v>915.5</v>
      </c>
      <c r="Q13" s="21"/>
      <c r="R13" s="21"/>
      <c r="Y13" s="1">
        <v>84</v>
      </c>
      <c r="AA13" s="1">
        <f t="shared" si="4"/>
        <v>144</v>
      </c>
      <c r="AC13" s="1">
        <v>1000</v>
      </c>
    </row>
    <row r="14" spans="1:29" x14ac:dyDescent="0.25">
      <c r="A14" s="180">
        <v>100089023</v>
      </c>
      <c r="B14" s="180"/>
      <c r="C14" s="180" t="s">
        <v>506</v>
      </c>
      <c r="D14" s="1">
        <v>247.18</v>
      </c>
      <c r="E14" s="162">
        <f>'Construction Exempt Material'!B20</f>
        <v>0</v>
      </c>
      <c r="F14" s="180">
        <f t="shared" si="5"/>
        <v>0</v>
      </c>
      <c r="Q14" s="21"/>
      <c r="R14" s="21"/>
      <c r="Y14" s="1">
        <v>96</v>
      </c>
      <c r="AA14" s="1">
        <f t="shared" si="4"/>
        <v>156</v>
      </c>
    </row>
    <row r="15" spans="1:29" x14ac:dyDescent="0.25">
      <c r="A15" s="180">
        <v>200000002</v>
      </c>
      <c r="B15" s="180"/>
      <c r="C15" s="180" t="s">
        <v>507</v>
      </c>
      <c r="D15" s="1">
        <v>215.15</v>
      </c>
      <c r="E15" s="162">
        <f>'Construction Exempt Material'!B21</f>
        <v>0</v>
      </c>
      <c r="F15" s="180">
        <f t="shared" si="5"/>
        <v>0</v>
      </c>
      <c r="Q15" s="21"/>
      <c r="R15" s="21"/>
      <c r="Y15" s="1">
        <v>108</v>
      </c>
      <c r="AA15" s="1">
        <f t="shared" si="4"/>
        <v>168</v>
      </c>
    </row>
    <row r="16" spans="1:29" x14ac:dyDescent="0.25">
      <c r="A16" s="180">
        <v>200000003</v>
      </c>
      <c r="B16" s="180"/>
      <c r="C16" s="180" t="s">
        <v>508</v>
      </c>
      <c r="D16" s="1">
        <v>183.1</v>
      </c>
      <c r="E16" s="162">
        <f>'Construction Exempt Material'!B22</f>
        <v>0</v>
      </c>
      <c r="F16" s="180">
        <f t="shared" si="5"/>
        <v>0</v>
      </c>
      <c r="Q16" s="21"/>
      <c r="R16" s="21"/>
      <c r="Y16" s="1">
        <v>120</v>
      </c>
      <c r="AA16" s="1">
        <f t="shared" si="4"/>
        <v>180</v>
      </c>
    </row>
    <row r="17" spans="1:27" x14ac:dyDescent="0.25">
      <c r="A17" s="179">
        <v>100083595</v>
      </c>
      <c r="B17" s="179"/>
      <c r="C17" s="179" t="s">
        <v>509</v>
      </c>
      <c r="D17" s="1">
        <v>266.77</v>
      </c>
      <c r="E17" s="162">
        <f>'Construction Exempt Material'!B23</f>
        <v>7</v>
      </c>
      <c r="F17" s="179">
        <f t="shared" si="5"/>
        <v>1867.3899999999999</v>
      </c>
      <c r="Q17" s="21"/>
      <c r="Y17" s="1">
        <v>132</v>
      </c>
      <c r="AA17" s="1">
        <f t="shared" si="4"/>
        <v>192</v>
      </c>
    </row>
    <row r="18" spans="1:27" x14ac:dyDescent="0.25">
      <c r="A18" s="179">
        <v>100083594</v>
      </c>
      <c r="B18" s="179"/>
      <c r="C18" s="179" t="s">
        <v>510</v>
      </c>
      <c r="D18" s="1">
        <v>233.96</v>
      </c>
      <c r="E18" s="162">
        <f>'Construction Exempt Material'!B24</f>
        <v>12</v>
      </c>
      <c r="F18" s="179">
        <f t="shared" si="5"/>
        <v>2807.52</v>
      </c>
      <c r="Q18" s="21"/>
      <c r="Y18" s="1">
        <v>144</v>
      </c>
      <c r="AA18" s="1">
        <f t="shared" si="4"/>
        <v>204</v>
      </c>
    </row>
    <row r="19" spans="1:27" x14ac:dyDescent="0.25">
      <c r="A19" s="179">
        <v>100083593</v>
      </c>
      <c r="B19" s="179"/>
      <c r="C19" s="179" t="s">
        <v>511</v>
      </c>
      <c r="D19" s="1">
        <v>226.44</v>
      </c>
      <c r="E19" s="162">
        <f>'Construction Exempt Material'!B25</f>
        <v>0</v>
      </c>
      <c r="F19" s="179">
        <f t="shared" si="5"/>
        <v>0</v>
      </c>
      <c r="Y19" s="1">
        <v>216</v>
      </c>
      <c r="AA19" s="1">
        <f t="shared" si="4"/>
        <v>216</v>
      </c>
    </row>
    <row r="20" spans="1:27" x14ac:dyDescent="0.25">
      <c r="A20" s="179">
        <v>100083592</v>
      </c>
      <c r="B20" s="179"/>
      <c r="C20" s="179" t="s">
        <v>512</v>
      </c>
      <c r="D20" s="1">
        <v>199.86</v>
      </c>
      <c r="E20" s="162">
        <f>'Construction Exempt Material'!B26</f>
        <v>75</v>
      </c>
      <c r="F20" s="179">
        <f t="shared" si="5"/>
        <v>14989.500000000002</v>
      </c>
      <c r="AA20" s="1">
        <f t="shared" si="4"/>
        <v>228</v>
      </c>
    </row>
    <row r="21" spans="1:27" x14ac:dyDescent="0.25">
      <c r="A21" s="179">
        <v>200008456</v>
      </c>
      <c r="B21" s="179"/>
      <c r="C21" s="179" t="s">
        <v>513</v>
      </c>
      <c r="D21" s="1">
        <v>201.13</v>
      </c>
      <c r="E21" s="162">
        <f>'Construction Exempt Material'!B27</f>
        <v>0</v>
      </c>
      <c r="F21" s="179">
        <f t="shared" si="5"/>
        <v>0</v>
      </c>
      <c r="AA21" s="1">
        <f t="shared" si="4"/>
        <v>240</v>
      </c>
    </row>
    <row r="22" spans="1:27" x14ac:dyDescent="0.25">
      <c r="A22" s="179">
        <v>100089396</v>
      </c>
      <c r="B22" s="179"/>
      <c r="C22" s="179" t="s">
        <v>514</v>
      </c>
      <c r="D22" s="1">
        <v>266.77</v>
      </c>
      <c r="E22" s="162">
        <f>'Construction Exempt Material'!B28</f>
        <v>4</v>
      </c>
      <c r="F22" s="179">
        <f t="shared" si="5"/>
        <v>1067.08</v>
      </c>
      <c r="AA22" s="1">
        <f>12+AA21</f>
        <v>252</v>
      </c>
    </row>
    <row r="23" spans="1:27" x14ac:dyDescent="0.25">
      <c r="A23" s="179">
        <v>100089548</v>
      </c>
      <c r="B23" s="179"/>
      <c r="C23" s="179" t="s">
        <v>515</v>
      </c>
      <c r="D23" s="1">
        <v>233.96</v>
      </c>
      <c r="E23" s="162">
        <f>'Construction Exempt Material'!B29</f>
        <v>0</v>
      </c>
      <c r="F23" s="179">
        <f t="shared" si="5"/>
        <v>0</v>
      </c>
      <c r="AA23" s="1">
        <f>12+AA22</f>
        <v>264</v>
      </c>
    </row>
    <row r="24" spans="1:27" x14ac:dyDescent="0.25">
      <c r="A24" s="179">
        <v>100089397</v>
      </c>
      <c r="B24" s="179"/>
      <c r="C24" s="179" t="s">
        <v>516</v>
      </c>
      <c r="D24" s="1">
        <v>226.44</v>
      </c>
      <c r="E24" s="162">
        <f>'Construction Exempt Material'!B30</f>
        <v>0</v>
      </c>
      <c r="F24" s="179">
        <f t="shared" si="5"/>
        <v>0</v>
      </c>
      <c r="AA24" s="1">
        <f>12+AA23</f>
        <v>276</v>
      </c>
    </row>
    <row r="25" spans="1:27" x14ac:dyDescent="0.25">
      <c r="A25" s="179">
        <v>100089549</v>
      </c>
      <c r="B25" s="179"/>
      <c r="C25" s="179" t="s">
        <v>517</v>
      </c>
      <c r="D25" s="1">
        <v>199.86</v>
      </c>
      <c r="E25" s="162">
        <f>'Construction Exempt Material'!B31</f>
        <v>0</v>
      </c>
      <c r="F25" s="179">
        <f t="shared" si="5"/>
        <v>0</v>
      </c>
    </row>
    <row r="26" spans="1:27" x14ac:dyDescent="0.25">
      <c r="A26" s="179">
        <v>200008455</v>
      </c>
      <c r="B26" s="179"/>
      <c r="C26" s="179" t="s">
        <v>518</v>
      </c>
      <c r="D26" s="1">
        <v>201.13</v>
      </c>
      <c r="E26" s="162">
        <f>'Construction Exempt Material'!B32</f>
        <v>0</v>
      </c>
      <c r="F26" s="179">
        <f t="shared" si="5"/>
        <v>0</v>
      </c>
    </row>
    <row r="27" spans="1:27" x14ac:dyDescent="0.25">
      <c r="A27" s="180">
        <v>200002278</v>
      </c>
      <c r="B27" s="180"/>
      <c r="C27" s="180" t="s">
        <v>519</v>
      </c>
      <c r="D27" s="1">
        <v>323.39</v>
      </c>
      <c r="E27" s="162">
        <f>'Construction Exempt Material'!B33</f>
        <v>0</v>
      </c>
      <c r="F27" s="180">
        <f t="shared" si="5"/>
        <v>0</v>
      </c>
    </row>
    <row r="28" spans="1:27" x14ac:dyDescent="0.25">
      <c r="A28" s="180">
        <v>200002276</v>
      </c>
      <c r="B28" s="180"/>
      <c r="C28" s="180" t="s">
        <v>520</v>
      </c>
      <c r="D28" s="1">
        <v>282.69</v>
      </c>
      <c r="E28" s="162">
        <f>'Construction Exempt Material'!B34</f>
        <v>0</v>
      </c>
      <c r="F28" s="180">
        <f t="shared" si="5"/>
        <v>0</v>
      </c>
    </row>
    <row r="29" spans="1:27" x14ac:dyDescent="0.25">
      <c r="A29" s="180">
        <v>200002273</v>
      </c>
      <c r="B29" s="180"/>
      <c r="C29" s="180" t="s">
        <v>521</v>
      </c>
      <c r="D29" s="1">
        <v>268.75</v>
      </c>
      <c r="E29" s="162">
        <f>'Construction Exempt Material'!B35</f>
        <v>0</v>
      </c>
      <c r="F29" s="180">
        <f t="shared" si="5"/>
        <v>0</v>
      </c>
    </row>
    <row r="30" spans="1:27" x14ac:dyDescent="0.25">
      <c r="A30" s="180">
        <v>200002272</v>
      </c>
      <c r="B30" s="180"/>
      <c r="C30" s="180" t="s">
        <v>522</v>
      </c>
      <c r="D30" s="1">
        <v>242.07</v>
      </c>
      <c r="E30" s="162">
        <f>'Construction Exempt Material'!B36</f>
        <v>0</v>
      </c>
      <c r="F30" s="180">
        <f t="shared" si="5"/>
        <v>0</v>
      </c>
    </row>
    <row r="31" spans="1:27" x14ac:dyDescent="0.25">
      <c r="A31" s="180">
        <v>200008457</v>
      </c>
      <c r="B31" s="180"/>
      <c r="C31" s="180" t="s">
        <v>523</v>
      </c>
      <c r="D31" s="1">
        <v>232.72</v>
      </c>
      <c r="E31" s="162">
        <f>'Construction Exempt Material'!B37</f>
        <v>0</v>
      </c>
      <c r="F31" s="180">
        <f t="shared" si="5"/>
        <v>0</v>
      </c>
    </row>
    <row r="32" spans="1:27" x14ac:dyDescent="0.25">
      <c r="A32" s="180">
        <v>200002284</v>
      </c>
      <c r="B32" s="180"/>
      <c r="C32" s="180" t="s">
        <v>524</v>
      </c>
      <c r="D32" s="1">
        <v>323.39</v>
      </c>
      <c r="E32" s="162">
        <f>'Construction Exempt Material'!B38</f>
        <v>0</v>
      </c>
      <c r="F32" s="180">
        <f t="shared" si="5"/>
        <v>0</v>
      </c>
    </row>
    <row r="33" spans="1:6" x14ac:dyDescent="0.25">
      <c r="A33" s="180">
        <v>200002283</v>
      </c>
      <c r="B33" s="180"/>
      <c r="C33" s="180" t="s">
        <v>525</v>
      </c>
      <c r="D33" s="1">
        <v>282.69</v>
      </c>
      <c r="E33" s="162">
        <f>'Construction Exempt Material'!B39</f>
        <v>0</v>
      </c>
      <c r="F33" s="180">
        <f t="shared" si="5"/>
        <v>0</v>
      </c>
    </row>
    <row r="34" spans="1:6" x14ac:dyDescent="0.25">
      <c r="A34" s="180">
        <v>200002282</v>
      </c>
      <c r="B34" s="180"/>
      <c r="C34" s="180" t="s">
        <v>526</v>
      </c>
      <c r="D34" s="1">
        <v>268.75</v>
      </c>
      <c r="E34" s="162">
        <f>'Construction Exempt Material'!B40</f>
        <v>0</v>
      </c>
      <c r="F34" s="180">
        <f t="shared" si="5"/>
        <v>0</v>
      </c>
    </row>
    <row r="35" spans="1:6" x14ac:dyDescent="0.25">
      <c r="A35" s="180">
        <v>200002279</v>
      </c>
      <c r="B35" s="180"/>
      <c r="C35" s="180" t="s">
        <v>527</v>
      </c>
      <c r="D35" s="1">
        <v>242.07</v>
      </c>
      <c r="E35" s="162">
        <f>'Construction Exempt Material'!B41</f>
        <v>0</v>
      </c>
      <c r="F35" s="180">
        <f t="shared" si="5"/>
        <v>0</v>
      </c>
    </row>
    <row r="36" spans="1:6" x14ac:dyDescent="0.25">
      <c r="A36" s="180">
        <v>200008458</v>
      </c>
      <c r="B36" s="180"/>
      <c r="C36" s="180" t="s">
        <v>528</v>
      </c>
      <c r="D36" s="1">
        <v>232.72</v>
      </c>
      <c r="E36" s="162">
        <f>'Construction Exempt Material'!B42</f>
        <v>0</v>
      </c>
      <c r="F36" s="180">
        <f t="shared" si="5"/>
        <v>0</v>
      </c>
    </row>
    <row r="37" spans="1:6" x14ac:dyDescent="0.25">
      <c r="A37" s="179">
        <v>200002409</v>
      </c>
      <c r="B37" s="179"/>
      <c r="C37" s="179" t="s">
        <v>529</v>
      </c>
      <c r="D37" s="1">
        <v>271.56</v>
      </c>
      <c r="E37" s="162">
        <f>'Construction Exempt Material'!B43</f>
        <v>0</v>
      </c>
      <c r="F37" s="179">
        <f t="shared" si="5"/>
        <v>0</v>
      </c>
    </row>
    <row r="38" spans="1:6" x14ac:dyDescent="0.25">
      <c r="A38" s="179">
        <v>200002407</v>
      </c>
      <c r="B38" s="179"/>
      <c r="C38" s="179" t="s">
        <v>530</v>
      </c>
      <c r="D38" s="1">
        <v>236.35</v>
      </c>
      <c r="E38" s="162">
        <f>'Construction Exempt Material'!B44</f>
        <v>0</v>
      </c>
      <c r="F38" s="179">
        <f t="shared" si="5"/>
        <v>0</v>
      </c>
    </row>
    <row r="39" spans="1:6" x14ac:dyDescent="0.25">
      <c r="A39" s="179">
        <v>200002408</v>
      </c>
      <c r="B39" s="179"/>
      <c r="C39" s="179" t="s">
        <v>531</v>
      </c>
      <c r="D39" s="1">
        <v>201.17</v>
      </c>
      <c r="E39" s="162">
        <f>'Construction Exempt Material'!B45</f>
        <v>0</v>
      </c>
      <c r="F39" s="179">
        <f t="shared" si="5"/>
        <v>0</v>
      </c>
    </row>
    <row r="40" spans="1:6" x14ac:dyDescent="0.25">
      <c r="A40" s="179">
        <v>200002414</v>
      </c>
      <c r="B40" s="179"/>
      <c r="C40" s="179" t="s">
        <v>532</v>
      </c>
      <c r="D40" s="1">
        <v>271.56</v>
      </c>
      <c r="E40" s="162">
        <f>'Construction Exempt Material'!B46</f>
        <v>0</v>
      </c>
      <c r="F40" s="179">
        <f t="shared" si="5"/>
        <v>0</v>
      </c>
    </row>
    <row r="41" spans="1:6" x14ac:dyDescent="0.25">
      <c r="A41" s="179">
        <v>200002404</v>
      </c>
      <c r="B41" s="179"/>
      <c r="C41" s="179" t="s">
        <v>533</v>
      </c>
      <c r="D41" s="1">
        <v>236.35</v>
      </c>
      <c r="E41" s="162">
        <f>'Construction Exempt Material'!B47</f>
        <v>0</v>
      </c>
      <c r="F41" s="179">
        <f t="shared" si="5"/>
        <v>0</v>
      </c>
    </row>
    <row r="42" spans="1:6" x14ac:dyDescent="0.25">
      <c r="A42" s="179">
        <v>200002411</v>
      </c>
      <c r="B42" s="179"/>
      <c r="C42" s="179" t="s">
        <v>534</v>
      </c>
      <c r="D42" s="1">
        <v>201.17</v>
      </c>
      <c r="E42" s="162">
        <f>'Construction Exempt Material'!B48</f>
        <v>0</v>
      </c>
      <c r="F42" s="179">
        <f t="shared" si="5"/>
        <v>0</v>
      </c>
    </row>
    <row r="43" spans="1:6" x14ac:dyDescent="0.25">
      <c r="A43" s="180">
        <v>100088379</v>
      </c>
      <c r="B43" s="180"/>
      <c r="C43" s="180" t="s">
        <v>535</v>
      </c>
      <c r="D43" s="1">
        <v>247.44</v>
      </c>
      <c r="E43" s="162">
        <f>'Construction Exempt Material'!B49</f>
        <v>0</v>
      </c>
      <c r="F43" s="180">
        <f t="shared" si="5"/>
        <v>0</v>
      </c>
    </row>
    <row r="44" spans="1:6" x14ac:dyDescent="0.25">
      <c r="A44" s="180">
        <v>100088380</v>
      </c>
      <c r="B44" s="180"/>
      <c r="C44" s="180" t="s">
        <v>536</v>
      </c>
      <c r="D44" s="1">
        <v>494.87</v>
      </c>
      <c r="E44" s="162">
        <f>'Construction Exempt Material'!B50</f>
        <v>0</v>
      </c>
      <c r="F44" s="180">
        <f t="shared" si="5"/>
        <v>0</v>
      </c>
    </row>
    <row r="45" spans="1:6" x14ac:dyDescent="0.25">
      <c r="A45" s="180">
        <v>200002564</v>
      </c>
      <c r="B45" s="180"/>
      <c r="C45" s="180" t="s">
        <v>537</v>
      </c>
      <c r="D45" s="1">
        <v>742.32</v>
      </c>
      <c r="E45" s="162">
        <f>'Construction Exempt Material'!B51</f>
        <v>1</v>
      </c>
      <c r="F45" s="180">
        <f t="shared" si="5"/>
        <v>742.32</v>
      </c>
    </row>
    <row r="46" spans="1:6" x14ac:dyDescent="0.25">
      <c r="A46" s="180">
        <v>200002567</v>
      </c>
      <c r="B46" s="180"/>
      <c r="C46" s="180" t="s">
        <v>538</v>
      </c>
      <c r="D46" s="1">
        <v>989.75</v>
      </c>
      <c r="E46" s="162">
        <f>'Construction Exempt Material'!B52</f>
        <v>0</v>
      </c>
      <c r="F46" s="180">
        <f t="shared" si="5"/>
        <v>0</v>
      </c>
    </row>
    <row r="47" spans="1:6" x14ac:dyDescent="0.25">
      <c r="A47" s="179">
        <v>100089546</v>
      </c>
      <c r="B47" s="179"/>
      <c r="C47" s="179" t="s">
        <v>539</v>
      </c>
      <c r="D47" s="1">
        <v>266.77</v>
      </c>
      <c r="E47" s="162">
        <f>'Construction Exempt Material'!B53</f>
        <v>1</v>
      </c>
      <c r="F47" s="179">
        <f t="shared" si="5"/>
        <v>266.77</v>
      </c>
    </row>
    <row r="48" spans="1:6" x14ac:dyDescent="0.25">
      <c r="A48" s="179">
        <v>100089547</v>
      </c>
      <c r="B48" s="179"/>
      <c r="C48" s="179" t="s">
        <v>540</v>
      </c>
      <c r="D48" s="1">
        <v>533.53</v>
      </c>
      <c r="E48" s="162">
        <f>'Construction Exempt Material'!B54</f>
        <v>2</v>
      </c>
      <c r="F48" s="179">
        <f t="shared" si="5"/>
        <v>1067.06</v>
      </c>
    </row>
    <row r="49" spans="1:10" x14ac:dyDescent="0.25">
      <c r="A49" s="179">
        <v>200002565</v>
      </c>
      <c r="B49" s="179"/>
      <c r="C49" s="179" t="s">
        <v>541</v>
      </c>
      <c r="D49" s="1">
        <v>804.41</v>
      </c>
      <c r="E49" s="162">
        <f>'Construction Exempt Material'!B55</f>
        <v>1</v>
      </c>
      <c r="F49" s="179">
        <f t="shared" si="5"/>
        <v>804.41</v>
      </c>
    </row>
    <row r="50" spans="1:10" x14ac:dyDescent="0.25">
      <c r="A50" s="179">
        <v>200002568</v>
      </c>
      <c r="B50" s="179"/>
      <c r="C50" s="179" t="s">
        <v>542</v>
      </c>
      <c r="D50" s="1">
        <v>1067.08</v>
      </c>
      <c r="E50" s="162">
        <f>'Construction Exempt Material'!B56</f>
        <v>0</v>
      </c>
      <c r="F50" s="179">
        <f t="shared" si="5"/>
        <v>0</v>
      </c>
    </row>
    <row r="51" spans="1:10" x14ac:dyDescent="0.25">
      <c r="A51" s="180">
        <v>200002285</v>
      </c>
      <c r="B51" s="180"/>
      <c r="C51" s="180" t="s">
        <v>543</v>
      </c>
      <c r="D51" s="1">
        <v>323.39</v>
      </c>
      <c r="E51" s="162">
        <f>'Construction Exempt Material'!B57</f>
        <v>0</v>
      </c>
      <c r="F51" s="180">
        <f t="shared" si="5"/>
        <v>0</v>
      </c>
      <c r="J51" s="1" t="s">
        <v>544</v>
      </c>
    </row>
    <row r="52" spans="1:10" x14ac:dyDescent="0.25">
      <c r="A52" s="180">
        <v>200002286</v>
      </c>
      <c r="B52" s="180"/>
      <c r="C52" s="180" t="s">
        <v>545</v>
      </c>
      <c r="D52" s="1">
        <v>646.77</v>
      </c>
      <c r="E52" s="162">
        <f>'Construction Exempt Material'!B58</f>
        <v>0</v>
      </c>
      <c r="F52" s="180">
        <f t="shared" si="5"/>
        <v>0</v>
      </c>
    </row>
    <row r="53" spans="1:10" x14ac:dyDescent="0.25">
      <c r="A53" s="180">
        <v>200004243</v>
      </c>
      <c r="B53" s="180"/>
      <c r="C53" s="180" t="s">
        <v>546</v>
      </c>
      <c r="D53" s="1">
        <v>970.16</v>
      </c>
      <c r="E53" s="162">
        <f>'Construction Exempt Material'!B59</f>
        <v>0</v>
      </c>
      <c r="F53" s="180">
        <f t="shared" si="5"/>
        <v>0</v>
      </c>
    </row>
    <row r="54" spans="1:10" x14ac:dyDescent="0.25">
      <c r="A54" s="180">
        <v>200004245</v>
      </c>
      <c r="B54" s="180"/>
      <c r="C54" s="180" t="s">
        <v>547</v>
      </c>
      <c r="D54" s="1">
        <v>1293.55</v>
      </c>
      <c r="E54" s="162">
        <f>'Construction Exempt Material'!B60</f>
        <v>0</v>
      </c>
      <c r="F54" s="180">
        <f t="shared" si="5"/>
        <v>0</v>
      </c>
    </row>
    <row r="55" spans="1:10" x14ac:dyDescent="0.25">
      <c r="A55" s="179">
        <v>200002410</v>
      </c>
      <c r="B55" s="179"/>
      <c r="C55" s="179" t="s">
        <v>548</v>
      </c>
      <c r="D55" s="1">
        <v>271.56</v>
      </c>
      <c r="E55" s="162">
        <f>'Construction Exempt Material'!B61</f>
        <v>0</v>
      </c>
      <c r="F55" s="179">
        <f t="shared" si="5"/>
        <v>0</v>
      </c>
    </row>
    <row r="56" spans="1:10" x14ac:dyDescent="0.25">
      <c r="A56" s="179">
        <v>200002412</v>
      </c>
      <c r="B56" s="179"/>
      <c r="C56" s="179" t="s">
        <v>549</v>
      </c>
      <c r="D56" s="1">
        <v>543.11</v>
      </c>
      <c r="E56" s="162">
        <f>'Construction Exempt Material'!B62</f>
        <v>0</v>
      </c>
      <c r="F56" s="179">
        <f t="shared" si="5"/>
        <v>0</v>
      </c>
    </row>
    <row r="57" spans="1:10" x14ac:dyDescent="0.25">
      <c r="A57" s="179">
        <v>200002566</v>
      </c>
      <c r="B57" s="179"/>
      <c r="C57" s="179" t="s">
        <v>550</v>
      </c>
      <c r="D57" s="1">
        <v>814.67</v>
      </c>
      <c r="E57" s="162">
        <f>'Construction Exempt Material'!B63</f>
        <v>0</v>
      </c>
      <c r="F57" s="179">
        <f t="shared" si="5"/>
        <v>0</v>
      </c>
    </row>
    <row r="58" spans="1:10" x14ac:dyDescent="0.25">
      <c r="A58" s="179">
        <v>200002569</v>
      </c>
      <c r="B58" s="179"/>
      <c r="C58" s="179" t="s">
        <v>551</v>
      </c>
      <c r="D58" s="1">
        <v>1086.21</v>
      </c>
      <c r="E58" s="162">
        <f>'Construction Exempt Material'!B64</f>
        <v>0</v>
      </c>
      <c r="F58" s="179">
        <f t="shared" si="5"/>
        <v>0</v>
      </c>
    </row>
    <row r="59" spans="1:10" x14ac:dyDescent="0.25">
      <c r="I59" s="1" t="s">
        <v>552</v>
      </c>
      <c r="J59" s="1" t="s">
        <v>553</v>
      </c>
    </row>
    <row r="60" spans="1:10" x14ac:dyDescent="0.25">
      <c r="A60" s="183">
        <v>100083605</v>
      </c>
      <c r="B60" s="179" t="s">
        <v>91</v>
      </c>
      <c r="C60" s="179" t="s">
        <v>554</v>
      </c>
      <c r="D60" s="1">
        <v>91.63</v>
      </c>
      <c r="E60" s="1">
        <f>SUM(H2,K2,H3:H5)</f>
        <v>0</v>
      </c>
      <c r="F60" s="179">
        <f>E60*D60</f>
        <v>0</v>
      </c>
      <c r="I60" s="1" t="s">
        <v>488</v>
      </c>
      <c r="J60" s="1" t="s">
        <v>488</v>
      </c>
    </row>
    <row r="61" spans="1:10" x14ac:dyDescent="0.25">
      <c r="A61" s="179">
        <v>100006143</v>
      </c>
      <c r="B61" s="179" t="s">
        <v>90</v>
      </c>
      <c r="C61" s="179" t="s">
        <v>555</v>
      </c>
      <c r="D61" s="1">
        <v>24.46</v>
      </c>
      <c r="E61" s="1">
        <f>'Construction Exempt Material'!B10</f>
        <v>0</v>
      </c>
      <c r="F61" s="179">
        <f t="shared" ref="F61:F67" si="6">E61*D61</f>
        <v>0</v>
      </c>
      <c r="G61" s="1">
        <f>SUM(I2:I4,L2,I88:I123,L88:L99,I61:I64)</f>
        <v>83</v>
      </c>
      <c r="I61" s="1">
        <f>COUNTIFS('Assignment Tool'!$C$17:$C$2050,"TCF",'Assignment Tool'!$E$17:$E$2050,"2",'Assignment Tool'!$F$17:$F$2050,"HH")</f>
        <v>0</v>
      </c>
      <c r="J61" s="1">
        <f>COUNTIFS('Assignment Tool'!$C$17:$C$2050,"TCF",'Assignment Tool'!$E$17:$E$2050,"12",'Assignment Tool'!$F$17:$F$2050,"HH")</f>
        <v>0</v>
      </c>
    </row>
    <row r="62" spans="1:10" x14ac:dyDescent="0.25">
      <c r="A62" s="179">
        <v>200001922</v>
      </c>
      <c r="B62" s="179" t="s">
        <v>90</v>
      </c>
      <c r="C62" s="179" t="s">
        <v>556</v>
      </c>
      <c r="D62" s="1">
        <v>143.94</v>
      </c>
      <c r="E62" s="1">
        <f>'Construction Exempt Material'!B11</f>
        <v>75</v>
      </c>
      <c r="F62" s="179">
        <f t="shared" si="6"/>
        <v>10795.5</v>
      </c>
      <c r="I62" s="1">
        <f>COUNTIFS('Assignment Tool'!C$17:C$2050,"TCF",'Assignment Tool'!E$17:E$2050,"4",'Assignment Tool'!F$17:F$2050,"HH")</f>
        <v>0</v>
      </c>
    </row>
    <row r="63" spans="1:10" x14ac:dyDescent="0.25">
      <c r="A63" s="184">
        <v>100035465</v>
      </c>
      <c r="B63" s="179" t="s">
        <v>557</v>
      </c>
      <c r="C63" s="179" t="s">
        <v>558</v>
      </c>
      <c r="D63" s="1">
        <v>493.77</v>
      </c>
      <c r="E63" s="1">
        <f>'Construction Exempt Material'!B13</f>
        <v>12</v>
      </c>
      <c r="F63" s="179">
        <f t="shared" si="6"/>
        <v>5925.24</v>
      </c>
      <c r="I63" s="1">
        <f>COUNTIFS('Assignment Tool'!C$17:C$2050,"TCF",'Assignment Tool'!E$17:E$2050,"6",'Assignment Tool'!F$17:F$2050,"HH")</f>
        <v>0</v>
      </c>
    </row>
    <row r="64" spans="1:10" x14ac:dyDescent="0.25">
      <c r="A64" s="179">
        <v>100081409</v>
      </c>
      <c r="B64" s="179" t="s">
        <v>559</v>
      </c>
      <c r="C64" s="179" t="s">
        <v>560</v>
      </c>
      <c r="D64" s="1">
        <v>639.85</v>
      </c>
      <c r="E64" s="1">
        <f>'Construction Exempt Material'!B15</f>
        <v>4</v>
      </c>
      <c r="F64" s="179">
        <f t="shared" si="6"/>
        <v>2559.4</v>
      </c>
      <c r="I64" s="1">
        <f>COUNTIFS('Assignment Tool'!C$17:C$2050,"TCF",'Assignment Tool'!E$17:E$2050,"8",'Assignment Tool'!F$17:F$2050,"HH")</f>
        <v>0</v>
      </c>
    </row>
    <row r="65" spans="1:16" x14ac:dyDescent="0.25">
      <c r="A65" s="179">
        <v>100006191</v>
      </c>
      <c r="B65" s="179" t="s">
        <v>559</v>
      </c>
      <c r="C65" s="179" t="s">
        <v>561</v>
      </c>
      <c r="D65" s="1">
        <v>654.95000000000005</v>
      </c>
      <c r="E65" s="1">
        <f>'Construction Exempt Material'!B16</f>
        <v>0</v>
      </c>
      <c r="F65" s="179">
        <f t="shared" ref="F65" si="7">E65*D65</f>
        <v>0</v>
      </c>
    </row>
    <row r="66" spans="1:16" x14ac:dyDescent="0.25">
      <c r="A66" s="179">
        <v>100006155</v>
      </c>
      <c r="B66" s="179"/>
      <c r="C66" s="179" t="s">
        <v>562</v>
      </c>
      <c r="D66" s="1">
        <v>87.96</v>
      </c>
      <c r="E66" s="1">
        <f>'Construction Exempt Material'!B12</f>
        <v>0</v>
      </c>
      <c r="F66" s="179">
        <f t="shared" si="6"/>
        <v>0</v>
      </c>
      <c r="G66" s="1">
        <f>SUM(I5,I124:I135,J61)</f>
        <v>0</v>
      </c>
    </row>
    <row r="67" spans="1:16" x14ac:dyDescent="0.25">
      <c r="A67" s="179">
        <v>100006173</v>
      </c>
      <c r="B67" s="179"/>
      <c r="C67" s="179" t="s">
        <v>563</v>
      </c>
      <c r="D67" s="1">
        <v>424.23</v>
      </c>
      <c r="E67" s="1">
        <f>'Construction Exempt Material'!B14</f>
        <v>0</v>
      </c>
      <c r="F67" s="179">
        <f t="shared" si="6"/>
        <v>0</v>
      </c>
    </row>
    <row r="69" spans="1:16" x14ac:dyDescent="0.25">
      <c r="A69" s="1">
        <v>100006143</v>
      </c>
      <c r="B69" s="1" t="s">
        <v>90</v>
      </c>
      <c r="C69" s="1" t="s">
        <v>564</v>
      </c>
      <c r="D69" s="1">
        <v>22.66</v>
      </c>
      <c r="E69" s="1">
        <f>'Construction Exempt Material'!B70</f>
        <v>48</v>
      </c>
      <c r="F69" s="126">
        <f>E69*D69</f>
        <v>1087.68</v>
      </c>
    </row>
    <row r="70" spans="1:16" x14ac:dyDescent="0.25">
      <c r="A70" s="1">
        <v>100069989</v>
      </c>
      <c r="B70" s="1" t="s">
        <v>565</v>
      </c>
      <c r="C70" s="1" t="s">
        <v>566</v>
      </c>
      <c r="D70" s="1">
        <v>0.65</v>
      </c>
      <c r="E70" s="1">
        <f>'Construction Exempt Material'!B69</f>
        <v>5472</v>
      </c>
      <c r="F70" s="126">
        <f>E70*D70</f>
        <v>3556.8</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7" t="s">
        <v>469</v>
      </c>
      <c r="H87" s="207" t="s">
        <v>470</v>
      </c>
      <c r="I87" s="207" t="s">
        <v>471</v>
      </c>
      <c r="J87" s="207" t="s">
        <v>472</v>
      </c>
      <c r="K87" s="207" t="s">
        <v>473</v>
      </c>
      <c r="L87" s="207" t="s">
        <v>474</v>
      </c>
      <c r="M87" s="207"/>
      <c r="N87" s="1" t="s">
        <v>475</v>
      </c>
      <c r="O87" s="1" t="s">
        <v>476</v>
      </c>
    </row>
    <row r="88" spans="1:15" x14ac:dyDescent="0.25">
      <c r="A88" s="1">
        <v>200008960</v>
      </c>
      <c r="B88" s="1" t="s">
        <v>584</v>
      </c>
      <c r="C88" s="1" t="s">
        <v>585</v>
      </c>
      <c r="D88" s="1">
        <v>105.07</v>
      </c>
      <c r="E88" s="1">
        <f>SUM(G88:L88)</f>
        <v>0</v>
      </c>
      <c r="G88" s="180">
        <f>COUNTIFS('Assignment Tool'!$E$17:$E$2050, "2", 'Assignment Tool'!$F$17:$F$2050, "POLE", 'Assignment Tool'!$C$17:$C$2050, "FST",'Assignment Tool'!$K$17:$K$2050,"25")</f>
        <v>0</v>
      </c>
      <c r="H88" s="179">
        <f>COUNTIFS('Assignment Tool'!$E$17:$E$2050, "2",'Assignment Tool'!$F$17:$F$2050,"PED", 'Assignment Tool'!$C$17:$C$2050, "FST",'Assignment Tool'!$K$17:$K$2050,"25")</f>
        <v>0</v>
      </c>
      <c r="I88" s="179">
        <f>COUNTIFS('Assignment Tool'!$E$17:$E$2050, "2",'Assignment Tool'!$F$17:$F$2050,"HH", 'Assignment Tool'!$C$17:$C$2050, "FST",'Assignment Tool'!$K$17:$K$2050,"25")</f>
        <v>0</v>
      </c>
      <c r="J88" s="180">
        <f>COUNTIFS('Assignment Tool'!$E$17:$E$2050, "4",'Assignment Tool'!$F$17:$F$2050,"POLE", 'Assignment Tool'!$C$17:$C$2050, "FST",'Assignment Tool'!$K$17:$K$2050,"25")</f>
        <v>0</v>
      </c>
      <c r="K88" s="179">
        <f>COUNTIFS('Assignment Tool'!$E$17:$E$2050, "4",'Assignment Tool'!$F$17:$F$2050,"PED", 'Assignment Tool'!$C$17:$C$2050, "FST",'Assignment Tool'!$K$17:$K$2050,"25")</f>
        <v>0</v>
      </c>
      <c r="L88" s="179">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0">
        <f>COUNTIFS('Assignment Tool'!$E$17:$E$2050, "2", 'Assignment Tool'!$F$17:$F$2050, "POLE", 'Assignment Tool'!$C$17:$C$2050, "FST",'Assignment Tool'!$K$17:$K$2050,"50")</f>
        <v>0</v>
      </c>
      <c r="H89" s="179">
        <f>COUNTIFS('Assignment Tool'!$E$17:$E$2050, "2",'Assignment Tool'!$F$17:$F$2050,"PED", 'Assignment Tool'!$C$17:$C$2050, "FST",'Assignment Tool'!$K$17:$K$2050,"50")</f>
        <v>0</v>
      </c>
      <c r="I89" s="179">
        <f>COUNTIFS('Assignment Tool'!$E$17:$E$2050, "2",'Assignment Tool'!$F$17:$F$2050,"HH", 'Assignment Tool'!$C$17:$C$2050, "FST",'Assignment Tool'!$K$17:$K$2050,"50")</f>
        <v>0</v>
      </c>
      <c r="J89" s="180">
        <f>COUNTIFS('Assignment Tool'!$E$17:$E$2050, "4",'Assignment Tool'!$F$17:$F$2050,"POLE", 'Assignment Tool'!$C$17:$C$2050, "FST",'Assignment Tool'!$K$17:$K$2050,"50")</f>
        <v>0</v>
      </c>
      <c r="K89" s="179">
        <f>COUNTIFS('Assignment Tool'!$E$17:$E$2050, "4",'Assignment Tool'!$F$17:$F$2050,"PED", 'Assignment Tool'!$C$17:$C$2050, "FST",'Assignment Tool'!$K$17:$K$2050,"50")</f>
        <v>0</v>
      </c>
      <c r="L89" s="179">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0">
        <f>COUNTIFS('Assignment Tool'!$E$17:$E$2050, "2", 'Assignment Tool'!$F$17:$F$2050, "POLE", 'Assignment Tool'!$C$17:$C$2050, "FST",'Assignment Tool'!$K$17:$K$2050,"100")</f>
        <v>0</v>
      </c>
      <c r="H90" s="179">
        <f>COUNTIFS('Assignment Tool'!$E$17:$E$2050, "2",'Assignment Tool'!$F$17:$F$2050,"PED", 'Assignment Tool'!$C$17:$C$2050, "FST",'Assignment Tool'!$K$17:$K$2050,"100")</f>
        <v>0</v>
      </c>
      <c r="I90" s="179">
        <f>COUNTIFS('Assignment Tool'!$E$17:$E$2050, "2",'Assignment Tool'!$F$17:$F$2050,"HH", 'Assignment Tool'!$C$17:$C$2050, "FST",'Assignment Tool'!$K$17:$K$2050,"100")</f>
        <v>0</v>
      </c>
      <c r="J90" s="180">
        <f>COUNTIFS('Assignment Tool'!$E$17:$E$2050, "4",'Assignment Tool'!$F$17:$F$2050,"POLE", 'Assignment Tool'!$C$17:$C$2050, "FST",'Assignment Tool'!$K$17:$K$2050,"100")</f>
        <v>0</v>
      </c>
      <c r="K90" s="179">
        <f>COUNTIFS('Assignment Tool'!$E$17:$E$2050, "4",'Assignment Tool'!$F$17:$F$2050,"PED", 'Assignment Tool'!$C$17:$C$2050, "FST",'Assignment Tool'!$K$17:$K$2050,"100")</f>
        <v>0</v>
      </c>
      <c r="L90" s="179">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0">
        <f>COUNTIFS('Assignment Tool'!$E$17:$E$2050, "2", 'Assignment Tool'!$F$17:$F$2050, "POLE", 'Assignment Tool'!$C$17:$C$2050, "FST",'Assignment Tool'!$K$17:$K$2050,"200")</f>
        <v>0</v>
      </c>
      <c r="H91" s="179">
        <f>COUNTIFS('Assignment Tool'!$E$17:$E$2050, "2",'Assignment Tool'!$F$17:$F$2050,"PED", 'Assignment Tool'!$C$17:$C$2050, "FST",'Assignment Tool'!$K$17:$K$2050,"200")</f>
        <v>0</v>
      </c>
      <c r="I91" s="179">
        <f>COUNTIFS('Assignment Tool'!$E$17:$E$2050, "2",'Assignment Tool'!$F$17:$F$2050,"HH", 'Assignment Tool'!$C$17:$C$2050, "FST",'Assignment Tool'!$K$17:$K$2050,"200")</f>
        <v>0</v>
      </c>
      <c r="J91" s="180">
        <f>COUNTIFS('Assignment Tool'!$E$17:$E$2050, "4",'Assignment Tool'!$F$17:$F$2050,"POLE", 'Assignment Tool'!$C$17:$C$2050, "FST",'Assignment Tool'!$K$17:$K$2050,"200")</f>
        <v>0</v>
      </c>
      <c r="K91" s="179">
        <f>COUNTIFS('Assignment Tool'!$E$17:$E$2050, "4",'Assignment Tool'!$F$17:$F$2050,"PED", 'Assignment Tool'!$C$17:$C$2050, "FST",'Assignment Tool'!$K$17:$K$2050,"200")</f>
        <v>0</v>
      </c>
      <c r="L91" s="179">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0">
        <f>COUNTIFS('Assignment Tool'!$E$17:$E$2050, "2", 'Assignment Tool'!$F$17:$F$2050, "POLE", 'Assignment Tool'!$C$17:$C$2050, "FST",'Assignment Tool'!$K$17:$K$2050,"300")</f>
        <v>0</v>
      </c>
      <c r="H92" s="179">
        <f>COUNTIFS('Assignment Tool'!$E$17:$E$2050, "2",'Assignment Tool'!$F$17:$F$2050,"PED", 'Assignment Tool'!$C$17:$C$2050, "FST",'Assignment Tool'!$K$17:$K$2050,"300")</f>
        <v>0</v>
      </c>
      <c r="I92" s="179">
        <f>COUNTIFS('Assignment Tool'!$E$17:$E$2050, "2",'Assignment Tool'!$F$17:$F$2050,"HH", 'Assignment Tool'!$C$17:$C$2050, "FST",'Assignment Tool'!$K$17:$K$2050,"300")</f>
        <v>0</v>
      </c>
      <c r="J92" s="180">
        <f>COUNTIFS('Assignment Tool'!$E$17:$E$2050, "4",'Assignment Tool'!$F$17:$F$2050,"POLE", 'Assignment Tool'!$C$17:$C$2050, "FST",'Assignment Tool'!$K$17:$K$2050,"300")</f>
        <v>0</v>
      </c>
      <c r="K92" s="179">
        <f>COUNTIFS('Assignment Tool'!$E$17:$E$2050, "4",'Assignment Tool'!$F$17:$F$2050,"PED", 'Assignment Tool'!$C$17:$C$2050, "FST",'Assignment Tool'!$K$17:$K$2050,"300")</f>
        <v>0</v>
      </c>
      <c r="L92" s="179">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0">
        <f>COUNTIFS('Assignment Tool'!$E$17:$E$2050, "2", 'Assignment Tool'!$F$17:$F$2050, "POLE", 'Assignment Tool'!$C$17:$C$2050, "FST",'Assignment Tool'!$K$17:$K$2050,"400")</f>
        <v>0</v>
      </c>
      <c r="H93" s="179">
        <f>COUNTIFS('Assignment Tool'!$E$17:$E$2050, "2",'Assignment Tool'!$F$17:$F$2050,"PED", 'Assignment Tool'!$C$17:$C$2050, "FST",'Assignment Tool'!$K$17:$K$2050,"400")</f>
        <v>0</v>
      </c>
      <c r="I93" s="179">
        <f>COUNTIFS('Assignment Tool'!$E$17:$E$2050, "2",'Assignment Tool'!$F$17:$F$2050,"HH", 'Assignment Tool'!$C$17:$C$2050, "FST",'Assignment Tool'!$K$17:$K$2050,"400")</f>
        <v>0</v>
      </c>
      <c r="J93" s="180">
        <f>COUNTIFS('Assignment Tool'!$E$17:$E$2050, "4",'Assignment Tool'!$F$17:$F$2050,"POLE", 'Assignment Tool'!$C$17:$C$2050, "FST",'Assignment Tool'!$K$17:$K$2050,"400")</f>
        <v>0</v>
      </c>
      <c r="K93" s="179">
        <f>COUNTIFS('Assignment Tool'!$E$17:$E$2050, "4",'Assignment Tool'!$F$17:$F$2050,"PED", 'Assignment Tool'!$C$17:$C$2050, "FST",'Assignment Tool'!$K$17:$K$2050,"400")</f>
        <v>0</v>
      </c>
      <c r="L93" s="179">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0">
        <f>COUNTIFS('Assignment Tool'!$E$17:$E$2050, "2", 'Assignment Tool'!$F$17:$F$2050, "POLE", 'Assignment Tool'!$C$17:$C$2050, "FST",'Assignment Tool'!$K$17:$K$2050,"500")</f>
        <v>0</v>
      </c>
      <c r="H94" s="179">
        <f>COUNTIFS('Assignment Tool'!$E$17:$E$2050, "2",'Assignment Tool'!$F$17:$F$2050,"PED", 'Assignment Tool'!$C$17:$C$2050, "FST",'Assignment Tool'!$K$17:$K$2050,"500")</f>
        <v>0</v>
      </c>
      <c r="I94" s="179">
        <f>COUNTIFS('Assignment Tool'!$E$17:$E$2050, "2",'Assignment Tool'!$F$17:$F$2050,"HH", 'Assignment Tool'!$C$17:$C$2050, "FST",'Assignment Tool'!$K$17:$K$2050,"500")</f>
        <v>0</v>
      </c>
      <c r="J94" s="180">
        <f>COUNTIFS('Assignment Tool'!$E$17:$E$2050, "4",'Assignment Tool'!$F$17:$F$2050,"POLE", 'Assignment Tool'!$C$17:$C$2050, "FST",'Assignment Tool'!$K$17:$K$2050,"500")</f>
        <v>0</v>
      </c>
      <c r="K94" s="179">
        <f>COUNTIFS('Assignment Tool'!$E$17:$E$2050, "4",'Assignment Tool'!$F$17:$F$2050,"PED", 'Assignment Tool'!$C$17:$C$2050, "FST",'Assignment Tool'!$K$17:$K$2050,"500")</f>
        <v>0</v>
      </c>
      <c r="L94" s="179">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0">
        <f>COUNTIFS('Assignment Tool'!$E$17:$E$2050, "2", 'Assignment Tool'!$F$17:$F$2050, "POLE", 'Assignment Tool'!$C$17:$C$2050, "FST",'Assignment Tool'!$K$17:$K$2050,"600")</f>
        <v>0</v>
      </c>
      <c r="H95" s="179">
        <f>COUNTIFS('Assignment Tool'!$E$17:$E$2050, "2",'Assignment Tool'!$F$17:$F$2050,"PED", 'Assignment Tool'!$C$17:$C$2050, "FST",'Assignment Tool'!$K$17:$K$2050,"600")</f>
        <v>0</v>
      </c>
      <c r="I95" s="179">
        <f>COUNTIFS('Assignment Tool'!$E$17:$E$2050, "2",'Assignment Tool'!$F$17:$F$2050,"HH", 'Assignment Tool'!$C$17:$C$2050, "FST",'Assignment Tool'!$K$17:$K$2050,"600")</f>
        <v>0</v>
      </c>
      <c r="J95" s="180">
        <f>COUNTIFS('Assignment Tool'!$E$17:$E$2050, "4",'Assignment Tool'!$F$17:$F$2050,"POLE", 'Assignment Tool'!$C$17:$C$2050, "FST",'Assignment Tool'!$K$17:$K$2050,"600")</f>
        <v>0</v>
      </c>
      <c r="K95" s="179">
        <f>COUNTIFS('Assignment Tool'!$E$17:$E$2050, "4",'Assignment Tool'!$F$17:$F$2050,"PED", 'Assignment Tool'!$C$17:$C$2050, "FST",'Assignment Tool'!$K$17:$K$2050,"600")</f>
        <v>0</v>
      </c>
      <c r="L95" s="179">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0">
        <f>COUNTIFS('Assignment Tool'!$E$17:$E$2050, "2", 'Assignment Tool'!$F$17:$F$2050, "POLE", 'Assignment Tool'!$C$17:$C$2050, "FST",'Assignment Tool'!$K$17:$K$2050,"700")</f>
        <v>0</v>
      </c>
      <c r="H96" s="179">
        <f>COUNTIFS('Assignment Tool'!$E$17:$E$2050, "2",'Assignment Tool'!$F$17:$F$2050,"PED", 'Assignment Tool'!$C$17:$C$2050, "FST",'Assignment Tool'!$K$17:$K$2050,"700")</f>
        <v>0</v>
      </c>
      <c r="I96" s="179">
        <f>COUNTIFS('Assignment Tool'!$E$17:$E$2050, "2",'Assignment Tool'!$F$17:$F$2050,"HH", 'Assignment Tool'!$C$17:$C$2050, "FST",'Assignment Tool'!$K$17:$K$2050,"700")</f>
        <v>0</v>
      </c>
      <c r="J96" s="180">
        <f>COUNTIFS('Assignment Tool'!$E$17:$E$2050, "4",'Assignment Tool'!$F$17:$F$2050,"POLE", 'Assignment Tool'!$C$17:$C$2050, "FST",'Assignment Tool'!$K$17:$K$2050,"700")</f>
        <v>0</v>
      </c>
      <c r="K96" s="179">
        <f>COUNTIFS('Assignment Tool'!$E$17:$E$2050, "4",'Assignment Tool'!$F$17:$F$2050,"PED", 'Assignment Tool'!$C$17:$C$2050, "FST",'Assignment Tool'!$K$17:$K$2050,"700")</f>
        <v>0</v>
      </c>
      <c r="L96" s="179">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0">
        <f>COUNTIFS('Assignment Tool'!$E$17:$E$2050, "2", 'Assignment Tool'!$F$17:$F$2050, "POLE", 'Assignment Tool'!$C$17:$C$2050, "FST",'Assignment Tool'!$K$17:$K$2050,"800")</f>
        <v>0</v>
      </c>
      <c r="H97" s="179">
        <f>COUNTIFS('Assignment Tool'!$E$17:$E$2050, "2",'Assignment Tool'!$F$17:$F$2050,"PED", 'Assignment Tool'!$C$17:$C$2050, "FST",'Assignment Tool'!$K$17:$K$2050,"800")</f>
        <v>0</v>
      </c>
      <c r="I97" s="179">
        <f>COUNTIFS('Assignment Tool'!$E$17:$E$2050, "2",'Assignment Tool'!$F$17:$F$2050,"HH", 'Assignment Tool'!$C$17:$C$2050, "FST",'Assignment Tool'!$K$17:$K$2050,"800")</f>
        <v>0</v>
      </c>
      <c r="J97" s="180">
        <f>COUNTIFS('Assignment Tool'!$E$17:$E$2050, "4",'Assignment Tool'!$F$17:$F$2050,"POLE", 'Assignment Tool'!$C$17:$C$2050, "FST",'Assignment Tool'!$K$17:$K$2050,"800")</f>
        <v>0</v>
      </c>
      <c r="K97" s="179">
        <f>COUNTIFS('Assignment Tool'!$E$17:$E$2050, "4",'Assignment Tool'!$F$17:$F$2050,"PED", 'Assignment Tool'!$C$17:$C$2050, "FST",'Assignment Tool'!$K$17:$K$2050,"800")</f>
        <v>0</v>
      </c>
      <c r="L97" s="179">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0">
        <f>COUNTIFS('Assignment Tool'!$E$17:$E$2050, "2", 'Assignment Tool'!$F$17:$F$2050, "POLE", 'Assignment Tool'!$C$17:$C$2050, "FST",'Assignment Tool'!$K$17:$K$2050,"900")</f>
        <v>0</v>
      </c>
      <c r="H98" s="179">
        <f>COUNTIFS('Assignment Tool'!$E$17:$E$2050, "2",'Assignment Tool'!$F$17:$F$2050,"PED", 'Assignment Tool'!$C$17:$C$2050, "FST",'Assignment Tool'!$K$17:$K$2050,"900")</f>
        <v>0</v>
      </c>
      <c r="I98" s="179">
        <f>COUNTIFS('Assignment Tool'!$E$17:$E$2050, "2",'Assignment Tool'!$F$17:$F$2050,"HH", 'Assignment Tool'!$C$17:$C$2050, "FST",'Assignment Tool'!$K$17:$K$2050,"900")</f>
        <v>0</v>
      </c>
      <c r="J98" s="180">
        <f>COUNTIFS('Assignment Tool'!$E$17:$E$2050, "4",'Assignment Tool'!$F$17:$F$2050,"POLE", 'Assignment Tool'!$C$17:$C$2050, "FST",'Assignment Tool'!$K$17:$K$2050,"900")</f>
        <v>0</v>
      </c>
      <c r="K98" s="179">
        <f>COUNTIFS('Assignment Tool'!$E$17:$E$2050, "4",'Assignment Tool'!$F$17:$F$2050,"PED", 'Assignment Tool'!$C$17:$C$2050, "FST",'Assignment Tool'!$K$17:$K$2050,"900")</f>
        <v>0</v>
      </c>
      <c r="L98" s="179">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0">
        <f>COUNTIFS('Assignment Tool'!$E$17:$E$2050, "2", 'Assignment Tool'!$F$17:$F$2050, "POLE", 'Assignment Tool'!$C$17:$C$2050, "FST",'Assignment Tool'!$K$17:$K$2050,"1000")</f>
        <v>0</v>
      </c>
      <c r="H99" s="179">
        <f>COUNTIFS('Assignment Tool'!$E$17:$E$2050, "2",'Assignment Tool'!$F$17:$F$2050,"PED", 'Assignment Tool'!$C$17:$C$2050, "FST",'Assignment Tool'!$K$17:$K$2050,"1000")</f>
        <v>0</v>
      </c>
      <c r="I99" s="179">
        <f>COUNTIFS('Assignment Tool'!$E$17:$E$2050, "2",'Assignment Tool'!$F$17:$F$2050,"HH", 'Assignment Tool'!$C$17:$C$2050, "FST",'Assignment Tool'!$K$17:$K$2050,"1000")</f>
        <v>0</v>
      </c>
      <c r="J99" s="180">
        <f>COUNTIFS('Assignment Tool'!$E$17:$E$2050, "4",'Assignment Tool'!$F$17:$F$2050,"POLE", 'Assignment Tool'!$C$17:$C$2050, "FST",'Assignment Tool'!$K$17:$K$2050,"1000")</f>
        <v>0</v>
      </c>
      <c r="K99" s="179">
        <f>COUNTIFS('Assignment Tool'!$E$17:$E$2050, "4",'Assignment Tool'!$F$17:$F$2050,"PED", 'Assignment Tool'!$C$17:$C$2050, "FST",'Assignment Tool'!$K$17:$K$2050,"1000")</f>
        <v>0</v>
      </c>
      <c r="L99" s="179">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0">
        <f>COUNTIFS('Assignment Tool'!$E$17:$E$2050, "6", 'Assignment Tool'!$F$17:$F$2050, "POLE", 'Assignment Tool'!$C$17:$C$2050, "FST",'Assignment Tool'!$K$17:$K$2050,"25")</f>
        <v>0</v>
      </c>
      <c r="H100" s="179">
        <f>COUNTIFS('Assignment Tool'!$E$17:$E$2050, "6", 'Assignment Tool'!$F$17:$F$2050, "PED", 'Assignment Tool'!$C$17:$C$2050, "FST",'Assignment Tool'!$K$17:$K$2050,"25")</f>
        <v>0</v>
      </c>
      <c r="I100" s="179">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0">
        <f>COUNTIFS('Assignment Tool'!$E$17:$E$2050, "6", 'Assignment Tool'!$F$17:$F$2050, "POLE", 'Assignment Tool'!$C$17:$C$2050, "FST",'Assignment Tool'!$K$17:$K$2050,"50")</f>
        <v>0</v>
      </c>
      <c r="H101" s="179">
        <f>COUNTIFS('Assignment Tool'!$E$17:$E$2050, "6", 'Assignment Tool'!$F$17:$F$2050, "PED", 'Assignment Tool'!$C$17:$C$2050, "FST",'Assignment Tool'!$K$17:$K$2050,"50")</f>
        <v>0</v>
      </c>
      <c r="I101" s="179">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0">
        <f>COUNTIFS('Assignment Tool'!$E$17:$E$2050, "6", 'Assignment Tool'!$F$17:$F$2050, "POLE", 'Assignment Tool'!$C$17:$C$2050, "FST",'Assignment Tool'!$K$17:$K$2050,"100")</f>
        <v>0</v>
      </c>
      <c r="H102" s="179">
        <f>COUNTIFS('Assignment Tool'!$E$17:$E$2050, "6", 'Assignment Tool'!$F$17:$F$2050, "PED", 'Assignment Tool'!$C$17:$C$2050, "FST",'Assignment Tool'!$K$17:$K$2050,"100")</f>
        <v>0</v>
      </c>
      <c r="I102" s="179">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0">
        <f>COUNTIFS('Assignment Tool'!$E$17:$E$2050, "6", 'Assignment Tool'!$F$17:$F$2050, "POLE", 'Assignment Tool'!$C$17:$C$2050, "FST",'Assignment Tool'!$K$17:$K$2050,"200")</f>
        <v>0</v>
      </c>
      <c r="H103" s="179">
        <f>COUNTIFS('Assignment Tool'!$E$17:$E$2050, "6", 'Assignment Tool'!$F$17:$F$2050, "PED", 'Assignment Tool'!$C$17:$C$2050, "FST",'Assignment Tool'!$K$17:$K$2050,"200")</f>
        <v>0</v>
      </c>
      <c r="I103" s="179">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0">
        <f>COUNTIFS('Assignment Tool'!$E$17:$E$2050, "6", 'Assignment Tool'!$F$17:$F$2050, "POLE", 'Assignment Tool'!$C$17:$C$2050, "FST",'Assignment Tool'!$K$17:$K$2050,"300")</f>
        <v>0</v>
      </c>
      <c r="H104" s="179">
        <f>COUNTIFS('Assignment Tool'!$E$17:$E$2050, "6", 'Assignment Tool'!$F$17:$F$2050, "PED", 'Assignment Tool'!$C$17:$C$2050, "FST",'Assignment Tool'!$K$17:$K$2050,"300")</f>
        <v>0</v>
      </c>
      <c r="I104" s="179">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0">
        <f>COUNTIFS('Assignment Tool'!$E$17:$E$2050, "6", 'Assignment Tool'!$F$17:$F$2050, "POLE", 'Assignment Tool'!$C$17:$C$2050, "FST",'Assignment Tool'!$K$17:$K$2050,"400")</f>
        <v>0</v>
      </c>
      <c r="H105" s="179">
        <f>COUNTIFS('Assignment Tool'!$E$17:$E$2050, "6", 'Assignment Tool'!$F$17:$F$2050, "PED", 'Assignment Tool'!$C$17:$C$2050, "FST",'Assignment Tool'!$K$17:$K$2050,"400")</f>
        <v>0</v>
      </c>
      <c r="I105" s="179">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0">
        <f>COUNTIFS('Assignment Tool'!$E$17:$E$2050, "6", 'Assignment Tool'!$F$17:$F$2050, "POLE", 'Assignment Tool'!$C$17:$C$2050, "FST",'Assignment Tool'!$K$17:$K$2050,"500")</f>
        <v>0</v>
      </c>
      <c r="H106" s="179">
        <f>COUNTIFS('Assignment Tool'!$E$17:$E$2050, "6", 'Assignment Tool'!$F$17:$F$2050, "PED", 'Assignment Tool'!$C$17:$C$2050, "FST",'Assignment Tool'!$K$17:$K$2050,"500")</f>
        <v>0</v>
      </c>
      <c r="I106" s="179">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0">
        <f>COUNTIFS('Assignment Tool'!$E$17:$E$2050, "6", 'Assignment Tool'!$F$17:$F$2050, "POLE", 'Assignment Tool'!$C$17:$C$2050, "FST",'Assignment Tool'!$K$17:$K$2050,"600")</f>
        <v>0</v>
      </c>
      <c r="H107" s="179">
        <f>COUNTIFS('Assignment Tool'!$E$17:$E$2050, "6", 'Assignment Tool'!$F$17:$F$2050, "PED", 'Assignment Tool'!$C$17:$C$2050, "FST",'Assignment Tool'!$K$17:$K$2050,"600")</f>
        <v>0</v>
      </c>
      <c r="I107" s="179">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0">
        <f>COUNTIFS('Assignment Tool'!$E$17:$E$2050, "6", 'Assignment Tool'!$F$17:$F$2050, "POLE", 'Assignment Tool'!$C$17:$C$2050, "FST",'Assignment Tool'!$K$17:$K$2050,"700")</f>
        <v>0</v>
      </c>
      <c r="H108" s="179">
        <f>COUNTIFS('Assignment Tool'!$E$17:$E$2050, "6", 'Assignment Tool'!$F$17:$F$2050, "PED", 'Assignment Tool'!$C$17:$C$2050, "FST",'Assignment Tool'!$K$17:$K$2050,"700")</f>
        <v>0</v>
      </c>
      <c r="I108" s="179">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0">
        <f>COUNTIFS('Assignment Tool'!$E$17:$E$2050, "6", 'Assignment Tool'!$F$17:$F$2050, "POLE", 'Assignment Tool'!$C$17:$C$2050, "FST",'Assignment Tool'!$K$17:$K$2050,"800")</f>
        <v>0</v>
      </c>
      <c r="H109" s="179">
        <f>COUNTIFS('Assignment Tool'!$E$17:$E$2050, "6", 'Assignment Tool'!$F$17:$F$2050, "PED", 'Assignment Tool'!$C$17:$C$2050, "FST",'Assignment Tool'!$K$17:$K$2050,"800")</f>
        <v>0</v>
      </c>
      <c r="I109" s="179">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0">
        <f>COUNTIFS('Assignment Tool'!$E$17:$E$2050, "6", 'Assignment Tool'!$F$17:$F$2050, "POLE", 'Assignment Tool'!$C$17:$C$2050, "FST",'Assignment Tool'!$K$17:$K$2050,"900")</f>
        <v>0</v>
      </c>
      <c r="H110" s="179">
        <f>COUNTIFS('Assignment Tool'!$E$17:$E$2050, "6", 'Assignment Tool'!$F$17:$F$2050, "PED", 'Assignment Tool'!$C$17:$C$2050, "FST",'Assignment Tool'!$K$17:$K$2050,"900")</f>
        <v>0</v>
      </c>
      <c r="I110" s="179">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0">
        <f>COUNTIFS('Assignment Tool'!$E$17:$E$2050, "6", 'Assignment Tool'!$F$17:$F$2050, "POLE", 'Assignment Tool'!$C$17:$C$2050, "FST",'Assignment Tool'!$K$17:$K$2050,"1000")</f>
        <v>0</v>
      </c>
      <c r="H111" s="179">
        <f>COUNTIFS('Assignment Tool'!$E$17:$E$2050, "6", 'Assignment Tool'!$F$17:$F$2050, "PED", 'Assignment Tool'!$C$17:$C$2050, "FST",'Assignment Tool'!$K$17:$K$2050,"1000")</f>
        <v>0</v>
      </c>
      <c r="I111" s="179">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0">
        <f>COUNTIFS('Assignment Tool'!$E$17:$E$2050, "8", 'Assignment Tool'!$F$17:$F$2050, "POLE", 'Assignment Tool'!$C$17:$C$2050, "FST",'Assignment Tool'!$K$17:$K$2050,"25")</f>
        <v>0</v>
      </c>
      <c r="H112" s="179">
        <f>COUNTIFS('Assignment Tool'!$E$17:$E$2050, "8", 'Assignment Tool'!$F$17:$F$2050, "PED", 'Assignment Tool'!$C$17:$C$2050, "FST",'Assignment Tool'!$K$17:$K$2050,"25")</f>
        <v>0</v>
      </c>
      <c r="I112" s="179">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0">
        <f>COUNTIFS('Assignment Tool'!$E$17:$E$2050, "8", 'Assignment Tool'!$F$17:$F$2050, "POLE", 'Assignment Tool'!$C$17:$C$2050, "FST",'Assignment Tool'!$K$17:$K$2050,"50")</f>
        <v>0</v>
      </c>
      <c r="H113" s="179">
        <f>COUNTIFS('Assignment Tool'!$E$17:$E$2050, "8", 'Assignment Tool'!$F$17:$F$2050, "PED", 'Assignment Tool'!$C$17:$C$2050, "FST",'Assignment Tool'!$K$17:$K$2050,"50")</f>
        <v>0</v>
      </c>
      <c r="I113" s="179">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0">
        <f>COUNTIFS('Assignment Tool'!$E$17:$E$2050, "8", 'Assignment Tool'!$F$17:$F$2050, "POLE", 'Assignment Tool'!$C$17:$C$2050, "FST",'Assignment Tool'!$K$17:$K$2050,"100")</f>
        <v>0</v>
      </c>
      <c r="H114" s="179">
        <f>COUNTIFS('Assignment Tool'!$E$17:$E$2050, "8", 'Assignment Tool'!$F$17:$F$2050, "PED", 'Assignment Tool'!$C$17:$C$2050, "FST",'Assignment Tool'!$K$17:$K$2050,"100")</f>
        <v>0</v>
      </c>
      <c r="I114" s="179">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0">
        <f>COUNTIFS('Assignment Tool'!$E$17:$E$2050, "8", 'Assignment Tool'!$F$17:$F$2050, "POLE", 'Assignment Tool'!$C$17:$C$2050, "FST",'Assignment Tool'!$K$17:$K$2050,"200")</f>
        <v>0</v>
      </c>
      <c r="H115" s="179">
        <f>COUNTIFS('Assignment Tool'!$E$17:$E$2050, "8", 'Assignment Tool'!$F$17:$F$2050, "PED", 'Assignment Tool'!$C$17:$C$2050, "FST",'Assignment Tool'!$K$17:$K$2050,"200")</f>
        <v>0</v>
      </c>
      <c r="I115" s="179">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0">
        <f>COUNTIFS('Assignment Tool'!$E$17:$E$2050, "8", 'Assignment Tool'!$F$17:$F$2050, "POLE", 'Assignment Tool'!$C$17:$C$2050, "FST",'Assignment Tool'!$K$17:$K$2050,"300")</f>
        <v>0</v>
      </c>
      <c r="H116" s="179">
        <f>COUNTIFS('Assignment Tool'!$E$17:$E$2050, "8", 'Assignment Tool'!$F$17:$F$2050, "PED", 'Assignment Tool'!$C$17:$C$2050, "FST",'Assignment Tool'!$K$17:$K$2050,"300")</f>
        <v>0</v>
      </c>
      <c r="I116" s="179">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0">
        <f>COUNTIFS('Assignment Tool'!$E$17:$E$2050, "8", 'Assignment Tool'!$F$17:$F$2050, "POLE", 'Assignment Tool'!$C$17:$C$2050, "FST",'Assignment Tool'!$K$17:$K$2050,"400")</f>
        <v>0</v>
      </c>
      <c r="H117" s="179">
        <f>COUNTIFS('Assignment Tool'!$E$17:$E$2050, "8", 'Assignment Tool'!$F$17:$F$2050, "PED", 'Assignment Tool'!$C$17:$C$2050, "FST",'Assignment Tool'!$K$17:$K$2050,"400")</f>
        <v>0</v>
      </c>
      <c r="I117" s="179">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0">
        <f>COUNTIFS('Assignment Tool'!$E$17:$E$2050, "8", 'Assignment Tool'!$F$17:$F$2050, "POLE", 'Assignment Tool'!$C$17:$C$2050, "FST",'Assignment Tool'!$K$17:$K$2050,"500")</f>
        <v>0</v>
      </c>
      <c r="H118" s="179">
        <f>COUNTIFS('Assignment Tool'!$E$17:$E$2050, "8", 'Assignment Tool'!$F$17:$F$2050, "PED", 'Assignment Tool'!$C$17:$C$2050, "FST",'Assignment Tool'!$K$17:$K$2050,"500")</f>
        <v>0</v>
      </c>
      <c r="I118" s="179">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0">
        <f>COUNTIFS('Assignment Tool'!$E$17:$E$2050, "8", 'Assignment Tool'!$F$17:$F$2050, "POLE", 'Assignment Tool'!$C$17:$C$2050, "FST",'Assignment Tool'!$K$17:$K$2050,"600")</f>
        <v>0</v>
      </c>
      <c r="H119" s="179">
        <f>COUNTIFS('Assignment Tool'!$E$17:$E$2050, "8", 'Assignment Tool'!$F$17:$F$2050, "PED", 'Assignment Tool'!$C$17:$C$2050, "FST",'Assignment Tool'!$K$17:$K$2050,"600")</f>
        <v>0</v>
      </c>
      <c r="I119" s="179">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0">
        <f>COUNTIFS('Assignment Tool'!$E$17:$E$2050, "8", 'Assignment Tool'!$F$17:$F$2050, "POLE", 'Assignment Tool'!$C$17:$C$2050, "FST",'Assignment Tool'!$K$17:$K$2050,"700")</f>
        <v>0</v>
      </c>
      <c r="H120" s="179">
        <f>COUNTIFS('Assignment Tool'!$E$17:$E$2050, "8", 'Assignment Tool'!$F$17:$F$2050, "PED", 'Assignment Tool'!$C$17:$C$2050, "FST",'Assignment Tool'!$K$17:$K$2050,"700")</f>
        <v>0</v>
      </c>
      <c r="I120" s="179">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0">
        <f>COUNTIFS('Assignment Tool'!$E$17:$E$2050, "8", 'Assignment Tool'!$F$17:$F$2050, "POLE", 'Assignment Tool'!$C$17:$C$2050, "FST",'Assignment Tool'!$K$17:$K$2050,"800")</f>
        <v>0</v>
      </c>
      <c r="H121" s="179">
        <f>COUNTIFS('Assignment Tool'!$E$17:$E$2050, "8", 'Assignment Tool'!$F$17:$F$2050, "PED", 'Assignment Tool'!$C$17:$C$2050, "FST",'Assignment Tool'!$K$17:$K$2050,"800")</f>
        <v>0</v>
      </c>
      <c r="I121" s="179">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0">
        <f>COUNTIFS('Assignment Tool'!$E$17:$E$2050, "8", 'Assignment Tool'!$F$17:$F$2050, "POLE", 'Assignment Tool'!$C$17:$C$2050, "FST",'Assignment Tool'!$K$17:$K$2050,"900")</f>
        <v>0</v>
      </c>
      <c r="H122" s="179">
        <f>COUNTIFS('Assignment Tool'!$E$17:$E$2050, "8", 'Assignment Tool'!$F$17:$F$2050, "PED", 'Assignment Tool'!$C$17:$C$2050, "FST",'Assignment Tool'!$K$17:$K$2050,"900")</f>
        <v>0</v>
      </c>
      <c r="I122" s="179">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0">
        <f>COUNTIFS('Assignment Tool'!$E$17:$E$2050, "8", 'Assignment Tool'!$F$17:$F$2050, "POLE", 'Assignment Tool'!$C$17:$C$2050, "FST",'Assignment Tool'!$K$17:$K$2050,"1000")</f>
        <v>0</v>
      </c>
      <c r="H123" s="179">
        <f>COUNTIFS('Assignment Tool'!$E$17:$E$2050, "8", 'Assignment Tool'!$F$17:$F$2050, "PED", 'Assignment Tool'!$C$17:$C$2050, "FST",'Assignment Tool'!$K$17:$K$2050,"1000")</f>
        <v>0</v>
      </c>
      <c r="I123" s="179">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0">
        <f>COUNTIFS('Assignment Tool'!$E$17:$E$2050, "12", 'Assignment Tool'!$F$17:$F$2050, "POLE", 'Assignment Tool'!$C$17:$C$2050, "FST",'Assignment Tool'!$K$17:$K$2050,"25")</f>
        <v>0</v>
      </c>
      <c r="H124" s="179">
        <f>COUNTIFS('Assignment Tool'!$E$17:$E$2050, "12", 'Assignment Tool'!$F$17:$F$2050, "PED", 'Assignment Tool'!$C$17:$C$2050, "FST",'Assignment Tool'!$K$17:$K$2050,"25")</f>
        <v>0</v>
      </c>
      <c r="I124" s="179">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0">
        <f>COUNTIFS('Assignment Tool'!$E$17:$E$2050, "12", 'Assignment Tool'!$F$17:$F$2050, "POLE", 'Assignment Tool'!$C$17:$C$2050, "FST",'Assignment Tool'!$K$17:$K$2050,"50")</f>
        <v>0</v>
      </c>
      <c r="H125" s="179">
        <f>COUNTIFS('Assignment Tool'!$E$17:$E$2050, "12", 'Assignment Tool'!$F$17:$F$2050, "PED", 'Assignment Tool'!$C$17:$C$2050, "FST",'Assignment Tool'!$K$17:$K$2050,"50")</f>
        <v>0</v>
      </c>
      <c r="I125" s="179">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0">
        <f>COUNTIFS('Assignment Tool'!$E$17:$E$2050, "12", 'Assignment Tool'!$F$17:$F$2050, "POLE", 'Assignment Tool'!$C$17:$C$2050, "FST",'Assignment Tool'!$K$17:$K$2050,"100")</f>
        <v>0</v>
      </c>
      <c r="H126" s="179">
        <f>COUNTIFS('Assignment Tool'!$E$17:$E$2050, "12", 'Assignment Tool'!$F$17:$F$2050, "PED", 'Assignment Tool'!$C$17:$C$2050, "FST",'Assignment Tool'!$K$17:$K$2050,"100")</f>
        <v>0</v>
      </c>
      <c r="I126" s="179">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0">
        <f>COUNTIFS('Assignment Tool'!$E$17:$E$2050, "12", 'Assignment Tool'!$F$17:$F$2050, "POLE", 'Assignment Tool'!$C$17:$C$2050, "FST",'Assignment Tool'!$K$17:$K$2050,"200")</f>
        <v>0</v>
      </c>
      <c r="H127" s="179">
        <f>COUNTIFS('Assignment Tool'!$E$17:$E$2050, "12", 'Assignment Tool'!$F$17:$F$2050, "PED", 'Assignment Tool'!$C$17:$C$2050, "FST",'Assignment Tool'!$K$17:$K$2050,"200")</f>
        <v>0</v>
      </c>
      <c r="I127" s="179">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0">
        <f>COUNTIFS('Assignment Tool'!$E$17:$E$2050, "12", 'Assignment Tool'!$F$17:$F$2050, "POLE", 'Assignment Tool'!$C$17:$C$2050, "FST",'Assignment Tool'!$K$17:$K$2050,"300")</f>
        <v>0</v>
      </c>
      <c r="H128" s="179">
        <f>COUNTIFS('Assignment Tool'!$E$17:$E$2050, "12", 'Assignment Tool'!$F$17:$F$2050, "PED", 'Assignment Tool'!$C$17:$C$2050, "FST",'Assignment Tool'!$K$17:$K$2050,"300")</f>
        <v>0</v>
      </c>
      <c r="I128" s="179">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0">
        <f>COUNTIFS('Assignment Tool'!$E$17:$E$2050, "12", 'Assignment Tool'!$F$17:$F$2050, "POLE", 'Assignment Tool'!$C$17:$C$2050, "FST",'Assignment Tool'!$K$17:$K$2050,"400")</f>
        <v>0</v>
      </c>
      <c r="H129" s="179">
        <f>COUNTIFS('Assignment Tool'!$E$17:$E$2050, "12", 'Assignment Tool'!$F$17:$F$2050, "PED", 'Assignment Tool'!$C$17:$C$2050, "FST",'Assignment Tool'!$K$17:$K$2050,"400")</f>
        <v>0</v>
      </c>
      <c r="I129" s="179">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0">
        <f>COUNTIFS('Assignment Tool'!$E$17:$E$2050, "12", 'Assignment Tool'!$F$17:$F$2050, "POLE", 'Assignment Tool'!$C$17:$C$2050, "FST",'Assignment Tool'!$K$17:$K$2050,"500")</f>
        <v>0</v>
      </c>
      <c r="H130" s="179">
        <f>COUNTIFS('Assignment Tool'!$E$17:$E$2050, "12", 'Assignment Tool'!$F$17:$F$2050, "PED", 'Assignment Tool'!$C$17:$C$2050, "FST",'Assignment Tool'!$K$17:$K$2050,"500")</f>
        <v>0</v>
      </c>
      <c r="I130" s="179">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0">
        <f>COUNTIFS('Assignment Tool'!$E$17:$E$2050, "12", 'Assignment Tool'!$F$17:$F$2050, "POLE", 'Assignment Tool'!$C$17:$C$2050, "FST",'Assignment Tool'!$K$17:$K$2050,"600")</f>
        <v>0</v>
      </c>
      <c r="H131" s="179">
        <f>COUNTIFS('Assignment Tool'!$E$17:$E$2050, "12", 'Assignment Tool'!$F$17:$F$2050, "PED", 'Assignment Tool'!$C$17:$C$2050, "FST",'Assignment Tool'!$K$17:$K$2050,"600")</f>
        <v>0</v>
      </c>
      <c r="I131" s="179">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0">
        <f>COUNTIFS('Assignment Tool'!$E$17:$E$2050, "12", 'Assignment Tool'!$F$17:$F$2050, "POLE", 'Assignment Tool'!$C$17:$C$2050, "FST",'Assignment Tool'!$K$17:$K$2050,"700")</f>
        <v>0</v>
      </c>
      <c r="H132" s="179">
        <f>COUNTIFS('Assignment Tool'!$E$17:$E$2050, "12", 'Assignment Tool'!$F$17:$F$2050, "PED", 'Assignment Tool'!$C$17:$C$2050, "FST",'Assignment Tool'!$K$17:$K$2050,"700")</f>
        <v>0</v>
      </c>
      <c r="I132" s="179">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0">
        <f>COUNTIFS('Assignment Tool'!$E$17:$E$2050, "12", 'Assignment Tool'!$F$17:$F$2050, "POLE", 'Assignment Tool'!$C$17:$C$2050, "FST",'Assignment Tool'!$K$17:$K$2050,"800")</f>
        <v>0</v>
      </c>
      <c r="H133" s="179">
        <f>COUNTIFS('Assignment Tool'!$E$17:$E$2050, "12", 'Assignment Tool'!$F$17:$F$2050, "PED", 'Assignment Tool'!$C$17:$C$2050, "FST",'Assignment Tool'!$K$17:$K$2050,"800")</f>
        <v>0</v>
      </c>
      <c r="I133" s="179">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0">
        <f>COUNTIFS('Assignment Tool'!$E$17:$E$2050, "12", 'Assignment Tool'!$F$17:$F$2050, "POLE", 'Assignment Tool'!$C$17:$C$2050, "FST",'Assignment Tool'!$K$17:$K$2050,"900")</f>
        <v>0</v>
      </c>
      <c r="H134" s="179">
        <f>COUNTIFS('Assignment Tool'!$E$17:$E$2050, "12", 'Assignment Tool'!$F$17:$F$2050, "PED", 'Assignment Tool'!$C$17:$C$2050, "FST",'Assignment Tool'!$K$17:$K$2050,"900")</f>
        <v>0</v>
      </c>
      <c r="I134" s="179">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0">
        <f>COUNTIFS('Assignment Tool'!$E$17:$E$2050, "12", 'Assignment Tool'!$F$17:$F$2050, "POLE", 'Assignment Tool'!$C$17:$C$2050, "FST",'Assignment Tool'!$K$17:$K$2050,"1000")</f>
        <v>0</v>
      </c>
      <c r="H135" s="179">
        <f>COUNTIFS('Assignment Tool'!$E$17:$E$2050, "12", 'Assignment Tool'!$F$17:$F$2050, "PED", 'Assignment Tool'!$C$17:$C$2050, "FST",'Assignment Tool'!$K$17:$K$2050,"1000")</f>
        <v>0</v>
      </c>
      <c r="I135" s="179">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5" customWidth="1"/>
    <col min="7" max="7" width="12" style="206" customWidth="1"/>
    <col min="8" max="8" width="21.7109375" style="205" customWidth="1"/>
    <col min="9" max="9" width="15.7109375" style="205" customWidth="1"/>
    <col min="10" max="10" width="48.7109375" style="205" customWidth="1"/>
    <col min="11" max="18" width="9.140625" style="205"/>
    <col min="19" max="16384" width="9.140625" style="2"/>
  </cols>
  <sheetData>
    <row r="1" spans="1:23" hidden="1" x14ac:dyDescent="0.25">
      <c r="A1" s="149"/>
      <c r="B1" s="149"/>
      <c r="C1" s="149"/>
      <c r="D1" s="149"/>
      <c r="E1" s="149"/>
      <c r="F1" s="198"/>
      <c r="G1" s="199"/>
      <c r="H1" s="198"/>
      <c r="I1" s="198"/>
      <c r="J1" s="198"/>
      <c r="K1" s="198"/>
      <c r="L1" s="198"/>
      <c r="M1" s="198"/>
      <c r="N1" s="198"/>
      <c r="O1" s="198"/>
      <c r="P1" s="198"/>
      <c r="Q1" s="198"/>
      <c r="R1" s="198"/>
      <c r="S1" s="149"/>
      <c r="T1" s="149"/>
      <c r="U1" s="149"/>
      <c r="V1" s="149"/>
      <c r="W1" s="149"/>
    </row>
    <row r="2" spans="1:23" ht="21" x14ac:dyDescent="0.35">
      <c r="A2" s="149"/>
      <c r="B2" s="155" t="s">
        <v>680</v>
      </c>
      <c r="C2" s="253" t="s">
        <v>763</v>
      </c>
      <c r="D2" s="339" t="s">
        <v>681</v>
      </c>
      <c r="E2" s="340"/>
      <c r="F2" s="198"/>
      <c r="G2" s="199"/>
      <c r="H2" s="198"/>
      <c r="I2" s="198"/>
      <c r="J2" s="198"/>
      <c r="K2" s="198"/>
      <c r="L2" s="198"/>
      <c r="M2" s="198"/>
      <c r="N2" s="198"/>
      <c r="O2" s="198"/>
      <c r="P2" s="198"/>
      <c r="Q2" s="198"/>
      <c r="R2" s="198"/>
    </row>
    <row r="3" spans="1:23" ht="26.25" x14ac:dyDescent="0.4">
      <c r="A3" s="149"/>
      <c r="B3" s="222" t="s">
        <v>682</v>
      </c>
      <c r="C3" s="223"/>
      <c r="D3" s="223"/>
      <c r="E3" s="223"/>
      <c r="F3" s="223"/>
      <c r="G3" s="223"/>
      <c r="H3" s="223"/>
      <c r="I3" s="223"/>
      <c r="J3" s="224"/>
      <c r="K3" s="198"/>
      <c r="L3" s="198"/>
      <c r="M3" s="198"/>
      <c r="N3" s="198"/>
      <c r="O3" s="198"/>
      <c r="P3" s="198"/>
      <c r="Q3" s="198"/>
      <c r="R3" s="198"/>
    </row>
    <row r="4" spans="1:23" ht="24" x14ac:dyDescent="0.25">
      <c r="A4" s="149"/>
      <c r="B4" s="3" t="s">
        <v>683</v>
      </c>
      <c r="C4" s="3" t="s">
        <v>684</v>
      </c>
      <c r="D4" s="3" t="s">
        <v>464</v>
      </c>
      <c r="E4" s="23" t="s">
        <v>466</v>
      </c>
      <c r="F4" s="217"/>
      <c r="G4" s="3" t="s">
        <v>683</v>
      </c>
      <c r="H4" s="3" t="s">
        <v>684</v>
      </c>
      <c r="I4" s="3" t="s">
        <v>464</v>
      </c>
      <c r="J4" s="23" t="s">
        <v>466</v>
      </c>
      <c r="K4" s="198"/>
      <c r="L4" s="198"/>
      <c r="M4" s="198"/>
      <c r="N4" s="198"/>
      <c r="O4" s="198"/>
      <c r="P4" s="198"/>
      <c r="Q4" s="198"/>
      <c r="R4" s="198"/>
    </row>
    <row r="5" spans="1:23" x14ac:dyDescent="0.25">
      <c r="A5" s="149"/>
      <c r="B5" s="234">
        <f>Data!E2</f>
        <v>80</v>
      </c>
      <c r="C5" s="156" t="s">
        <v>84</v>
      </c>
      <c r="D5" s="156">
        <v>200008938</v>
      </c>
      <c r="E5" s="156" t="s">
        <v>479</v>
      </c>
      <c r="F5" s="218"/>
      <c r="G5" s="234">
        <f>Data!E88</f>
        <v>0</v>
      </c>
      <c r="H5" s="156" t="s">
        <v>584</v>
      </c>
      <c r="I5" s="156">
        <v>200008960</v>
      </c>
      <c r="J5" s="156" t="s">
        <v>585</v>
      </c>
      <c r="K5" s="198"/>
      <c r="L5" s="198"/>
      <c r="M5" s="198"/>
      <c r="N5" s="198"/>
      <c r="O5" s="198"/>
      <c r="P5" s="198"/>
      <c r="Q5" s="198"/>
      <c r="R5" s="198"/>
    </row>
    <row r="6" spans="1:23" x14ac:dyDescent="0.25">
      <c r="A6" s="149"/>
      <c r="B6" s="234">
        <f>Data!E3</f>
        <v>0</v>
      </c>
      <c r="C6" s="156" t="s">
        <v>85</v>
      </c>
      <c r="D6" s="156">
        <v>200008979</v>
      </c>
      <c r="E6" s="156" t="s">
        <v>485</v>
      </c>
      <c r="F6" s="218"/>
      <c r="G6" s="234">
        <f>Data!E89</f>
        <v>0</v>
      </c>
      <c r="H6" s="156" t="s">
        <v>586</v>
      </c>
      <c r="I6" s="156">
        <v>200008971</v>
      </c>
      <c r="J6" s="156" t="s">
        <v>587</v>
      </c>
      <c r="K6" s="198"/>
      <c r="L6" s="198"/>
      <c r="M6" s="198"/>
      <c r="N6" s="198"/>
      <c r="O6" s="198"/>
      <c r="P6" s="198"/>
      <c r="Q6" s="198"/>
      <c r="R6" s="198"/>
    </row>
    <row r="7" spans="1:23" x14ac:dyDescent="0.25">
      <c r="A7" s="149"/>
      <c r="B7" s="234">
        <f>Data!E4</f>
        <v>14</v>
      </c>
      <c r="C7" s="156" t="s">
        <v>86</v>
      </c>
      <c r="D7" s="156">
        <v>200008975</v>
      </c>
      <c r="E7" s="156" t="s">
        <v>490</v>
      </c>
      <c r="F7" s="218"/>
      <c r="G7" s="234">
        <f>Data!E90</f>
        <v>0</v>
      </c>
      <c r="H7" s="156" t="s">
        <v>588</v>
      </c>
      <c r="I7" s="156">
        <v>200008932</v>
      </c>
      <c r="J7" s="156" t="s">
        <v>589</v>
      </c>
      <c r="K7" s="198"/>
      <c r="L7" s="198"/>
      <c r="M7" s="198"/>
      <c r="N7" s="198"/>
      <c r="O7" s="198"/>
      <c r="P7" s="198"/>
      <c r="Q7" s="198"/>
      <c r="R7" s="198"/>
    </row>
    <row r="8" spans="1:23" x14ac:dyDescent="0.25">
      <c r="A8" s="149"/>
      <c r="B8" s="234">
        <f>Data!E5</f>
        <v>0</v>
      </c>
      <c r="C8" s="156" t="s">
        <v>87</v>
      </c>
      <c r="D8" s="156">
        <v>200009003</v>
      </c>
      <c r="E8" s="156" t="s">
        <v>495</v>
      </c>
      <c r="F8" s="218"/>
      <c r="G8" s="234">
        <f>Data!E91</f>
        <v>0</v>
      </c>
      <c r="H8" s="156" t="s">
        <v>590</v>
      </c>
      <c r="I8" s="156">
        <v>200008986</v>
      </c>
      <c r="J8" s="156" t="s">
        <v>591</v>
      </c>
      <c r="K8" s="198"/>
      <c r="L8" s="198"/>
      <c r="M8" s="198"/>
      <c r="N8" s="198"/>
      <c r="O8" s="198"/>
      <c r="P8" s="198"/>
      <c r="Q8" s="198"/>
      <c r="R8" s="198"/>
    </row>
    <row r="9" spans="1:23" x14ac:dyDescent="0.25">
      <c r="A9" s="149"/>
      <c r="B9" s="234">
        <f>'HH Calculator'!D21</f>
        <v>0</v>
      </c>
      <c r="C9" s="157" t="s">
        <v>91</v>
      </c>
      <c r="D9" s="242">
        <v>200010220</v>
      </c>
      <c r="E9" s="242" t="s">
        <v>554</v>
      </c>
      <c r="F9" s="209"/>
      <c r="G9" s="234">
        <f>Data!E92</f>
        <v>0</v>
      </c>
      <c r="H9" s="156" t="s">
        <v>592</v>
      </c>
      <c r="I9" s="156">
        <v>200008966</v>
      </c>
      <c r="J9" s="156" t="s">
        <v>593</v>
      </c>
      <c r="K9" s="198"/>
      <c r="L9" s="198"/>
      <c r="M9" s="198"/>
      <c r="N9" s="198"/>
      <c r="O9" s="198"/>
      <c r="P9" s="198"/>
      <c r="Q9" s="198"/>
      <c r="R9" s="198"/>
    </row>
    <row r="10" spans="1:23" x14ac:dyDescent="0.25">
      <c r="A10" s="149"/>
      <c r="B10" s="208"/>
      <c r="C10" s="158" t="s">
        <v>90</v>
      </c>
      <c r="D10" s="243">
        <v>100006143</v>
      </c>
      <c r="E10" s="243" t="s">
        <v>685</v>
      </c>
      <c r="F10" s="219"/>
      <c r="G10" s="234">
        <f>Data!E93</f>
        <v>0</v>
      </c>
      <c r="H10" s="156" t="s">
        <v>594</v>
      </c>
      <c r="I10" s="156">
        <v>200009011</v>
      </c>
      <c r="J10" s="156" t="s">
        <v>595</v>
      </c>
      <c r="K10" s="198"/>
      <c r="L10" s="198"/>
      <c r="M10" s="198"/>
      <c r="N10" s="198"/>
      <c r="O10" s="198"/>
      <c r="P10" s="198"/>
      <c r="Q10" s="198"/>
      <c r="R10" s="198"/>
    </row>
    <row r="11" spans="1:23" x14ac:dyDescent="0.25">
      <c r="A11" s="149"/>
      <c r="B11" s="208">
        <v>75</v>
      </c>
      <c r="C11" s="158" t="s">
        <v>90</v>
      </c>
      <c r="D11" s="243">
        <v>200001922</v>
      </c>
      <c r="E11" s="243" t="s">
        <v>686</v>
      </c>
      <c r="F11" s="219"/>
      <c r="G11" s="234">
        <f>Data!E94</f>
        <v>0</v>
      </c>
      <c r="H11" s="156" t="s">
        <v>596</v>
      </c>
      <c r="I11" s="156">
        <v>200008988</v>
      </c>
      <c r="J11" s="156" t="s">
        <v>597</v>
      </c>
      <c r="K11" s="198"/>
      <c r="L11" s="198"/>
      <c r="M11" s="198"/>
      <c r="N11" s="198"/>
      <c r="O11" s="198"/>
      <c r="P11" s="198"/>
      <c r="Q11" s="198"/>
      <c r="R11" s="198"/>
    </row>
    <row r="12" spans="1:23" x14ac:dyDescent="0.25">
      <c r="A12" s="149"/>
      <c r="B12" s="208">
        <f>Data!G66</f>
        <v>0</v>
      </c>
      <c r="C12" s="159" t="s">
        <v>687</v>
      </c>
      <c r="D12" s="243">
        <v>100006155</v>
      </c>
      <c r="E12" s="244" t="s">
        <v>688</v>
      </c>
      <c r="F12" s="219"/>
      <c r="G12" s="234">
        <f>Data!E95</f>
        <v>0</v>
      </c>
      <c r="H12" s="156" t="s">
        <v>598</v>
      </c>
      <c r="I12" s="156">
        <v>200008997</v>
      </c>
      <c r="J12" s="156" t="s">
        <v>599</v>
      </c>
      <c r="K12" s="198"/>
      <c r="L12" s="198"/>
      <c r="M12" s="198"/>
      <c r="N12" s="198"/>
      <c r="O12" s="198"/>
      <c r="P12" s="198"/>
      <c r="Q12" s="198"/>
      <c r="R12" s="198"/>
    </row>
    <row r="13" spans="1:23" x14ac:dyDescent="0.25">
      <c r="A13" s="149"/>
      <c r="B13" s="208">
        <v>12</v>
      </c>
      <c r="C13" s="159" t="s">
        <v>557</v>
      </c>
      <c r="D13" s="244">
        <v>100035465</v>
      </c>
      <c r="E13" s="244" t="s">
        <v>689</v>
      </c>
      <c r="F13" s="220"/>
      <c r="G13" s="234">
        <f>Data!E96</f>
        <v>0</v>
      </c>
      <c r="H13" s="156" t="s">
        <v>600</v>
      </c>
      <c r="I13" s="156">
        <v>200008992</v>
      </c>
      <c r="J13" s="156" t="s">
        <v>601</v>
      </c>
      <c r="K13" s="198"/>
      <c r="L13" s="198"/>
      <c r="M13" s="198"/>
      <c r="N13" s="198"/>
      <c r="O13" s="198"/>
      <c r="P13" s="198"/>
      <c r="Q13" s="198"/>
      <c r="R13" s="198"/>
    </row>
    <row r="14" spans="1:23" x14ac:dyDescent="0.25">
      <c r="A14" s="149"/>
      <c r="B14" s="208"/>
      <c r="C14" s="159" t="s">
        <v>690</v>
      </c>
      <c r="D14" s="244">
        <v>100006173</v>
      </c>
      <c r="E14" s="244" t="s">
        <v>691</v>
      </c>
      <c r="F14" s="220"/>
      <c r="G14" s="234">
        <f>Data!E97</f>
        <v>0</v>
      </c>
      <c r="H14" s="156" t="s">
        <v>602</v>
      </c>
      <c r="I14" s="156">
        <v>200009013</v>
      </c>
      <c r="J14" s="156" t="s">
        <v>603</v>
      </c>
      <c r="K14" s="198"/>
      <c r="L14" s="198"/>
      <c r="M14" s="198"/>
      <c r="N14" s="198"/>
      <c r="O14" s="198"/>
      <c r="P14" s="198"/>
      <c r="Q14" s="198"/>
      <c r="R14" s="198"/>
    </row>
    <row r="15" spans="1:23" s="12" customFormat="1" ht="15" customHeight="1" x14ac:dyDescent="0.25">
      <c r="A15" s="150"/>
      <c r="B15" s="208">
        <v>4</v>
      </c>
      <c r="C15" s="160" t="s">
        <v>559</v>
      </c>
      <c r="D15" s="242">
        <v>100081409</v>
      </c>
      <c r="E15" s="246" t="s">
        <v>692</v>
      </c>
      <c r="F15" s="221"/>
      <c r="G15" s="234">
        <f>Data!E98</f>
        <v>0</v>
      </c>
      <c r="H15" s="156" t="s">
        <v>604</v>
      </c>
      <c r="I15" s="156">
        <v>200008927</v>
      </c>
      <c r="J15" s="156" t="s">
        <v>605</v>
      </c>
      <c r="K15" s="200"/>
      <c r="L15" s="200"/>
      <c r="M15" s="200"/>
      <c r="N15" s="200"/>
      <c r="O15" s="200"/>
      <c r="P15" s="200"/>
      <c r="Q15" s="200"/>
      <c r="R15" s="200"/>
    </row>
    <row r="16" spans="1:23" s="12" customFormat="1" ht="15" customHeight="1" x14ac:dyDescent="0.25">
      <c r="A16" s="150"/>
      <c r="B16" s="208"/>
      <c r="C16" s="160" t="s">
        <v>559</v>
      </c>
      <c r="D16" s="242">
        <v>100006191</v>
      </c>
      <c r="E16" s="246" t="s">
        <v>693</v>
      </c>
      <c r="F16" s="221"/>
      <c r="G16" s="234">
        <f>Data!E99</f>
        <v>0</v>
      </c>
      <c r="H16" s="156" t="s">
        <v>606</v>
      </c>
      <c r="I16" s="156">
        <v>200008934</v>
      </c>
      <c r="J16" s="156" t="s">
        <v>607</v>
      </c>
      <c r="K16" s="200"/>
      <c r="L16" s="200"/>
      <c r="M16" s="200"/>
      <c r="N16" s="200"/>
      <c r="O16" s="200"/>
      <c r="P16" s="200"/>
      <c r="Q16" s="200"/>
      <c r="R16" s="200"/>
    </row>
    <row r="17" spans="1:18" s="12" customFormat="1" ht="15" customHeight="1" x14ac:dyDescent="0.25">
      <c r="A17" s="150"/>
      <c r="B17" s="235">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3">
        <v>100083495</v>
      </c>
      <c r="E17" s="243" t="s">
        <v>503</v>
      </c>
      <c r="F17" s="219"/>
      <c r="G17" s="234">
        <f>Data!E100</f>
        <v>0</v>
      </c>
      <c r="H17" s="156" t="s">
        <v>608</v>
      </c>
      <c r="I17" s="156">
        <v>200008981</v>
      </c>
      <c r="J17" s="156" t="s">
        <v>609</v>
      </c>
      <c r="K17" s="200"/>
      <c r="L17" s="200"/>
      <c r="M17" s="200"/>
      <c r="N17" s="200"/>
      <c r="O17" s="200"/>
      <c r="P17" s="200"/>
      <c r="Q17" s="200"/>
      <c r="R17" s="200"/>
    </row>
    <row r="18" spans="1:18" s="12" customFormat="1" ht="15" customHeight="1" x14ac:dyDescent="0.25">
      <c r="A18" s="150"/>
      <c r="B18" s="234">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2</v>
      </c>
      <c r="C18" s="161" t="s">
        <v>278</v>
      </c>
      <c r="D18" s="243">
        <v>100083494</v>
      </c>
      <c r="E18" s="243" t="s">
        <v>504</v>
      </c>
      <c r="F18" s="219"/>
      <c r="G18" s="234">
        <f>Data!E101</f>
        <v>0</v>
      </c>
      <c r="H18" s="156" t="s">
        <v>610</v>
      </c>
      <c r="I18" s="156">
        <v>200008948</v>
      </c>
      <c r="J18" s="156" t="s">
        <v>611</v>
      </c>
      <c r="K18" s="200"/>
      <c r="L18" s="200"/>
      <c r="M18" s="200"/>
      <c r="N18" s="200"/>
      <c r="O18" s="200"/>
      <c r="P18" s="200"/>
      <c r="Q18" s="200"/>
      <c r="R18" s="200"/>
    </row>
    <row r="19" spans="1:18" s="12" customFormat="1" ht="15" customHeight="1" x14ac:dyDescent="0.25">
      <c r="A19" s="150"/>
      <c r="B19" s="234">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5</v>
      </c>
      <c r="C19" s="161" t="s">
        <v>278</v>
      </c>
      <c r="D19" s="243">
        <v>100083493</v>
      </c>
      <c r="E19" s="243" t="s">
        <v>505</v>
      </c>
      <c r="F19" s="219"/>
      <c r="G19" s="234">
        <f>Data!E102</f>
        <v>0</v>
      </c>
      <c r="H19" s="156" t="s">
        <v>612</v>
      </c>
      <c r="I19" s="156">
        <v>200008998</v>
      </c>
      <c r="J19" s="156" t="s">
        <v>613</v>
      </c>
      <c r="K19" s="200"/>
      <c r="L19" s="200"/>
      <c r="M19" s="200"/>
      <c r="N19" s="200"/>
      <c r="O19" s="200"/>
      <c r="P19" s="200"/>
      <c r="Q19" s="200"/>
      <c r="R19" s="200"/>
    </row>
    <row r="20" spans="1:18" s="12" customFormat="1" ht="15" customHeight="1" x14ac:dyDescent="0.25">
      <c r="A20" s="150"/>
      <c r="B20" s="234">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3">
        <v>100089023</v>
      </c>
      <c r="E20" s="243" t="s">
        <v>506</v>
      </c>
      <c r="F20" s="219"/>
      <c r="G20" s="234">
        <f>Data!E103</f>
        <v>0</v>
      </c>
      <c r="H20" s="156" t="s">
        <v>614</v>
      </c>
      <c r="I20" s="156">
        <v>200008991</v>
      </c>
      <c r="J20" s="156" t="s">
        <v>615</v>
      </c>
      <c r="K20" s="200"/>
      <c r="L20" s="200"/>
      <c r="M20" s="200"/>
      <c r="N20" s="200"/>
      <c r="O20" s="200"/>
      <c r="P20" s="200"/>
      <c r="Q20" s="200"/>
      <c r="R20" s="200"/>
    </row>
    <row r="21" spans="1:18" s="12" customFormat="1" ht="15" customHeight="1" x14ac:dyDescent="0.25">
      <c r="A21" s="150"/>
      <c r="B21" s="234">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3">
        <v>200000002</v>
      </c>
      <c r="E21" s="243" t="s">
        <v>507</v>
      </c>
      <c r="F21" s="219"/>
      <c r="G21" s="234">
        <f>Data!E104</f>
        <v>0</v>
      </c>
      <c r="H21" s="156" t="s">
        <v>616</v>
      </c>
      <c r="I21" s="156">
        <v>200008935</v>
      </c>
      <c r="J21" s="156" t="s">
        <v>617</v>
      </c>
      <c r="K21" s="200"/>
      <c r="L21" s="200"/>
      <c r="M21" s="200"/>
      <c r="N21" s="200"/>
      <c r="O21" s="200"/>
      <c r="P21" s="200"/>
      <c r="Q21" s="200"/>
      <c r="R21" s="200"/>
    </row>
    <row r="22" spans="1:18" s="12" customFormat="1" ht="15" customHeight="1" x14ac:dyDescent="0.25">
      <c r="A22" s="150"/>
      <c r="B22" s="234">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3">
        <v>200000003</v>
      </c>
      <c r="E22" s="243" t="s">
        <v>508</v>
      </c>
      <c r="F22" s="219"/>
      <c r="G22" s="234">
        <f>Data!E105</f>
        <v>0</v>
      </c>
      <c r="H22" s="156" t="s">
        <v>618</v>
      </c>
      <c r="I22" s="156">
        <v>200008924</v>
      </c>
      <c r="J22" s="156" t="s">
        <v>619</v>
      </c>
      <c r="K22" s="200"/>
      <c r="L22" s="200"/>
      <c r="M22" s="200"/>
      <c r="N22" s="200"/>
      <c r="O22" s="200"/>
      <c r="P22" s="200"/>
      <c r="Q22" s="200"/>
      <c r="R22" s="200"/>
    </row>
    <row r="23" spans="1:18" x14ac:dyDescent="0.25">
      <c r="A23" s="149"/>
      <c r="B23" s="234">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7</v>
      </c>
      <c r="C23" s="161" t="s">
        <v>278</v>
      </c>
      <c r="D23" s="242">
        <v>100083595</v>
      </c>
      <c r="E23" s="242" t="s">
        <v>509</v>
      </c>
      <c r="F23" s="209"/>
      <c r="G23" s="234">
        <f>Data!E106</f>
        <v>0</v>
      </c>
      <c r="H23" s="156" t="s">
        <v>620</v>
      </c>
      <c r="I23" s="156">
        <v>200009010</v>
      </c>
      <c r="J23" s="156" t="s">
        <v>621</v>
      </c>
      <c r="K23" s="198"/>
      <c r="L23" s="198"/>
      <c r="M23" s="198"/>
      <c r="N23" s="198"/>
      <c r="O23" s="198"/>
      <c r="P23" s="198"/>
      <c r="Q23" s="198"/>
      <c r="R23" s="198"/>
    </row>
    <row r="24" spans="1:18" x14ac:dyDescent="0.25">
      <c r="A24" s="149"/>
      <c r="B24" s="234">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12</v>
      </c>
      <c r="C24" s="161" t="s">
        <v>278</v>
      </c>
      <c r="D24" s="242">
        <v>100083594</v>
      </c>
      <c r="E24" s="242" t="s">
        <v>510</v>
      </c>
      <c r="F24" s="209"/>
      <c r="G24" s="234">
        <f>Data!E107</f>
        <v>0</v>
      </c>
      <c r="H24" s="156" t="s">
        <v>622</v>
      </c>
      <c r="I24" s="156">
        <v>200008946</v>
      </c>
      <c r="J24" s="156" t="s">
        <v>623</v>
      </c>
      <c r="K24" s="198"/>
      <c r="L24" s="198"/>
      <c r="M24" s="198"/>
      <c r="N24" s="198"/>
      <c r="O24" s="198"/>
      <c r="P24" s="198"/>
      <c r="Q24" s="198"/>
      <c r="R24" s="198"/>
    </row>
    <row r="25" spans="1:18" x14ac:dyDescent="0.25">
      <c r="A25" s="149"/>
      <c r="B25" s="234">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5">
        <v>100083593</v>
      </c>
      <c r="E25" s="245" t="s">
        <v>511</v>
      </c>
      <c r="F25" s="219"/>
      <c r="G25" s="234">
        <f>Data!E108</f>
        <v>0</v>
      </c>
      <c r="H25" s="156" t="s">
        <v>624</v>
      </c>
      <c r="I25" s="156">
        <v>200008972</v>
      </c>
      <c r="J25" s="156" t="s">
        <v>625</v>
      </c>
      <c r="K25" s="198"/>
      <c r="L25" s="198"/>
      <c r="M25" s="198"/>
      <c r="N25" s="198"/>
      <c r="O25" s="198"/>
      <c r="P25" s="198"/>
      <c r="Q25" s="198"/>
      <c r="R25" s="198"/>
    </row>
    <row r="26" spans="1:18" x14ac:dyDescent="0.25">
      <c r="A26" s="149"/>
      <c r="B26" s="234">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75</v>
      </c>
      <c r="C26" s="161" t="s">
        <v>278</v>
      </c>
      <c r="D26" s="243">
        <v>100083592</v>
      </c>
      <c r="E26" s="243" t="s">
        <v>512</v>
      </c>
      <c r="F26" s="219"/>
      <c r="G26" s="234">
        <f>Data!E109</f>
        <v>0</v>
      </c>
      <c r="H26" s="156" t="s">
        <v>626</v>
      </c>
      <c r="I26" s="156">
        <v>200008930</v>
      </c>
      <c r="J26" s="156" t="s">
        <v>627</v>
      </c>
      <c r="K26" s="198"/>
      <c r="L26" s="198"/>
      <c r="M26" s="198"/>
      <c r="N26" s="198"/>
      <c r="O26" s="198"/>
      <c r="P26" s="198"/>
      <c r="Q26" s="198"/>
      <c r="R26" s="198"/>
    </row>
    <row r="27" spans="1:18" x14ac:dyDescent="0.25">
      <c r="A27" s="149"/>
      <c r="B27" s="234">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3">
        <v>200008456</v>
      </c>
      <c r="E27" s="243" t="s">
        <v>513</v>
      </c>
      <c r="F27" s="219"/>
      <c r="G27" s="234">
        <f>Data!E110</f>
        <v>0</v>
      </c>
      <c r="H27" s="156" t="s">
        <v>628</v>
      </c>
      <c r="I27" s="156">
        <v>200008957</v>
      </c>
      <c r="J27" s="156" t="s">
        <v>629</v>
      </c>
      <c r="K27" s="198"/>
      <c r="L27" s="198"/>
      <c r="M27" s="198"/>
      <c r="N27" s="198"/>
      <c r="O27" s="198"/>
      <c r="P27" s="198"/>
      <c r="Q27" s="198"/>
      <c r="R27" s="198"/>
    </row>
    <row r="28" spans="1:18" x14ac:dyDescent="0.25">
      <c r="A28" s="149"/>
      <c r="B28" s="234">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2">
        <v>100089396</v>
      </c>
      <c r="E28" s="242" t="s">
        <v>514</v>
      </c>
      <c r="F28" s="209"/>
      <c r="G28" s="234">
        <f>Data!E111</f>
        <v>0</v>
      </c>
      <c r="H28" s="156" t="s">
        <v>630</v>
      </c>
      <c r="I28" s="156">
        <v>200008928</v>
      </c>
      <c r="J28" s="156" t="s">
        <v>631</v>
      </c>
      <c r="K28" s="198" t="s">
        <v>254</v>
      </c>
      <c r="L28" s="198"/>
      <c r="M28" s="198"/>
      <c r="N28" s="198"/>
      <c r="O28" s="198"/>
      <c r="P28" s="198"/>
      <c r="Q28" s="198"/>
      <c r="R28" s="198"/>
    </row>
    <row r="29" spans="1:18" x14ac:dyDescent="0.25">
      <c r="A29" s="149"/>
      <c r="B29" s="234">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2">
        <v>100089548</v>
      </c>
      <c r="E29" s="242" t="s">
        <v>515</v>
      </c>
      <c r="F29" s="209"/>
      <c r="G29" s="234">
        <f>Data!E112</f>
        <v>0</v>
      </c>
      <c r="H29" s="156" t="s">
        <v>632</v>
      </c>
      <c r="I29" s="156">
        <v>200008951</v>
      </c>
      <c r="J29" s="156" t="s">
        <v>633</v>
      </c>
      <c r="K29" s="198"/>
      <c r="L29" s="198"/>
      <c r="M29" s="198"/>
      <c r="N29" s="198"/>
      <c r="O29" s="198"/>
      <c r="P29" s="198"/>
      <c r="Q29" s="198"/>
      <c r="R29" s="198"/>
    </row>
    <row r="30" spans="1:18" x14ac:dyDescent="0.25">
      <c r="A30" s="149"/>
      <c r="B30" s="234">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5">
        <v>100089397</v>
      </c>
      <c r="E30" s="245" t="s">
        <v>516</v>
      </c>
      <c r="F30" s="219"/>
      <c r="G30" s="234">
        <f>Data!E113</f>
        <v>0</v>
      </c>
      <c r="H30" s="156" t="s">
        <v>634</v>
      </c>
      <c r="I30" s="156">
        <v>200008939</v>
      </c>
      <c r="J30" s="156" t="s">
        <v>635</v>
      </c>
      <c r="K30" s="198"/>
      <c r="L30" s="198"/>
      <c r="M30" s="198"/>
      <c r="N30" s="198"/>
      <c r="O30" s="198"/>
      <c r="P30" s="198"/>
      <c r="Q30" s="198"/>
      <c r="R30" s="198"/>
    </row>
    <row r="31" spans="1:18" x14ac:dyDescent="0.25">
      <c r="A31" s="149"/>
      <c r="B31" s="234">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3">
        <v>100089549</v>
      </c>
      <c r="E31" s="243" t="s">
        <v>517</v>
      </c>
      <c r="F31" s="219"/>
      <c r="G31" s="234">
        <f>Data!E114</f>
        <v>0</v>
      </c>
      <c r="H31" s="156" t="s">
        <v>636</v>
      </c>
      <c r="I31" s="156">
        <v>200008922</v>
      </c>
      <c r="J31" s="156" t="s">
        <v>637</v>
      </c>
      <c r="K31" s="198"/>
      <c r="L31" s="198"/>
      <c r="M31" s="198"/>
      <c r="N31" s="198"/>
      <c r="O31" s="198"/>
      <c r="P31" s="198"/>
      <c r="Q31" s="198"/>
      <c r="R31" s="198"/>
    </row>
    <row r="32" spans="1:18" x14ac:dyDescent="0.25">
      <c r="A32" s="149"/>
      <c r="B32" s="234">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3">
        <v>200008455</v>
      </c>
      <c r="E32" s="243" t="s">
        <v>518</v>
      </c>
      <c r="F32" s="219"/>
      <c r="G32" s="234">
        <f>Data!E115</f>
        <v>0</v>
      </c>
      <c r="H32" s="156" t="s">
        <v>638</v>
      </c>
      <c r="I32" s="156">
        <v>200008933</v>
      </c>
      <c r="J32" s="156" t="s">
        <v>639</v>
      </c>
      <c r="K32" s="198"/>
      <c r="L32" s="198"/>
      <c r="M32" s="198"/>
      <c r="N32" s="198"/>
      <c r="O32" s="198"/>
      <c r="P32" s="198"/>
      <c r="Q32" s="198"/>
      <c r="R32" s="198"/>
    </row>
    <row r="33" spans="1:18" x14ac:dyDescent="0.25">
      <c r="A33" s="149"/>
      <c r="B33" s="234">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6">
        <v>200002278</v>
      </c>
      <c r="E33" s="246" t="s">
        <v>519</v>
      </c>
      <c r="F33" s="221"/>
      <c r="G33" s="234">
        <f>Data!E116</f>
        <v>0</v>
      </c>
      <c r="H33" s="156" t="s">
        <v>640</v>
      </c>
      <c r="I33" s="156">
        <v>200008984</v>
      </c>
      <c r="J33" s="156" t="s">
        <v>641</v>
      </c>
      <c r="K33" s="198"/>
      <c r="L33" s="198"/>
      <c r="M33" s="198"/>
      <c r="N33" s="198"/>
      <c r="O33" s="198"/>
      <c r="P33" s="198"/>
      <c r="Q33" s="198"/>
      <c r="R33" s="198"/>
    </row>
    <row r="34" spans="1:18" x14ac:dyDescent="0.25">
      <c r="A34" s="149"/>
      <c r="B34" s="234">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6">
        <v>200002276</v>
      </c>
      <c r="E34" s="246" t="s">
        <v>520</v>
      </c>
      <c r="F34" s="221"/>
      <c r="G34" s="234">
        <f>Data!E117</f>
        <v>0</v>
      </c>
      <c r="H34" s="156" t="s">
        <v>642</v>
      </c>
      <c r="I34" s="156">
        <v>200008977</v>
      </c>
      <c r="J34" s="156" t="s">
        <v>643</v>
      </c>
      <c r="K34" s="198"/>
      <c r="L34" s="198"/>
      <c r="M34" s="198"/>
      <c r="N34" s="198"/>
      <c r="O34" s="198"/>
      <c r="P34" s="198"/>
      <c r="Q34" s="198"/>
      <c r="R34" s="198"/>
    </row>
    <row r="35" spans="1:18" x14ac:dyDescent="0.25">
      <c r="A35" s="149"/>
      <c r="B35" s="234">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6">
        <v>200002273</v>
      </c>
      <c r="E35" s="246" t="s">
        <v>521</v>
      </c>
      <c r="F35" s="221"/>
      <c r="G35" s="234">
        <f>Data!E118</f>
        <v>0</v>
      </c>
      <c r="H35" s="156" t="s">
        <v>644</v>
      </c>
      <c r="I35" s="156">
        <v>200009004</v>
      </c>
      <c r="J35" s="156" t="s">
        <v>645</v>
      </c>
      <c r="K35" s="198"/>
      <c r="L35" s="198"/>
      <c r="M35" s="198"/>
      <c r="N35" s="198"/>
      <c r="O35" s="198"/>
      <c r="P35" s="198"/>
      <c r="Q35" s="198"/>
      <c r="R35" s="198"/>
    </row>
    <row r="36" spans="1:18" x14ac:dyDescent="0.25">
      <c r="A36" s="149"/>
      <c r="B36" s="234">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6">
        <v>200002272</v>
      </c>
      <c r="E36" s="246" t="s">
        <v>522</v>
      </c>
      <c r="F36" s="221"/>
      <c r="G36" s="234">
        <f>Data!E119</f>
        <v>0</v>
      </c>
      <c r="H36" s="156" t="s">
        <v>646</v>
      </c>
      <c r="I36" s="156">
        <v>200008956</v>
      </c>
      <c r="J36" s="156" t="s">
        <v>647</v>
      </c>
      <c r="K36" s="198"/>
      <c r="L36" s="198"/>
      <c r="M36" s="198"/>
      <c r="N36" s="198"/>
      <c r="O36" s="198"/>
      <c r="P36" s="198"/>
      <c r="Q36" s="198"/>
      <c r="R36" s="198"/>
    </row>
    <row r="37" spans="1:18" x14ac:dyDescent="0.25">
      <c r="A37" s="149"/>
      <c r="B37" s="234">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6">
        <v>200008457</v>
      </c>
      <c r="E37" s="246" t="s">
        <v>523</v>
      </c>
      <c r="F37" s="221"/>
      <c r="G37" s="234">
        <f>Data!E120</f>
        <v>0</v>
      </c>
      <c r="H37" s="156" t="s">
        <v>648</v>
      </c>
      <c r="I37" s="156">
        <v>200008987</v>
      </c>
      <c r="J37" s="156" t="s">
        <v>649</v>
      </c>
      <c r="K37" s="198"/>
      <c r="L37" s="198"/>
      <c r="M37" s="198"/>
      <c r="N37" s="198"/>
      <c r="O37" s="198"/>
      <c r="P37" s="198"/>
      <c r="Q37" s="198"/>
      <c r="R37" s="198"/>
    </row>
    <row r="38" spans="1:18" x14ac:dyDescent="0.25">
      <c r="A38" s="149"/>
      <c r="B38" s="234">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6">
        <v>200002284</v>
      </c>
      <c r="E38" s="246" t="s">
        <v>524</v>
      </c>
      <c r="F38" s="221"/>
      <c r="G38" s="234">
        <f>Data!E121</f>
        <v>0</v>
      </c>
      <c r="H38" s="156" t="s">
        <v>650</v>
      </c>
      <c r="I38" s="156">
        <v>200008978</v>
      </c>
      <c r="J38" s="156" t="s">
        <v>651</v>
      </c>
      <c r="K38" s="198"/>
      <c r="L38" s="198"/>
      <c r="M38" s="198"/>
      <c r="N38" s="198"/>
      <c r="O38" s="198"/>
      <c r="P38" s="198"/>
      <c r="Q38" s="198"/>
      <c r="R38" s="198"/>
    </row>
    <row r="39" spans="1:18" x14ac:dyDescent="0.25">
      <c r="A39" s="149"/>
      <c r="B39" s="234">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6">
        <v>200002283</v>
      </c>
      <c r="E39" s="246" t="s">
        <v>525</v>
      </c>
      <c r="F39" s="221"/>
      <c r="G39" s="234">
        <f>Data!E122</f>
        <v>0</v>
      </c>
      <c r="H39" s="156" t="s">
        <v>652</v>
      </c>
      <c r="I39" s="156">
        <v>200009005</v>
      </c>
      <c r="J39" s="156" t="s">
        <v>653</v>
      </c>
      <c r="K39" s="198"/>
      <c r="L39" s="198"/>
      <c r="M39" s="198"/>
      <c r="N39" s="198"/>
      <c r="O39" s="198"/>
      <c r="P39" s="198"/>
      <c r="Q39" s="198"/>
      <c r="R39" s="198"/>
    </row>
    <row r="40" spans="1:18" x14ac:dyDescent="0.25">
      <c r="A40" s="149"/>
      <c r="B40" s="234">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6">
        <v>200002282</v>
      </c>
      <c r="E40" s="246" t="s">
        <v>526</v>
      </c>
      <c r="F40" s="221"/>
      <c r="G40" s="234">
        <f>Data!E123</f>
        <v>0</v>
      </c>
      <c r="H40" s="156" t="s">
        <v>654</v>
      </c>
      <c r="I40" s="156">
        <v>200008937</v>
      </c>
      <c r="J40" s="156" t="s">
        <v>655</v>
      </c>
      <c r="K40" s="198"/>
      <c r="L40" s="198"/>
      <c r="M40" s="198"/>
      <c r="N40" s="198"/>
      <c r="O40" s="198"/>
      <c r="P40" s="198"/>
      <c r="Q40" s="198"/>
      <c r="R40" s="198"/>
    </row>
    <row r="41" spans="1:18" x14ac:dyDescent="0.25">
      <c r="A41" s="149"/>
      <c r="B41" s="234">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6">
        <v>200002279</v>
      </c>
      <c r="E41" s="246" t="s">
        <v>527</v>
      </c>
      <c r="F41" s="221"/>
      <c r="G41" s="234">
        <f>Data!E124</f>
        <v>0</v>
      </c>
      <c r="H41" s="156" t="s">
        <v>656</v>
      </c>
      <c r="I41" s="156">
        <v>200008943</v>
      </c>
      <c r="J41" s="156" t="s">
        <v>657</v>
      </c>
      <c r="K41" s="198"/>
      <c r="L41" s="198"/>
      <c r="M41" s="198"/>
      <c r="N41" s="198"/>
      <c r="O41" s="198"/>
      <c r="P41" s="198"/>
      <c r="Q41" s="198"/>
      <c r="R41" s="198"/>
    </row>
    <row r="42" spans="1:18" x14ac:dyDescent="0.25">
      <c r="A42" s="149"/>
      <c r="B42" s="234">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6">
        <v>200008458</v>
      </c>
      <c r="E42" s="246" t="s">
        <v>528</v>
      </c>
      <c r="F42" s="221"/>
      <c r="G42" s="234">
        <f>Data!E125</f>
        <v>0</v>
      </c>
      <c r="H42" s="156" t="s">
        <v>658</v>
      </c>
      <c r="I42" s="156">
        <v>200008936</v>
      </c>
      <c r="J42" s="156" t="s">
        <v>659</v>
      </c>
      <c r="K42" s="198"/>
      <c r="L42" s="198"/>
      <c r="M42" s="198"/>
      <c r="N42" s="198"/>
      <c r="O42" s="198"/>
      <c r="P42" s="198"/>
      <c r="Q42" s="198"/>
      <c r="R42" s="198"/>
    </row>
    <row r="43" spans="1:18" x14ac:dyDescent="0.25">
      <c r="A43" s="149"/>
      <c r="B43" s="234">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3">
        <v>200002409</v>
      </c>
      <c r="E43" s="243" t="s">
        <v>529</v>
      </c>
      <c r="F43" s="219"/>
      <c r="G43" s="234">
        <f>Data!E126</f>
        <v>0</v>
      </c>
      <c r="H43" s="156" t="s">
        <v>660</v>
      </c>
      <c r="I43" s="156">
        <v>200009007</v>
      </c>
      <c r="J43" s="156" t="s">
        <v>661</v>
      </c>
      <c r="K43" s="198"/>
      <c r="L43" s="198"/>
      <c r="M43" s="198"/>
      <c r="N43" s="198"/>
      <c r="O43" s="198"/>
      <c r="P43" s="198"/>
      <c r="Q43" s="198"/>
      <c r="R43" s="198"/>
    </row>
    <row r="44" spans="1:18" x14ac:dyDescent="0.25">
      <c r="A44" s="149"/>
      <c r="B44" s="234">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3">
        <v>200002407</v>
      </c>
      <c r="E44" s="243" t="s">
        <v>530</v>
      </c>
      <c r="F44" s="219"/>
      <c r="G44" s="234">
        <f>Data!E127</f>
        <v>0</v>
      </c>
      <c r="H44" s="156" t="s">
        <v>662</v>
      </c>
      <c r="I44" s="156">
        <v>200009014</v>
      </c>
      <c r="J44" s="156" t="s">
        <v>663</v>
      </c>
      <c r="K44" s="198"/>
      <c r="L44" s="198"/>
      <c r="M44" s="198"/>
      <c r="N44" s="198"/>
      <c r="O44" s="198"/>
      <c r="P44" s="198"/>
      <c r="Q44" s="198"/>
      <c r="R44" s="198"/>
    </row>
    <row r="45" spans="1:18" x14ac:dyDescent="0.25">
      <c r="A45" s="149"/>
      <c r="B45" s="234">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3">
        <v>200002408</v>
      </c>
      <c r="E45" s="243" t="s">
        <v>531</v>
      </c>
      <c r="F45" s="219"/>
      <c r="G45" s="234">
        <f>Data!E128</f>
        <v>0</v>
      </c>
      <c r="H45" s="156" t="s">
        <v>664</v>
      </c>
      <c r="I45" s="156">
        <v>200009000</v>
      </c>
      <c r="J45" s="156" t="s">
        <v>665</v>
      </c>
      <c r="K45" s="198"/>
      <c r="L45" s="198"/>
      <c r="M45" s="198"/>
      <c r="N45" s="198"/>
      <c r="O45" s="198"/>
      <c r="P45" s="198"/>
      <c r="Q45" s="198"/>
      <c r="R45" s="198"/>
    </row>
    <row r="46" spans="1:18" x14ac:dyDescent="0.25">
      <c r="A46" s="149"/>
      <c r="B46" s="234">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3">
        <v>200002414</v>
      </c>
      <c r="E46" s="243" t="s">
        <v>532</v>
      </c>
      <c r="F46" s="219"/>
      <c r="G46" s="234">
        <f>Data!E129</f>
        <v>0</v>
      </c>
      <c r="H46" s="156" t="s">
        <v>666</v>
      </c>
      <c r="I46" s="156">
        <v>200008944</v>
      </c>
      <c r="J46" s="156" t="s">
        <v>667</v>
      </c>
      <c r="K46" s="198"/>
      <c r="L46" s="198"/>
      <c r="M46" s="198"/>
      <c r="N46" s="198"/>
      <c r="O46" s="198"/>
      <c r="P46" s="198"/>
      <c r="Q46" s="198"/>
      <c r="R46" s="198"/>
    </row>
    <row r="47" spans="1:18" x14ac:dyDescent="0.25">
      <c r="A47" s="149"/>
      <c r="B47" s="234">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3">
        <v>200002404</v>
      </c>
      <c r="E47" s="243" t="s">
        <v>533</v>
      </c>
      <c r="F47" s="219"/>
      <c r="G47" s="234">
        <f>Data!E130</f>
        <v>0</v>
      </c>
      <c r="H47" s="156" t="s">
        <v>668</v>
      </c>
      <c r="I47" s="156">
        <v>200008996</v>
      </c>
      <c r="J47" s="156" t="s">
        <v>669</v>
      </c>
      <c r="K47" s="198"/>
      <c r="L47" s="198"/>
      <c r="M47" s="198"/>
      <c r="N47" s="198"/>
      <c r="O47" s="198"/>
      <c r="P47" s="198"/>
      <c r="Q47" s="198"/>
      <c r="R47" s="198"/>
    </row>
    <row r="48" spans="1:18" x14ac:dyDescent="0.25">
      <c r="A48" s="149"/>
      <c r="B48" s="234">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3">
        <v>200002411</v>
      </c>
      <c r="E48" s="243" t="s">
        <v>534</v>
      </c>
      <c r="F48" s="219"/>
      <c r="G48" s="234">
        <f>Data!E131</f>
        <v>0</v>
      </c>
      <c r="H48" s="156" t="s">
        <v>670</v>
      </c>
      <c r="I48" s="156">
        <v>200008962</v>
      </c>
      <c r="J48" s="156" t="s">
        <v>671</v>
      </c>
      <c r="K48" s="198"/>
      <c r="L48" s="198"/>
      <c r="M48" s="198"/>
      <c r="N48" s="198"/>
      <c r="O48" s="198"/>
      <c r="P48" s="198"/>
      <c r="Q48" s="198"/>
      <c r="R48" s="198"/>
    </row>
    <row r="49" spans="1:18" x14ac:dyDescent="0.25">
      <c r="A49" s="149"/>
      <c r="B49" s="234">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3">
        <v>100088379</v>
      </c>
      <c r="E49" s="243" t="s">
        <v>535</v>
      </c>
      <c r="F49" s="219"/>
      <c r="G49" s="234">
        <f>Data!E132</f>
        <v>0</v>
      </c>
      <c r="H49" s="156" t="s">
        <v>672</v>
      </c>
      <c r="I49" s="156">
        <v>200009001</v>
      </c>
      <c r="J49" s="156" t="s">
        <v>673</v>
      </c>
      <c r="K49" s="198"/>
      <c r="L49" s="198"/>
      <c r="M49" s="198"/>
      <c r="N49" s="198"/>
      <c r="O49" s="198"/>
      <c r="P49" s="198"/>
      <c r="Q49" s="198"/>
      <c r="R49" s="198"/>
    </row>
    <row r="50" spans="1:18" x14ac:dyDescent="0.25">
      <c r="A50" s="149"/>
      <c r="B50" s="234">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5">
        <v>100088380</v>
      </c>
      <c r="E50" s="245" t="s">
        <v>536</v>
      </c>
      <c r="F50" s="219"/>
      <c r="G50" s="234">
        <f>Data!E133</f>
        <v>0</v>
      </c>
      <c r="H50" s="156" t="s">
        <v>674</v>
      </c>
      <c r="I50" s="156">
        <v>200008931</v>
      </c>
      <c r="J50" s="156" t="s">
        <v>675</v>
      </c>
      <c r="K50" s="198"/>
      <c r="L50" s="198"/>
      <c r="M50" s="198"/>
      <c r="N50" s="198"/>
      <c r="O50" s="198"/>
      <c r="P50" s="198"/>
      <c r="Q50" s="198"/>
      <c r="R50" s="198"/>
    </row>
    <row r="51" spans="1:18" x14ac:dyDescent="0.25">
      <c r="A51" s="149"/>
      <c r="B51" s="234">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5">
        <v>200002564</v>
      </c>
      <c r="E51" s="243" t="s">
        <v>537</v>
      </c>
      <c r="F51" s="219"/>
      <c r="G51" s="234">
        <f>Data!E134</f>
        <v>0</v>
      </c>
      <c r="H51" s="156" t="s">
        <v>676</v>
      </c>
      <c r="I51" s="156">
        <v>200008980</v>
      </c>
      <c r="J51" s="156" t="s">
        <v>677</v>
      </c>
      <c r="K51" s="198"/>
      <c r="L51" s="198"/>
      <c r="M51" s="198"/>
      <c r="N51" s="198"/>
      <c r="O51" s="198"/>
      <c r="P51" s="198"/>
      <c r="Q51" s="198"/>
      <c r="R51" s="198"/>
    </row>
    <row r="52" spans="1:18" x14ac:dyDescent="0.25">
      <c r="A52" s="149"/>
      <c r="B52" s="234">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5">
        <v>200002567</v>
      </c>
      <c r="E52" s="243" t="s">
        <v>538</v>
      </c>
      <c r="F52" s="219"/>
      <c r="G52" s="234">
        <f>Data!E135</f>
        <v>0</v>
      </c>
      <c r="H52" s="156" t="s">
        <v>678</v>
      </c>
      <c r="I52" s="156">
        <v>200008989</v>
      </c>
      <c r="J52" s="156" t="s">
        <v>679</v>
      </c>
      <c r="K52" s="198"/>
      <c r="L52" s="198"/>
      <c r="M52" s="198"/>
      <c r="N52" s="198"/>
      <c r="O52" s="198"/>
      <c r="P52" s="198"/>
      <c r="Q52" s="198"/>
      <c r="R52" s="198"/>
    </row>
    <row r="53" spans="1:18" x14ac:dyDescent="0.25">
      <c r="A53" s="149"/>
      <c r="B53" s="234">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2">
        <v>100089546</v>
      </c>
      <c r="E53" s="242" t="s">
        <v>539</v>
      </c>
      <c r="F53" s="209"/>
      <c r="G53" s="210"/>
      <c r="H53" s="211"/>
      <c r="I53" s="211"/>
      <c r="J53" s="212"/>
      <c r="K53" s="198"/>
      <c r="L53" s="198"/>
      <c r="M53" s="198"/>
      <c r="N53" s="198"/>
      <c r="O53" s="198"/>
      <c r="P53" s="198"/>
      <c r="Q53" s="198"/>
      <c r="R53" s="198"/>
    </row>
    <row r="54" spans="1:18" x14ac:dyDescent="0.25">
      <c r="A54" s="149"/>
      <c r="B54" s="234">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2">
        <v>100089547</v>
      </c>
      <c r="E54" s="242" t="s">
        <v>540</v>
      </c>
      <c r="F54" s="209"/>
      <c r="G54" s="210"/>
      <c r="H54" s="211"/>
      <c r="I54" s="211"/>
      <c r="J54" s="212"/>
      <c r="K54" s="198"/>
      <c r="L54" s="198"/>
      <c r="M54" s="198"/>
      <c r="N54" s="198"/>
      <c r="O54" s="198"/>
      <c r="P54" s="198"/>
      <c r="Q54" s="198"/>
      <c r="R54" s="198"/>
    </row>
    <row r="55" spans="1:18" x14ac:dyDescent="0.25">
      <c r="A55" s="149"/>
      <c r="B55" s="234">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2">
        <v>200002565</v>
      </c>
      <c r="E55" s="242" t="s">
        <v>541</v>
      </c>
      <c r="F55" s="209"/>
      <c r="G55" s="210"/>
      <c r="H55" s="211"/>
      <c r="I55" s="211"/>
      <c r="J55" s="212"/>
      <c r="K55" s="198"/>
      <c r="L55" s="198"/>
      <c r="M55" s="198"/>
      <c r="N55" s="198"/>
      <c r="O55" s="198"/>
      <c r="P55" s="198"/>
      <c r="Q55" s="198"/>
      <c r="R55" s="198"/>
    </row>
    <row r="56" spans="1:18" x14ac:dyDescent="0.25">
      <c r="A56" s="149"/>
      <c r="B56" s="234">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2">
        <v>200002568</v>
      </c>
      <c r="E56" s="242" t="s">
        <v>542</v>
      </c>
      <c r="F56" s="209"/>
      <c r="G56" s="210"/>
      <c r="H56" s="211"/>
      <c r="I56" s="211"/>
      <c r="J56" s="212"/>
      <c r="K56" s="198"/>
      <c r="L56" s="198"/>
      <c r="M56" s="198"/>
      <c r="N56" s="198"/>
      <c r="O56" s="198"/>
      <c r="P56" s="198"/>
      <c r="Q56" s="198"/>
      <c r="R56" s="198"/>
    </row>
    <row r="57" spans="1:18" x14ac:dyDescent="0.25">
      <c r="A57" s="149"/>
      <c r="B57" s="234">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2">
        <v>200002285</v>
      </c>
      <c r="E57" s="242" t="s">
        <v>543</v>
      </c>
      <c r="F57" s="209"/>
      <c r="G57" s="210"/>
      <c r="H57" s="211"/>
      <c r="I57" s="211"/>
      <c r="J57" s="212"/>
      <c r="K57" s="198"/>
      <c r="L57" s="198"/>
      <c r="M57" s="198"/>
      <c r="N57" s="198"/>
      <c r="O57" s="198"/>
      <c r="P57" s="198"/>
      <c r="Q57" s="198"/>
      <c r="R57" s="198"/>
    </row>
    <row r="58" spans="1:18" x14ac:dyDescent="0.25">
      <c r="A58" s="149"/>
      <c r="B58" s="234">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2">
        <v>200002286</v>
      </c>
      <c r="E58" s="242" t="s">
        <v>545</v>
      </c>
      <c r="F58" s="209"/>
      <c r="G58" s="210"/>
      <c r="H58" s="211"/>
      <c r="I58" s="211"/>
      <c r="J58" s="212"/>
      <c r="K58" s="198"/>
      <c r="L58" s="198"/>
      <c r="M58" s="198"/>
      <c r="N58" s="198"/>
      <c r="O58" s="198"/>
      <c r="P58" s="198"/>
      <c r="Q58" s="198"/>
      <c r="R58" s="198"/>
    </row>
    <row r="59" spans="1:18" x14ac:dyDescent="0.25">
      <c r="A59" s="149"/>
      <c r="B59" s="234">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7">
        <v>200004243</v>
      </c>
      <c r="E59" s="242" t="s">
        <v>546</v>
      </c>
      <c r="F59" s="209"/>
      <c r="G59" s="210"/>
      <c r="H59" s="211"/>
      <c r="I59" s="211"/>
      <c r="J59" s="212"/>
      <c r="K59" s="198"/>
      <c r="L59" s="198"/>
      <c r="M59" s="198"/>
      <c r="N59" s="198"/>
      <c r="O59" s="198"/>
      <c r="P59" s="198"/>
      <c r="Q59" s="198"/>
      <c r="R59" s="198"/>
    </row>
    <row r="60" spans="1:18" x14ac:dyDescent="0.25">
      <c r="A60" s="149"/>
      <c r="B60" s="234">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7">
        <v>200004245</v>
      </c>
      <c r="E60" s="242" t="s">
        <v>547</v>
      </c>
      <c r="F60" s="209"/>
      <c r="G60" s="210"/>
      <c r="H60" s="211"/>
      <c r="I60" s="211"/>
      <c r="J60" s="212"/>
      <c r="K60" s="198"/>
      <c r="L60" s="198"/>
      <c r="M60" s="198"/>
      <c r="N60" s="198"/>
      <c r="O60" s="198"/>
      <c r="P60" s="198"/>
      <c r="Q60" s="198"/>
      <c r="R60" s="198"/>
    </row>
    <row r="61" spans="1:18" x14ac:dyDescent="0.25">
      <c r="A61" s="149"/>
      <c r="B61" s="234">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5">
        <v>200002410</v>
      </c>
      <c r="E61" s="242" t="s">
        <v>548</v>
      </c>
      <c r="F61" s="209"/>
      <c r="G61" s="210"/>
      <c r="H61" s="211"/>
      <c r="I61" s="211"/>
      <c r="J61" s="212"/>
      <c r="K61" s="198"/>
      <c r="L61" s="198"/>
      <c r="M61" s="198"/>
      <c r="N61" s="198"/>
      <c r="O61" s="198"/>
      <c r="P61" s="198"/>
      <c r="Q61" s="198"/>
      <c r="R61" s="198"/>
    </row>
    <row r="62" spans="1:18" x14ac:dyDescent="0.25">
      <c r="A62" s="149"/>
      <c r="B62" s="234">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5">
        <v>200002412</v>
      </c>
      <c r="E62" s="242" t="s">
        <v>549</v>
      </c>
      <c r="F62" s="209"/>
      <c r="G62" s="210"/>
      <c r="H62" s="211"/>
      <c r="I62" s="211"/>
      <c r="J62" s="212"/>
      <c r="K62" s="198"/>
      <c r="L62" s="198"/>
      <c r="M62" s="198"/>
      <c r="N62" s="198"/>
      <c r="O62" s="198"/>
      <c r="P62" s="198"/>
      <c r="Q62" s="198"/>
      <c r="R62" s="198"/>
    </row>
    <row r="63" spans="1:18" x14ac:dyDescent="0.25">
      <c r="A63" s="149"/>
      <c r="B63" s="234">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5">
        <v>200002566</v>
      </c>
      <c r="E63" s="242" t="s">
        <v>550</v>
      </c>
      <c r="F63" s="209"/>
      <c r="G63" s="210"/>
      <c r="H63" s="211"/>
      <c r="I63" s="211"/>
      <c r="J63" s="212"/>
      <c r="K63" s="198"/>
      <c r="L63" s="198"/>
      <c r="M63" s="198"/>
      <c r="N63" s="198"/>
      <c r="O63" s="198"/>
      <c r="P63" s="198"/>
      <c r="Q63" s="198"/>
      <c r="R63" s="198"/>
    </row>
    <row r="64" spans="1:18" x14ac:dyDescent="0.25">
      <c r="A64" s="149"/>
      <c r="B64" s="234">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5">
        <v>200002569</v>
      </c>
      <c r="E64" s="242" t="s">
        <v>551</v>
      </c>
      <c r="F64" s="213"/>
      <c r="G64" s="214"/>
      <c r="H64" s="215"/>
      <c r="I64" s="215"/>
      <c r="J64" s="216"/>
      <c r="K64" s="198"/>
      <c r="L64" s="198"/>
      <c r="M64" s="198"/>
      <c r="N64" s="198"/>
      <c r="O64" s="198"/>
      <c r="P64" s="198"/>
      <c r="Q64" s="198"/>
      <c r="R64" s="198"/>
    </row>
    <row r="65" spans="1:18" x14ac:dyDescent="0.25">
      <c r="A65" s="149"/>
      <c r="B65" s="163"/>
      <c r="C65" s="164"/>
      <c r="D65" s="165"/>
      <c r="E65" s="166"/>
      <c r="F65" s="201"/>
      <c r="G65" s="167"/>
      <c r="H65" s="198"/>
      <c r="I65" s="198"/>
      <c r="J65" s="198"/>
      <c r="K65" s="198"/>
      <c r="L65" s="198"/>
      <c r="M65" s="198"/>
      <c r="N65" s="198"/>
      <c r="O65" s="198"/>
      <c r="P65" s="198"/>
      <c r="Q65" s="198"/>
      <c r="R65" s="198"/>
    </row>
    <row r="66" spans="1:18" x14ac:dyDescent="0.25">
      <c r="A66" s="149"/>
      <c r="B66" s="168"/>
      <c r="C66" s="168"/>
      <c r="D66" s="168"/>
      <c r="E66" s="168"/>
      <c r="F66" s="198"/>
      <c r="G66" s="199"/>
      <c r="H66" s="198"/>
      <c r="I66" s="198"/>
      <c r="J66" s="198"/>
      <c r="K66" s="198"/>
      <c r="L66" s="198"/>
      <c r="M66" s="198"/>
      <c r="N66" s="198"/>
      <c r="O66" s="198"/>
      <c r="P66" s="198"/>
      <c r="Q66" s="198"/>
      <c r="R66" s="198"/>
    </row>
    <row r="67" spans="1:18" ht="26.25" x14ac:dyDescent="0.4">
      <c r="A67" s="149"/>
      <c r="B67" s="222" t="s">
        <v>694</v>
      </c>
      <c r="C67" s="223"/>
      <c r="D67" s="223"/>
      <c r="E67" s="224"/>
      <c r="F67" s="198"/>
      <c r="G67" s="199"/>
      <c r="H67" s="198"/>
      <c r="I67" s="198"/>
      <c r="J67" s="198"/>
      <c r="K67" s="198"/>
      <c r="L67" s="198"/>
      <c r="M67" s="198"/>
      <c r="N67" s="198"/>
      <c r="O67" s="198"/>
      <c r="P67" s="198"/>
      <c r="Q67" s="198"/>
      <c r="R67" s="198"/>
    </row>
    <row r="68" spans="1:18" ht="24" x14ac:dyDescent="0.25">
      <c r="A68" s="149"/>
      <c r="B68" s="3" t="s">
        <v>683</v>
      </c>
      <c r="C68" s="3" t="s">
        <v>684</v>
      </c>
      <c r="D68" s="3" t="s">
        <v>464</v>
      </c>
      <c r="E68" s="23" t="s">
        <v>466</v>
      </c>
      <c r="F68" s="198"/>
      <c r="G68" s="169"/>
      <c r="H68" s="198"/>
      <c r="I68" s="198"/>
      <c r="J68" s="198"/>
      <c r="K68" s="198"/>
      <c r="L68" s="198"/>
      <c r="M68" s="198"/>
      <c r="N68" s="198"/>
      <c r="O68" s="198"/>
      <c r="P68" s="198"/>
      <c r="Q68" s="198"/>
      <c r="R68" s="198"/>
    </row>
    <row r="69" spans="1:18" x14ac:dyDescent="0.25">
      <c r="A69" s="149"/>
      <c r="B69" s="236">
        <f>SUM('8645C Innerduct'!C2:AF499)</f>
        <v>5472</v>
      </c>
      <c r="C69" s="158" t="s">
        <v>565</v>
      </c>
      <c r="D69" s="158">
        <v>100069989</v>
      </c>
      <c r="E69" s="158" t="s">
        <v>566</v>
      </c>
      <c r="F69" s="198"/>
      <c r="G69" s="167"/>
      <c r="H69" s="198"/>
      <c r="I69" s="198"/>
      <c r="J69" s="198"/>
      <c r="K69" s="198"/>
      <c r="L69" s="198"/>
      <c r="M69" s="198"/>
      <c r="N69" s="198"/>
      <c r="O69" s="198"/>
      <c r="P69" s="198"/>
      <c r="Q69" s="198"/>
      <c r="R69" s="198"/>
    </row>
    <row r="70" spans="1:18" ht="15" customHeight="1" x14ac:dyDescent="0.25">
      <c r="A70" s="149"/>
      <c r="B70" s="237">
        <f>SUM('8645C Innerduct'!B:B)</f>
        <v>48</v>
      </c>
      <c r="C70" s="158" t="s">
        <v>90</v>
      </c>
      <c r="D70" s="158">
        <v>100006143</v>
      </c>
      <c r="E70" s="158" t="s">
        <v>695</v>
      </c>
      <c r="F70" s="198"/>
      <c r="G70" s="167"/>
      <c r="H70" s="198"/>
      <c r="I70" s="198"/>
      <c r="J70" s="198"/>
      <c r="K70" s="198"/>
      <c r="L70" s="198"/>
      <c r="M70" s="198"/>
      <c r="N70" s="198"/>
      <c r="O70" s="198"/>
      <c r="P70" s="198"/>
      <c r="Q70" s="198"/>
      <c r="R70" s="198"/>
    </row>
    <row r="71" spans="1:18" x14ac:dyDescent="0.25">
      <c r="A71" s="149"/>
      <c r="B71" s="238"/>
      <c r="C71" s="158" t="s">
        <v>90</v>
      </c>
      <c r="D71" s="158">
        <v>200001922</v>
      </c>
      <c r="E71" s="158" t="s">
        <v>696</v>
      </c>
      <c r="F71" s="198"/>
      <c r="G71" s="167"/>
      <c r="H71" s="198"/>
      <c r="I71" s="198"/>
      <c r="J71" s="198"/>
      <c r="K71" s="198"/>
      <c r="L71" s="198"/>
      <c r="M71" s="198"/>
      <c r="N71" s="198"/>
      <c r="O71" s="198"/>
      <c r="P71" s="198"/>
      <c r="Q71" s="198"/>
      <c r="R71" s="198"/>
    </row>
    <row r="72" spans="1:18" x14ac:dyDescent="0.25">
      <c r="A72" s="149"/>
      <c r="B72" s="168"/>
      <c r="C72" s="168"/>
      <c r="D72" s="168"/>
      <c r="E72" s="168"/>
      <c r="F72" s="198"/>
      <c r="G72" s="199"/>
      <c r="H72" s="198"/>
      <c r="I72" s="198"/>
      <c r="J72" s="198"/>
      <c r="K72" s="198"/>
      <c r="L72" s="198"/>
      <c r="M72" s="198"/>
      <c r="N72" s="198"/>
      <c r="O72" s="198"/>
      <c r="P72" s="198"/>
      <c r="Q72" s="198"/>
      <c r="R72" s="198"/>
    </row>
    <row r="73" spans="1:18" ht="40.5" customHeight="1" x14ac:dyDescent="0.4">
      <c r="A73" s="149"/>
      <c r="B73" s="341" t="s">
        <v>697</v>
      </c>
      <c r="C73" s="342"/>
      <c r="D73" s="343"/>
      <c r="E73" s="337" t="s">
        <v>698</v>
      </c>
      <c r="F73" s="338"/>
      <c r="G73" s="202"/>
      <c r="H73" s="198"/>
      <c r="I73" s="198"/>
      <c r="J73" s="198"/>
      <c r="K73" s="198"/>
      <c r="L73" s="198"/>
      <c r="M73" s="198"/>
      <c r="N73" s="198"/>
      <c r="O73" s="198"/>
      <c r="P73" s="198"/>
      <c r="Q73" s="198"/>
      <c r="R73" s="198"/>
    </row>
    <row r="74" spans="1:18" ht="24" x14ac:dyDescent="0.25">
      <c r="A74" s="149"/>
      <c r="B74" s="3" t="s">
        <v>683</v>
      </c>
      <c r="C74" s="3" t="s">
        <v>684</v>
      </c>
      <c r="D74" s="3" t="s">
        <v>464</v>
      </c>
      <c r="E74" s="23" t="s">
        <v>466</v>
      </c>
      <c r="F74" s="24" t="s">
        <v>699</v>
      </c>
      <c r="G74" s="199"/>
      <c r="H74" s="198"/>
      <c r="I74" s="198"/>
      <c r="J74" s="198"/>
      <c r="K74" s="198"/>
      <c r="L74" s="198"/>
      <c r="M74" s="198"/>
      <c r="N74" s="198"/>
      <c r="O74" s="198"/>
      <c r="P74" s="198"/>
      <c r="Q74" s="198"/>
      <c r="R74" s="198"/>
    </row>
    <row r="75" spans="1:18" x14ac:dyDescent="0.25">
      <c r="A75" s="149"/>
      <c r="B75" s="239"/>
      <c r="C75" s="158" t="s">
        <v>567</v>
      </c>
      <c r="D75" s="158">
        <v>100001248</v>
      </c>
      <c r="E75" s="158" t="s">
        <v>568</v>
      </c>
      <c r="F75" s="152">
        <f>B75*Data!D74</f>
        <v>0</v>
      </c>
      <c r="G75" s="199"/>
      <c r="H75" s="198"/>
      <c r="I75" s="198"/>
      <c r="J75" s="198"/>
      <c r="K75" s="198"/>
      <c r="L75" s="198"/>
      <c r="M75" s="198"/>
      <c r="N75" s="198"/>
      <c r="O75" s="198"/>
      <c r="P75" s="198"/>
      <c r="Q75" s="198"/>
      <c r="R75" s="198"/>
    </row>
    <row r="76" spans="1:18" s="12" customFormat="1" ht="15" customHeight="1" x14ac:dyDescent="0.2">
      <c r="A76" s="150"/>
      <c r="B76" s="239"/>
      <c r="C76" s="158" t="s">
        <v>567</v>
      </c>
      <c r="D76" s="158">
        <v>100001242</v>
      </c>
      <c r="E76" s="158" t="s">
        <v>700</v>
      </c>
      <c r="F76" s="152">
        <f>B76*Data!D75</f>
        <v>0</v>
      </c>
      <c r="G76" s="200"/>
      <c r="H76" s="200"/>
      <c r="I76" s="200"/>
      <c r="J76" s="200"/>
      <c r="K76" s="200"/>
      <c r="L76" s="200"/>
      <c r="M76" s="200"/>
      <c r="N76" s="200"/>
      <c r="O76" s="200"/>
      <c r="P76" s="200"/>
      <c r="Q76" s="200"/>
      <c r="R76" s="200"/>
    </row>
    <row r="77" spans="1:18" s="12" customFormat="1" ht="15" customHeight="1" x14ac:dyDescent="0.2">
      <c r="A77" s="150"/>
      <c r="B77" s="239"/>
      <c r="C77" s="158" t="s">
        <v>701</v>
      </c>
      <c r="D77" s="158">
        <v>100001248</v>
      </c>
      <c r="E77" s="158" t="s">
        <v>702</v>
      </c>
      <c r="F77" s="152">
        <f>B77*Data!D73</f>
        <v>0</v>
      </c>
      <c r="G77" s="200"/>
      <c r="H77" s="200"/>
      <c r="I77" s="200"/>
      <c r="J77" s="200"/>
      <c r="K77" s="200"/>
      <c r="L77" s="200"/>
      <c r="M77" s="200"/>
      <c r="N77" s="200"/>
      <c r="O77" s="200"/>
      <c r="P77" s="200"/>
      <c r="Q77" s="200"/>
      <c r="R77" s="200"/>
    </row>
    <row r="78" spans="1:18" s="12" customFormat="1" ht="15" customHeight="1" x14ac:dyDescent="0.2">
      <c r="A78" s="150"/>
      <c r="B78" s="239"/>
      <c r="C78" s="158" t="s">
        <v>565</v>
      </c>
      <c r="D78" s="158">
        <v>100069989</v>
      </c>
      <c r="E78" s="158" t="s">
        <v>703</v>
      </c>
      <c r="F78" s="152">
        <f>B78*Data!D70</f>
        <v>0</v>
      </c>
      <c r="G78" s="200"/>
      <c r="H78" s="200"/>
      <c r="I78" s="200"/>
      <c r="J78" s="200"/>
      <c r="K78" s="200"/>
      <c r="L78" s="200"/>
      <c r="M78" s="200"/>
      <c r="N78" s="200"/>
      <c r="O78" s="200"/>
      <c r="P78" s="200"/>
      <c r="Q78" s="200"/>
      <c r="R78" s="200"/>
    </row>
    <row r="79" spans="1:18" s="12" customFormat="1" ht="30" customHeight="1" x14ac:dyDescent="0.2">
      <c r="A79" s="150"/>
      <c r="B79" s="240"/>
      <c r="C79" s="157" t="s">
        <v>570</v>
      </c>
      <c r="D79" s="231" t="s">
        <v>704</v>
      </c>
      <c r="E79" s="157" t="s">
        <v>705</v>
      </c>
      <c r="F79" s="152">
        <f>B79*Data!D76</f>
        <v>0</v>
      </c>
      <c r="G79" s="200"/>
      <c r="H79" s="200"/>
      <c r="I79" s="200"/>
      <c r="J79" s="200"/>
      <c r="K79" s="200"/>
      <c r="L79" s="200"/>
      <c r="M79" s="200"/>
      <c r="N79" s="200"/>
      <c r="O79" s="200"/>
      <c r="P79" s="200"/>
      <c r="Q79" s="200"/>
      <c r="R79" s="200"/>
    </row>
    <row r="80" spans="1:18" s="12" customFormat="1" ht="45" customHeight="1" x14ac:dyDescent="0.2">
      <c r="A80" s="150"/>
      <c r="B80" s="240"/>
      <c r="C80" s="157" t="s">
        <v>573</v>
      </c>
      <c r="D80" s="231" t="s">
        <v>706</v>
      </c>
      <c r="E80" s="157" t="s">
        <v>707</v>
      </c>
      <c r="F80" s="152">
        <f>B80*Data!D78</f>
        <v>0</v>
      </c>
      <c r="G80" s="200"/>
      <c r="H80" s="200"/>
      <c r="I80" s="200"/>
      <c r="J80" s="200"/>
      <c r="K80" s="200"/>
      <c r="L80" s="200"/>
      <c r="M80" s="200"/>
      <c r="N80" s="200"/>
      <c r="O80" s="200"/>
      <c r="P80" s="200"/>
      <c r="Q80" s="200"/>
      <c r="R80" s="200"/>
    </row>
    <row r="81" spans="1:18" s="12" customFormat="1" ht="15" customHeight="1" x14ac:dyDescent="0.25">
      <c r="A81" s="150"/>
      <c r="B81" s="241"/>
      <c r="C81" s="159" t="s">
        <v>687</v>
      </c>
      <c r="D81" s="160">
        <v>100006155</v>
      </c>
      <c r="E81" s="160" t="s">
        <v>708</v>
      </c>
      <c r="F81" s="152">
        <f>B81*Data!D66</f>
        <v>0</v>
      </c>
      <c r="G81" s="200"/>
      <c r="H81" s="200"/>
      <c r="I81" s="200"/>
      <c r="J81" s="200"/>
      <c r="K81" s="200"/>
      <c r="L81" s="200"/>
      <c r="M81" s="200"/>
      <c r="N81" s="200"/>
      <c r="O81" s="200"/>
      <c r="P81" s="200"/>
      <c r="Q81" s="200"/>
      <c r="R81" s="200"/>
    </row>
    <row r="82" spans="1:18" s="12" customFormat="1" ht="15" customHeight="1" x14ac:dyDescent="0.25">
      <c r="A82" s="150"/>
      <c r="B82" s="241"/>
      <c r="C82" s="159" t="s">
        <v>557</v>
      </c>
      <c r="D82" s="244">
        <v>100035465</v>
      </c>
      <c r="E82" s="244" t="s">
        <v>689</v>
      </c>
      <c r="F82" s="152">
        <f>B82*Data!D63</f>
        <v>0</v>
      </c>
      <c r="G82" s="200"/>
      <c r="H82" s="200"/>
      <c r="I82" s="200"/>
      <c r="J82" s="200"/>
      <c r="K82" s="200"/>
      <c r="L82" s="200"/>
      <c r="M82" s="200"/>
      <c r="N82" s="200"/>
      <c r="O82" s="200"/>
      <c r="P82" s="200"/>
      <c r="Q82" s="200"/>
      <c r="R82" s="200"/>
    </row>
    <row r="83" spans="1:18" s="12" customFormat="1" ht="15" customHeight="1" x14ac:dyDescent="0.25">
      <c r="A83" s="150"/>
      <c r="B83" s="241"/>
      <c r="C83" s="159" t="s">
        <v>690</v>
      </c>
      <c r="D83" s="244">
        <v>100006173</v>
      </c>
      <c r="E83" s="244" t="s">
        <v>691</v>
      </c>
      <c r="F83" s="152">
        <f>B83*Data!D67</f>
        <v>0</v>
      </c>
      <c r="G83" s="200"/>
      <c r="H83" s="200"/>
      <c r="I83" s="200"/>
      <c r="J83" s="200"/>
      <c r="K83" s="200"/>
      <c r="L83" s="200"/>
      <c r="M83" s="200"/>
      <c r="N83" s="200"/>
      <c r="O83" s="200"/>
      <c r="P83" s="200"/>
      <c r="Q83" s="200"/>
      <c r="R83" s="200"/>
    </row>
    <row r="84" spans="1:18" s="12" customFormat="1" ht="15" customHeight="1" x14ac:dyDescent="0.25">
      <c r="A84" s="150"/>
      <c r="B84" s="241"/>
      <c r="C84" s="160" t="s">
        <v>559</v>
      </c>
      <c r="D84" s="242">
        <v>100081409</v>
      </c>
      <c r="E84" s="246" t="s">
        <v>692</v>
      </c>
      <c r="F84" s="152">
        <f>B84*Data!D64</f>
        <v>0</v>
      </c>
      <c r="G84" s="200"/>
      <c r="H84" s="200"/>
      <c r="I84" s="200"/>
      <c r="J84" s="200"/>
      <c r="K84" s="200"/>
      <c r="L84" s="200"/>
      <c r="M84" s="200"/>
      <c r="N84" s="200"/>
      <c r="O84" s="200"/>
      <c r="P84" s="200"/>
      <c r="Q84" s="200"/>
      <c r="R84" s="200"/>
    </row>
    <row r="85" spans="1:18" s="12" customFormat="1" ht="15" customHeight="1" x14ac:dyDescent="0.25">
      <c r="A85" s="150"/>
      <c r="B85" s="241"/>
      <c r="C85" s="160" t="s">
        <v>559</v>
      </c>
      <c r="D85" s="242">
        <v>100006191</v>
      </c>
      <c r="E85" s="246" t="s">
        <v>693</v>
      </c>
      <c r="F85" s="152">
        <f>B85*Data!D65</f>
        <v>0</v>
      </c>
      <c r="G85" s="200"/>
      <c r="H85" s="200"/>
      <c r="I85" s="200"/>
      <c r="J85" s="200"/>
      <c r="K85" s="200"/>
      <c r="L85" s="200"/>
      <c r="M85" s="200"/>
      <c r="N85" s="200"/>
      <c r="O85" s="200"/>
      <c r="P85" s="200"/>
      <c r="Q85" s="200"/>
      <c r="R85" s="200"/>
    </row>
    <row r="86" spans="1:18" s="12" customFormat="1" ht="15" customHeight="1" x14ac:dyDescent="0.2">
      <c r="A86" s="150"/>
      <c r="G86" s="200"/>
      <c r="H86" s="200"/>
      <c r="I86" s="200"/>
      <c r="J86" s="200"/>
      <c r="K86" s="200"/>
      <c r="L86" s="200"/>
      <c r="M86" s="200"/>
      <c r="N86" s="200"/>
      <c r="O86" s="200"/>
      <c r="P86" s="200"/>
      <c r="Q86" s="200"/>
      <c r="R86" s="200"/>
    </row>
    <row r="87" spans="1:18" s="12" customFormat="1" ht="15" hidden="1" customHeight="1" x14ac:dyDescent="0.2">
      <c r="A87" s="150"/>
      <c r="B87" s="240"/>
      <c r="C87" s="160" t="s">
        <v>576</v>
      </c>
      <c r="D87" s="160">
        <v>100087882</v>
      </c>
      <c r="E87" s="160" t="s">
        <v>577</v>
      </c>
      <c r="F87" s="152">
        <f>B87*Data!D81</f>
        <v>0</v>
      </c>
      <c r="G87" s="200"/>
      <c r="H87" s="200"/>
      <c r="I87" s="200"/>
      <c r="J87" s="200"/>
      <c r="K87" s="200"/>
      <c r="L87" s="200"/>
      <c r="M87" s="200"/>
      <c r="N87" s="200"/>
      <c r="O87" s="200"/>
      <c r="P87" s="200"/>
      <c r="Q87" s="200"/>
      <c r="R87" s="200"/>
    </row>
    <row r="88" spans="1:18" s="12" customFormat="1" ht="15" hidden="1" customHeight="1" x14ac:dyDescent="0.2">
      <c r="A88" s="150"/>
      <c r="B88" s="240"/>
      <c r="C88" s="160" t="s">
        <v>578</v>
      </c>
      <c r="D88" s="160">
        <v>100086300</v>
      </c>
      <c r="E88" s="160" t="s">
        <v>579</v>
      </c>
      <c r="F88" s="152">
        <f>B88*Data!D82</f>
        <v>0</v>
      </c>
      <c r="G88" s="167"/>
      <c r="H88" s="200"/>
      <c r="I88" s="200"/>
      <c r="J88" s="200"/>
      <c r="K88" s="200"/>
      <c r="L88" s="200"/>
      <c r="M88" s="200"/>
      <c r="N88" s="200"/>
      <c r="O88" s="200"/>
      <c r="P88" s="200"/>
      <c r="Q88" s="200"/>
      <c r="R88" s="200"/>
    </row>
    <row r="89" spans="1:18" hidden="1" x14ac:dyDescent="0.25">
      <c r="A89" s="149"/>
      <c r="B89" s="241"/>
      <c r="C89" s="160" t="s">
        <v>559</v>
      </c>
      <c r="D89" s="160">
        <v>100006191</v>
      </c>
      <c r="E89" s="160" t="s">
        <v>709</v>
      </c>
      <c r="F89" s="152">
        <f>B89*Data!D65</f>
        <v>0</v>
      </c>
      <c r="G89" s="199"/>
      <c r="H89" s="198"/>
      <c r="I89" s="198"/>
      <c r="J89" s="198"/>
      <c r="K89" s="198"/>
      <c r="L89" s="198"/>
      <c r="M89" s="198"/>
      <c r="N89" s="198"/>
      <c r="O89" s="198"/>
      <c r="P89" s="198"/>
      <c r="Q89" s="198"/>
      <c r="R89" s="198"/>
    </row>
    <row r="90" spans="1:18" hidden="1" x14ac:dyDescent="0.25">
      <c r="A90" s="149"/>
      <c r="B90" s="248"/>
      <c r="C90" s="249"/>
      <c r="D90" s="249"/>
      <c r="E90" s="249"/>
      <c r="F90" s="250"/>
      <c r="G90" s="199"/>
      <c r="H90" s="198"/>
      <c r="I90" s="198"/>
      <c r="J90" s="198"/>
      <c r="K90" s="198"/>
      <c r="L90" s="198"/>
      <c r="M90" s="198"/>
      <c r="N90" s="198"/>
      <c r="O90" s="198"/>
      <c r="P90" s="198"/>
      <c r="Q90" s="198"/>
      <c r="R90" s="198"/>
    </row>
    <row r="91" spans="1:18" ht="24" hidden="1" x14ac:dyDescent="0.25">
      <c r="A91" s="149"/>
      <c r="B91" s="3" t="s">
        <v>683</v>
      </c>
      <c r="C91" s="3" t="s">
        <v>684</v>
      </c>
      <c r="D91" s="3" t="s">
        <v>464</v>
      </c>
      <c r="E91" s="23" t="s">
        <v>466</v>
      </c>
      <c r="F91" s="24" t="s">
        <v>699</v>
      </c>
      <c r="G91" s="199"/>
      <c r="H91" s="198"/>
      <c r="I91" s="198"/>
      <c r="J91" s="198"/>
      <c r="K91" s="198"/>
      <c r="L91" s="198"/>
      <c r="M91" s="198"/>
      <c r="N91" s="198"/>
      <c r="O91" s="198"/>
      <c r="P91" s="198"/>
      <c r="Q91" s="198"/>
      <c r="R91" s="198"/>
    </row>
    <row r="92" spans="1:18" s="13" customFormat="1" hidden="1" x14ac:dyDescent="0.25">
      <c r="A92" s="151"/>
      <c r="B92" s="241"/>
      <c r="C92" s="158" t="s">
        <v>710</v>
      </c>
      <c r="D92" s="158" t="s">
        <v>711</v>
      </c>
      <c r="E92" s="158" t="s">
        <v>712</v>
      </c>
      <c r="F92" s="152">
        <f>IFERROR(B92*4434,"")</f>
        <v>0</v>
      </c>
      <c r="G92" s="203"/>
      <c r="H92" s="203"/>
      <c r="I92" s="203"/>
      <c r="J92" s="203"/>
      <c r="K92" s="203"/>
      <c r="L92" s="203"/>
      <c r="M92" s="203"/>
      <c r="N92" s="203"/>
      <c r="O92" s="203"/>
      <c r="P92" s="203"/>
      <c r="Q92" s="203"/>
      <c r="R92" s="203"/>
    </row>
    <row r="93" spans="1:18" s="13" customFormat="1" x14ac:dyDescent="0.25">
      <c r="A93" s="170"/>
      <c r="B93" s="170"/>
      <c r="C93" s="170"/>
      <c r="D93" s="170"/>
      <c r="E93" s="170"/>
      <c r="F93" s="203"/>
      <c r="G93" s="204"/>
      <c r="H93" s="203"/>
      <c r="I93" s="203"/>
      <c r="J93" s="203"/>
      <c r="K93" s="203"/>
      <c r="L93" s="203"/>
      <c r="M93" s="203"/>
      <c r="N93" s="203"/>
      <c r="O93" s="203"/>
      <c r="P93" s="203"/>
      <c r="Q93" s="203"/>
      <c r="R93" s="203"/>
    </row>
    <row r="94" spans="1:18" s="13" customFormat="1" x14ac:dyDescent="0.25">
      <c r="A94" s="170"/>
      <c r="B94" s="170"/>
      <c r="C94" s="170"/>
      <c r="D94" s="170"/>
      <c r="E94" s="170"/>
      <c r="F94" s="203"/>
      <c r="G94" s="204"/>
      <c r="H94" s="203"/>
      <c r="I94" s="203"/>
      <c r="J94" s="203"/>
      <c r="K94" s="203"/>
      <c r="L94" s="203"/>
      <c r="M94" s="203"/>
      <c r="N94" s="203"/>
      <c r="O94" s="203"/>
      <c r="P94" s="203"/>
      <c r="Q94" s="203"/>
      <c r="R94" s="203"/>
    </row>
    <row r="95" spans="1:18" s="13" customFormat="1" x14ac:dyDescent="0.25">
      <c r="A95" s="170"/>
      <c r="B95" s="170"/>
      <c r="C95" s="170"/>
      <c r="D95" s="170"/>
      <c r="E95" s="170"/>
      <c r="F95" s="203"/>
      <c r="G95" s="204"/>
      <c r="H95" s="203"/>
      <c r="I95" s="203"/>
      <c r="J95" s="203"/>
      <c r="K95" s="203"/>
      <c r="L95" s="203"/>
      <c r="M95" s="203"/>
      <c r="N95" s="203"/>
      <c r="O95" s="203"/>
      <c r="P95" s="203"/>
      <c r="Q95" s="203"/>
      <c r="R95" s="203"/>
    </row>
    <row r="96" spans="1:18" s="13" customFormat="1" x14ac:dyDescent="0.25">
      <c r="A96" s="170"/>
      <c r="B96" s="170"/>
      <c r="C96" s="170"/>
      <c r="D96" s="170"/>
      <c r="E96" s="170"/>
      <c r="F96" s="203"/>
      <c r="G96" s="204"/>
      <c r="H96" s="203"/>
      <c r="I96" s="203"/>
      <c r="J96" s="203"/>
      <c r="K96" s="203"/>
      <c r="L96" s="203"/>
      <c r="M96" s="203"/>
      <c r="N96" s="203"/>
      <c r="O96" s="203"/>
      <c r="P96" s="203"/>
      <c r="Q96" s="203"/>
      <c r="R96" s="203"/>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2024-06-24T20:23:35Z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